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9600" windowHeight="11835" activeTab="2"/>
  </bookViews>
  <sheets>
    <sheet name="General Settings" sheetId="6" r:id="rId1"/>
    <sheet name="BtpCurve" sheetId="4" r:id="rId2"/>
    <sheet name="Bond Analysis" sheetId="8" r:id="rId3"/>
    <sheet name="Contribution" sheetId="7" r:id="rId4"/>
    <sheet name="CCT" sheetId="9" r:id="rId5"/>
  </sheets>
  <definedNames>
    <definedName name="AssetSwapPricingEngine">BtpCurve!#REF!</definedName>
    <definedName name="AswIndex">'General Settings'!$B$9</definedName>
    <definedName name="BondPricingEngine">BtpCurve!$L$1</definedName>
    <definedName name="BondSettlementDate">'General Settings'!$B$4</definedName>
    <definedName name="BtpCurve">'General Settings'!$B$21</definedName>
    <definedName name="Descriptions">BtpCurve!$B$2:$B$56</definedName>
    <definedName name="DiscountingCurve">'General Settings'!$B$14</definedName>
    <definedName name="ExcludeMarchSeptember">'General Settings'!$B$19</definedName>
    <definedName name="IgnoreResiduePremium">'General Settings'!$B$20</definedName>
    <definedName name="ParAsw">'General Settings'!$B$10</definedName>
    <definedName name="PriceSelector">'Bond Analysis'!$AI$1</definedName>
    <definedName name="PriceTrigger">'General Settings'!$B$23</definedName>
    <definedName name="ReferenceBond">'General Settings'!$B$12</definedName>
    <definedName name="ReferenceBondAccruedAmount">'Bond Analysis'!$F$1</definedName>
    <definedName name="ReferenceBondDescription">'Bond Analysis'!$A$2</definedName>
    <definedName name="ReferenceBondISIN">'Bond Analysis'!$A$1</definedName>
    <definedName name="ReferenceBondPrice">'Bond Analysis'!$B$2</definedName>
    <definedName name="ReferenceBondPrincipaPremium">'Bond Analysis'!$C$2</definedName>
    <definedName name="Trigger">'General Settings'!$B$1</definedName>
    <definedName name="YieldCompounding">'General Settings'!$B$6</definedName>
    <definedName name="YieldCurveInterpolation">'General Settings'!$B$17</definedName>
    <definedName name="YieldCurveTraits">'General Settings'!$B$16</definedName>
    <definedName name="YieldDayCounter">'General Settings'!$B$5</definedName>
    <definedName name="YieldFrequency">'General Settings'!$B$7</definedName>
  </definedNames>
  <calcPr calcId="145621"/>
</workbook>
</file>

<file path=xl/calcChain.xml><?xml version="1.0" encoding="utf-8"?>
<calcChain xmlns="http://schemas.openxmlformats.org/spreadsheetml/2006/main">
  <c r="A1" i="8" l="1"/>
  <c r="B12" i="6"/>
  <c r="Z17" i="7" l="1"/>
  <c r="AE17" i="7" s="1"/>
  <c r="Z18" i="7"/>
  <c r="AE18" i="7" s="1"/>
  <c r="Z19" i="7"/>
  <c r="AE19" i="7" s="1"/>
  <c r="Z20" i="7"/>
  <c r="AE20" i="7" s="1"/>
  <c r="Z21" i="7"/>
  <c r="AE21" i="7" s="1"/>
  <c r="Z22" i="7"/>
  <c r="AE22" i="7" s="1"/>
  <c r="Z23" i="7"/>
  <c r="AE23" i="7" s="1"/>
  <c r="Z24" i="7"/>
  <c r="AE24" i="7" s="1"/>
  <c r="Z25" i="7"/>
  <c r="AE25" i="7" s="1"/>
  <c r="Z26" i="7"/>
  <c r="AE26" i="7" s="1"/>
  <c r="Z27" i="7"/>
  <c r="AE27" i="7" s="1"/>
  <c r="Z28" i="7"/>
  <c r="AE28" i="7" s="1"/>
  <c r="Z29" i="7"/>
  <c r="AE29" i="7" s="1"/>
  <c r="Z30" i="7"/>
  <c r="AE30" i="7" s="1"/>
  <c r="Z31" i="7"/>
  <c r="AE31" i="7" s="1"/>
  <c r="Z32" i="7"/>
  <c r="AE32" i="7" s="1"/>
  <c r="Z33" i="7"/>
  <c r="AE33" i="7" s="1"/>
  <c r="Z34" i="7"/>
  <c r="AE34" i="7" s="1"/>
  <c r="Z35" i="7"/>
  <c r="AE35" i="7" s="1"/>
  <c r="Z36" i="7"/>
  <c r="AE36" i="7" s="1"/>
  <c r="Z37" i="7"/>
  <c r="AE37" i="7" s="1"/>
  <c r="Z38" i="7"/>
  <c r="AE38" i="7" s="1"/>
  <c r="Z39" i="7"/>
  <c r="AE39" i="7" s="1"/>
  <c r="Z40" i="7"/>
  <c r="AE40" i="7" s="1"/>
  <c r="Z41" i="7"/>
  <c r="AE41" i="7" s="1"/>
  <c r="Z42" i="7"/>
  <c r="AE42" i="7" s="1"/>
  <c r="Z43" i="7"/>
  <c r="AE43" i="7" s="1"/>
  <c r="Z44" i="7"/>
  <c r="AE44" i="7" s="1"/>
  <c r="Z45" i="7"/>
  <c r="AE45" i="7" s="1"/>
  <c r="Z46" i="7"/>
  <c r="AE46" i="7" s="1"/>
  <c r="Z47" i="7"/>
  <c r="AE47" i="7" s="1"/>
  <c r="Z48" i="7"/>
  <c r="AE48" i="7" s="1"/>
  <c r="Z49" i="7"/>
  <c r="AE49" i="7" s="1"/>
  <c r="Z50" i="7"/>
  <c r="AE50" i="7" s="1"/>
  <c r="Z51" i="7"/>
  <c r="AE51" i="7" s="1"/>
  <c r="Z52" i="7"/>
  <c r="AE52" i="7" s="1"/>
  <c r="Z53" i="7"/>
  <c r="AE53" i="7" s="1"/>
  <c r="Z54" i="7"/>
  <c r="AE54" i="7" s="1"/>
  <c r="Z55" i="7"/>
  <c r="AE55" i="7" s="1"/>
  <c r="Z56" i="7"/>
  <c r="AE56" i="7" s="1"/>
  <c r="Z57" i="7"/>
  <c r="AE57" i="7" s="1"/>
  <c r="Z58" i="7"/>
  <c r="AE58" i="7" s="1"/>
  <c r="Z59" i="7"/>
  <c r="AE59" i="7" s="1"/>
  <c r="Z60" i="7"/>
  <c r="AE60" i="7" s="1"/>
  <c r="Z61" i="7"/>
  <c r="AE61" i="7" s="1"/>
  <c r="Z62" i="7"/>
  <c r="AE62" i="7" s="1"/>
  <c r="Z63" i="7"/>
  <c r="AE63" i="7" s="1"/>
  <c r="Z64" i="7"/>
  <c r="AE64" i="7" s="1"/>
  <c r="Z65" i="7"/>
  <c r="AE65" i="7" s="1"/>
  <c r="Z66" i="7"/>
  <c r="AE66" i="7" s="1"/>
  <c r="Z67" i="7"/>
  <c r="AE67" i="7" s="1"/>
  <c r="Z68" i="7"/>
  <c r="AE68" i="7" s="1"/>
  <c r="Z69" i="7"/>
  <c r="AE69" i="7" s="1"/>
  <c r="Z70" i="7"/>
  <c r="AE70" i="7" s="1"/>
  <c r="Z71" i="7"/>
  <c r="AE71" i="7" s="1"/>
  <c r="Z72" i="7"/>
  <c r="AE72" i="7" s="1"/>
  <c r="Z73" i="7"/>
  <c r="AE73" i="7" s="1"/>
  <c r="Z74" i="7"/>
  <c r="AE74" i="7" s="1"/>
  <c r="Z75" i="7"/>
  <c r="AE75" i="7" s="1"/>
  <c r="Z76" i="7"/>
  <c r="AE76" i="7" s="1"/>
  <c r="Z77" i="7"/>
  <c r="AE77" i="7" s="1"/>
  <c r="Z78" i="7"/>
  <c r="AE78" i="7" s="1"/>
  <c r="Z79" i="7"/>
  <c r="AE79" i="7" s="1"/>
  <c r="Z80" i="7"/>
  <c r="AE80" i="7" s="1"/>
  <c r="Z81" i="7"/>
  <c r="AE81" i="7" s="1"/>
  <c r="Z82" i="7"/>
  <c r="AE82" i="7" s="1"/>
  <c r="Z83" i="7"/>
  <c r="AE83" i="7" s="1"/>
  <c r="Z84" i="7"/>
  <c r="AE84" i="7" s="1"/>
  <c r="Z85" i="7"/>
  <c r="AE85" i="7" s="1"/>
  <c r="Z86" i="7"/>
  <c r="AE86" i="7" s="1"/>
  <c r="Z87" i="7"/>
  <c r="AE87" i="7" s="1"/>
  <c r="Z88" i="7"/>
  <c r="AE88" i="7" s="1"/>
  <c r="Z89" i="7"/>
  <c r="AE89" i="7" s="1"/>
  <c r="Z90" i="7"/>
  <c r="AE90" i="7" s="1"/>
  <c r="Z91" i="7"/>
  <c r="AE91" i="7" s="1"/>
  <c r="Z92" i="7"/>
  <c r="AE92" i="7" s="1"/>
  <c r="Z93" i="7"/>
  <c r="AE93" i="7" s="1"/>
  <c r="Z94" i="7"/>
  <c r="AE94" i="7" s="1"/>
  <c r="Z95" i="7"/>
  <c r="AE95" i="7" s="1"/>
  <c r="Z96" i="7"/>
  <c r="AE96" i="7" s="1"/>
  <c r="Z97" i="7"/>
  <c r="AE97" i="7" s="1"/>
  <c r="Z98" i="7"/>
  <c r="AE98" i="7" s="1"/>
  <c r="Z99" i="7"/>
  <c r="AE99" i="7" s="1"/>
  <c r="Z100" i="7"/>
  <c r="AE100" i="7" s="1"/>
  <c r="Z101" i="7"/>
  <c r="AE101" i="7" s="1"/>
  <c r="Z102" i="7"/>
  <c r="AE102" i="7" s="1"/>
  <c r="Z103" i="7"/>
  <c r="AE103" i="7" s="1"/>
  <c r="Z104" i="7"/>
  <c r="AE104" i="7" s="1"/>
  <c r="Z105" i="7"/>
  <c r="AE105" i="7" s="1"/>
  <c r="Z106" i="7"/>
  <c r="AE106" i="7" s="1"/>
  <c r="Z107" i="7"/>
  <c r="AE107" i="7" s="1"/>
  <c r="Z108" i="7"/>
  <c r="AE108" i="7" s="1"/>
  <c r="Z109" i="7"/>
  <c r="AE109" i="7" s="1"/>
  <c r="Z110" i="7"/>
  <c r="AE110" i="7" s="1"/>
  <c r="Z111" i="7"/>
  <c r="AE111" i="7" s="1"/>
  <c r="Z112" i="7"/>
  <c r="AE112" i="7" s="1"/>
  <c r="Z113" i="7"/>
  <c r="AE113" i="7" s="1"/>
  <c r="Z114" i="7"/>
  <c r="AE114" i="7" s="1"/>
  <c r="Z115" i="7"/>
  <c r="AE115" i="7" s="1"/>
  <c r="Z116" i="7"/>
  <c r="AE116" i="7" s="1"/>
  <c r="Z117" i="7"/>
  <c r="AE117" i="7" s="1"/>
  <c r="Z118" i="7"/>
  <c r="AE118" i="7" s="1"/>
  <c r="Z119" i="7"/>
  <c r="AE119" i="7" s="1"/>
  <c r="Z120" i="7"/>
  <c r="AE120" i="7" s="1"/>
  <c r="Z121" i="7"/>
  <c r="AE121" i="7" s="1"/>
  <c r="Z122" i="7"/>
  <c r="AE122" i="7" s="1"/>
  <c r="Z123" i="7"/>
  <c r="AE123" i="7" s="1"/>
  <c r="Z124" i="7"/>
  <c r="AE124" i="7" s="1"/>
  <c r="Z125" i="7"/>
  <c r="AE125" i="7" s="1"/>
  <c r="Z126" i="7"/>
  <c r="AE126" i="7" s="1"/>
  <c r="Z127" i="7"/>
  <c r="AE127" i="7" s="1"/>
  <c r="Z128" i="7"/>
  <c r="AE128" i="7" s="1"/>
  <c r="Z129" i="7"/>
  <c r="AE129" i="7" s="1"/>
  <c r="Z130" i="7"/>
  <c r="AE130" i="7" s="1"/>
  <c r="Z131" i="7"/>
  <c r="AE131" i="7" s="1"/>
  <c r="Z132" i="7"/>
  <c r="AE132" i="7" s="1"/>
  <c r="Z133" i="7"/>
  <c r="AE133" i="7" s="1"/>
  <c r="Z134" i="7"/>
  <c r="AE134" i="7" s="1"/>
  <c r="Z135" i="7"/>
  <c r="AE135" i="7" s="1"/>
  <c r="Z136" i="7"/>
  <c r="AE136" i="7" s="1"/>
  <c r="Z137" i="7"/>
  <c r="AE137" i="7" s="1"/>
  <c r="Z138" i="7"/>
  <c r="AE138" i="7" s="1"/>
  <c r="Z139" i="7"/>
  <c r="AE139" i="7" s="1"/>
  <c r="Z140" i="7"/>
  <c r="AE140" i="7" s="1"/>
  <c r="Z141" i="7"/>
  <c r="AE141" i="7" s="1"/>
  <c r="Z142" i="7"/>
  <c r="AE142" i="7" s="1"/>
  <c r="Z143" i="7"/>
  <c r="AE143" i="7" s="1"/>
  <c r="Z144" i="7"/>
  <c r="AE144" i="7" s="1"/>
  <c r="Z145" i="7"/>
  <c r="AE145" i="7" s="1"/>
  <c r="Z146" i="7"/>
  <c r="AE146" i="7" s="1"/>
  <c r="Z147" i="7"/>
  <c r="AE147" i="7" s="1"/>
  <c r="Z148" i="7"/>
  <c r="AE148" i="7" s="1"/>
  <c r="Z149" i="7"/>
  <c r="AE149" i="7" s="1"/>
  <c r="Z150" i="7"/>
  <c r="AE150" i="7" s="1"/>
  <c r="C2" i="4" a="1"/>
  <c r="AB73" i="7"/>
  <c r="AB125" i="7"/>
  <c r="AB99" i="7"/>
  <c r="AB26" i="7"/>
  <c r="AB100" i="7"/>
  <c r="AB104" i="7"/>
  <c r="AB113" i="7"/>
  <c r="AB35" i="7"/>
  <c r="AB134" i="7"/>
  <c r="AB142" i="7"/>
  <c r="AB110" i="7"/>
  <c r="AB77" i="7"/>
  <c r="AB135" i="7"/>
  <c r="AB55" i="7"/>
  <c r="AB147" i="7"/>
  <c r="AB24" i="7"/>
  <c r="AB22" i="7"/>
  <c r="AB85" i="7"/>
  <c r="AB89" i="7"/>
  <c r="AB66" i="7"/>
  <c r="AB126" i="7"/>
  <c r="AB46" i="7"/>
  <c r="AB130" i="7"/>
  <c r="AB121" i="7"/>
  <c r="AB78" i="7"/>
  <c r="AB88" i="7"/>
  <c r="AB48" i="7"/>
  <c r="AB31" i="7"/>
  <c r="AB141" i="7"/>
  <c r="AB120" i="7"/>
  <c r="AB68" i="7"/>
  <c r="AB51" i="7"/>
  <c r="AB119" i="7"/>
  <c r="AB115" i="7"/>
  <c r="AB116" i="7"/>
  <c r="AB90" i="7"/>
  <c r="AB140" i="7"/>
  <c r="AB112" i="7"/>
  <c r="AB139" i="7"/>
  <c r="AB97" i="7"/>
  <c r="AB62" i="7"/>
  <c r="AB52" i="7"/>
  <c r="AB74" i="7"/>
  <c r="AB29" i="7"/>
  <c r="AB69" i="7"/>
  <c r="AB76" i="7"/>
  <c r="AB45" i="7"/>
  <c r="AB92" i="7"/>
  <c r="AB40" i="7"/>
  <c r="AB32" i="7"/>
  <c r="AB49" i="7"/>
  <c r="AB41" i="7"/>
  <c r="AB149" i="7"/>
  <c r="AB128" i="7"/>
  <c r="AB60" i="7"/>
  <c r="AB39" i="7"/>
  <c r="AB106" i="7"/>
  <c r="AB54" i="7"/>
  <c r="AB96" i="7"/>
  <c r="AB101" i="7"/>
  <c r="AB19" i="7"/>
  <c r="AB42" i="7"/>
  <c r="AB123" i="7"/>
  <c r="AB23" i="7"/>
  <c r="AB79" i="7"/>
  <c r="AB146" i="7"/>
  <c r="AB118" i="7"/>
  <c r="AB131" i="7"/>
  <c r="AB18" i="7"/>
  <c r="AB117" i="7"/>
  <c r="AB94" i="7"/>
  <c r="AB44" i="7"/>
  <c r="AB86" i="7"/>
  <c r="AB105" i="7"/>
  <c r="AB122" i="7"/>
  <c r="AB95" i="7"/>
  <c r="AB70" i="7"/>
  <c r="AB107" i="7"/>
  <c r="AB87" i="7"/>
  <c r="AB20" i="7"/>
  <c r="AB124" i="7"/>
  <c r="AB114" i="7"/>
  <c r="AB144" i="7"/>
  <c r="AB136" i="7"/>
  <c r="AB50" i="7"/>
  <c r="AB133" i="7"/>
  <c r="AB43" i="7"/>
  <c r="AB47" i="7"/>
  <c r="AB102" i="7"/>
  <c r="AB81" i="7"/>
  <c r="AB129" i="7"/>
  <c r="AB63" i="7"/>
  <c r="AB71" i="7"/>
  <c r="AB127" i="7"/>
  <c r="AB61" i="7"/>
  <c r="AB36" i="7"/>
  <c r="AB25" i="7"/>
  <c r="AB137" i="7"/>
  <c r="AB143" i="7"/>
  <c r="AB98" i="7"/>
  <c r="AB109" i="7"/>
  <c r="AB21" i="7"/>
  <c r="AB56" i="7"/>
  <c r="AB72" i="7"/>
  <c r="AB38" i="7"/>
  <c r="AB145" i="7"/>
  <c r="AB57" i="7"/>
  <c r="AB58" i="7"/>
  <c r="AB17" i="7"/>
  <c r="AB33" i="7"/>
  <c r="AB75" i="7"/>
  <c r="AB132" i="7"/>
  <c r="AB28" i="7"/>
  <c r="AB93" i="7"/>
  <c r="AB84" i="7"/>
  <c r="AB80" i="7"/>
  <c r="AB59" i="7"/>
  <c r="AB65" i="7"/>
  <c r="AB148" i="7"/>
  <c r="AB103" i="7"/>
  <c r="AB30" i="7"/>
  <c r="AB67" i="7"/>
  <c r="AB53" i="7"/>
  <c r="AB91" i="7"/>
  <c r="AB37" i="7"/>
  <c r="AB138" i="7"/>
  <c r="AB82" i="7"/>
  <c r="AB83" i="7"/>
  <c r="AB64" i="7"/>
  <c r="AB108" i="7"/>
  <c r="AB111" i="7"/>
  <c r="AB150" i="7"/>
  <c r="AB27" i="7"/>
  <c r="AB34" i="7"/>
  <c r="C9" i="4" l="1"/>
  <c r="C17" i="4"/>
  <c r="C25" i="4"/>
  <c r="C33" i="4"/>
  <c r="C41" i="4"/>
  <c r="C49" i="4"/>
  <c r="C57" i="4"/>
  <c r="C65" i="4"/>
  <c r="C73" i="4"/>
  <c r="C10" i="4"/>
  <c r="C34" i="4"/>
  <c r="C50" i="4"/>
  <c r="C66" i="4"/>
  <c r="C12" i="4"/>
  <c r="C36" i="4"/>
  <c r="C52" i="4"/>
  <c r="C68" i="4"/>
  <c r="C3" i="4"/>
  <c r="C11" i="4"/>
  <c r="C19" i="4"/>
  <c r="C27" i="4"/>
  <c r="C35" i="4"/>
  <c r="C43" i="4"/>
  <c r="C51" i="4"/>
  <c r="C59" i="4"/>
  <c r="C67" i="4"/>
  <c r="C75" i="4"/>
  <c r="C4" i="4"/>
  <c r="C28" i="4"/>
  <c r="C60" i="4"/>
  <c r="C5" i="4"/>
  <c r="C13" i="4"/>
  <c r="C21" i="4"/>
  <c r="C29" i="4"/>
  <c r="C37" i="4"/>
  <c r="C45" i="4"/>
  <c r="C53" i="4"/>
  <c r="C61" i="4"/>
  <c r="C69" i="4"/>
  <c r="C77" i="4"/>
  <c r="C6" i="4"/>
  <c r="C14" i="4"/>
  <c r="C22" i="4"/>
  <c r="C30" i="4"/>
  <c r="C38" i="4"/>
  <c r="C46" i="4"/>
  <c r="C54" i="4"/>
  <c r="C62" i="4"/>
  <c r="C70" i="4"/>
  <c r="C78" i="4"/>
  <c r="C7" i="4"/>
  <c r="C15" i="4"/>
  <c r="C23" i="4"/>
  <c r="C31" i="4"/>
  <c r="C39" i="4"/>
  <c r="C47" i="4"/>
  <c r="C55" i="4"/>
  <c r="C63" i="4"/>
  <c r="C71" i="4"/>
  <c r="C79" i="4"/>
  <c r="C8" i="4"/>
  <c r="C16" i="4"/>
  <c r="C24" i="4"/>
  <c r="C32" i="4"/>
  <c r="C40" i="4"/>
  <c r="C48" i="4"/>
  <c r="C56" i="4"/>
  <c r="C64" i="4"/>
  <c r="C72" i="4"/>
  <c r="C80" i="4"/>
  <c r="C2" i="4"/>
  <c r="C18" i="4"/>
  <c r="C26" i="4"/>
  <c r="C42" i="4"/>
  <c r="C58" i="4"/>
  <c r="C74" i="4"/>
  <c r="C20" i="4"/>
  <c r="C44" i="4"/>
  <c r="C76" i="4"/>
  <c r="T26" i="4"/>
  <c r="T4" i="4"/>
  <c r="T15" i="4"/>
  <c r="U40" i="4"/>
  <c r="U29" i="4"/>
  <c r="U33" i="4"/>
  <c r="U19" i="4"/>
  <c r="U41" i="4"/>
  <c r="T48" i="4"/>
  <c r="AC63" i="4"/>
  <c r="AC73" i="4"/>
  <c r="U10" i="4"/>
  <c r="U32" i="4"/>
  <c r="U14" i="4"/>
  <c r="AC68" i="4"/>
  <c r="U47" i="4"/>
  <c r="B55" i="4"/>
  <c r="T3" i="4"/>
  <c r="AC59" i="4"/>
  <c r="AC67" i="4"/>
  <c r="U28" i="4"/>
  <c r="AC78" i="4"/>
  <c r="T13" i="4"/>
  <c r="T17" i="4"/>
  <c r="T53" i="4"/>
  <c r="T41" i="4"/>
  <c r="U42" i="4"/>
  <c r="U38" i="4"/>
  <c r="AC70" i="4"/>
  <c r="T30" i="4"/>
  <c r="AC58" i="4"/>
  <c r="T14" i="4"/>
  <c r="U15" i="4"/>
  <c r="F55" i="4"/>
  <c r="U26" i="4"/>
  <c r="T21" i="4"/>
  <c r="U20" i="4"/>
  <c r="T9" i="4"/>
  <c r="U25" i="4"/>
  <c r="T45" i="4"/>
  <c r="U56" i="4"/>
  <c r="U45" i="4"/>
  <c r="F56" i="4"/>
  <c r="T10" i="4"/>
  <c r="U43" i="4"/>
  <c r="T42" i="4"/>
  <c r="D55" i="4"/>
  <c r="T20" i="4"/>
  <c r="U50" i="4"/>
  <c r="T29" i="4"/>
  <c r="U55" i="4"/>
  <c r="T55" i="4"/>
  <c r="U22" i="4"/>
  <c r="T25" i="4"/>
  <c r="T40" i="4"/>
  <c r="U6" i="4"/>
  <c r="U23" i="4"/>
  <c r="U21" i="4"/>
  <c r="U9" i="4"/>
  <c r="U30" i="4"/>
  <c r="T8" i="4"/>
  <c r="T50" i="4"/>
  <c r="T27" i="4"/>
  <c r="U3" i="4"/>
  <c r="U18" i="4"/>
  <c r="T6" i="4"/>
  <c r="U48" i="4"/>
  <c r="D56" i="4"/>
  <c r="T38" i="4"/>
  <c r="U11" i="4"/>
  <c r="T11" i="4"/>
  <c r="AC75" i="4"/>
  <c r="U7" i="4"/>
  <c r="U4" i="4"/>
  <c r="U46" i="4"/>
  <c r="T44" i="4"/>
  <c r="U54" i="4"/>
  <c r="U34" i="4"/>
  <c r="T37" i="4"/>
  <c r="T19" i="4"/>
  <c r="T35" i="4"/>
  <c r="U16" i="4"/>
  <c r="T5" i="4"/>
  <c r="U24" i="4"/>
  <c r="U31" i="4"/>
  <c r="U39" i="4"/>
  <c r="T12" i="4"/>
  <c r="T36" i="4"/>
  <c r="T2" i="4"/>
  <c r="T57" i="4"/>
  <c r="AA18" i="7"/>
  <c r="AC55" i="4"/>
  <c r="AA48" i="7"/>
  <c r="AA129" i="7"/>
  <c r="AA127" i="7"/>
  <c r="AA66" i="7"/>
  <c r="AA67" i="7"/>
  <c r="AA98" i="7"/>
  <c r="AA82" i="7"/>
  <c r="AA29" i="7"/>
  <c r="AA20" i="7"/>
  <c r="AA61" i="7"/>
  <c r="AA104" i="7"/>
  <c r="AC54" i="4"/>
  <c r="AA144" i="7"/>
  <c r="AA70" i="7"/>
  <c r="AA122" i="7"/>
  <c r="AA21" i="7"/>
  <c r="AA87" i="7"/>
  <c r="AA47" i="7"/>
  <c r="AA65" i="7"/>
  <c r="AA148" i="7"/>
  <c r="AA140" i="7"/>
  <c r="AA69" i="7"/>
  <c r="AA150" i="7"/>
  <c r="AA99" i="7"/>
  <c r="AA120" i="7"/>
  <c r="AA103" i="7"/>
  <c r="AC56" i="4"/>
  <c r="AA118" i="7"/>
  <c r="AA27" i="7"/>
  <c r="AA125" i="7"/>
  <c r="AA71" i="7"/>
  <c r="AA77" i="7"/>
  <c r="AA96" i="7"/>
  <c r="AA124" i="7"/>
  <c r="AA128" i="7"/>
  <c r="AA56" i="7"/>
  <c r="AA40" i="7"/>
  <c r="AA58" i="7"/>
  <c r="AA55" i="7"/>
  <c r="AA17" i="7"/>
  <c r="AA45" i="7"/>
  <c r="AA132" i="7"/>
  <c r="AA116" i="7"/>
  <c r="AA28" i="7"/>
  <c r="AA113" i="7"/>
  <c r="AA121" i="7"/>
  <c r="AA149" i="7"/>
  <c r="AA126" i="7"/>
  <c r="AA133" i="7"/>
  <c r="AA31" i="7"/>
  <c r="AA107" i="7"/>
  <c r="AA97" i="7"/>
  <c r="AA101" i="7"/>
  <c r="AA79" i="7"/>
  <c r="AA89" i="7"/>
  <c r="AA83" i="7"/>
  <c r="AA53" i="7"/>
  <c r="AA91" i="7"/>
  <c r="AA30" i="7"/>
  <c r="AA136" i="7"/>
  <c r="AA26" i="7"/>
  <c r="AA92" i="7"/>
  <c r="AA100" i="7"/>
  <c r="AA23" i="7"/>
  <c r="AA86" i="7"/>
  <c r="AA105" i="7"/>
  <c r="AA80" i="7"/>
  <c r="AA42" i="7"/>
  <c r="AA60" i="7"/>
  <c r="AA145" i="7"/>
  <c r="AA139" i="7"/>
  <c r="AA137" i="7"/>
  <c r="AA135" i="7"/>
  <c r="AA33" i="7"/>
  <c r="AA76" i="7"/>
  <c r="AA102" i="7"/>
  <c r="AA43" i="7"/>
  <c r="AA95" i="7"/>
  <c r="AA59" i="7"/>
  <c r="AA141" i="7"/>
  <c r="AA52" i="7"/>
  <c r="AA32" i="7"/>
  <c r="AA117" i="7"/>
  <c r="AA39" i="7"/>
  <c r="AC52" i="4"/>
  <c r="AA85" i="7"/>
  <c r="AA112" i="7"/>
  <c r="AA115" i="7"/>
  <c r="AA90" i="7"/>
  <c r="AA72" i="7"/>
  <c r="AA37" i="7"/>
  <c r="AA142" i="7"/>
  <c r="AA88" i="7"/>
  <c r="AA74" i="7"/>
  <c r="AA35" i="7"/>
  <c r="AA51" i="7"/>
  <c r="AA119" i="7"/>
  <c r="AA44" i="7"/>
  <c r="AA63" i="7"/>
  <c r="AA81" i="7"/>
  <c r="AA50" i="7"/>
  <c r="AA24" i="7"/>
  <c r="AA46" i="7"/>
  <c r="AC49" i="4"/>
  <c r="AA134" i="7"/>
  <c r="AC51" i="4"/>
  <c r="AC53" i="4"/>
  <c r="AA19" i="7"/>
  <c r="AA34" i="7"/>
  <c r="AA54" i="7"/>
  <c r="AA36" i="7"/>
  <c r="AA25" i="7"/>
  <c r="AA68" i="7"/>
  <c r="AA110" i="7"/>
  <c r="AA146" i="7"/>
  <c r="AA147" i="7"/>
  <c r="AA22" i="7"/>
  <c r="AA138" i="7"/>
  <c r="AA131" i="7"/>
  <c r="AA94" i="7"/>
  <c r="AA78" i="7"/>
  <c r="AA93" i="7"/>
  <c r="AA106" i="7"/>
  <c r="AA143" i="7"/>
  <c r="AA111" i="7"/>
  <c r="AA41" i="7"/>
  <c r="AA130" i="7"/>
  <c r="AA108" i="7"/>
  <c r="AA114" i="7"/>
  <c r="AA109" i="7"/>
  <c r="AA64" i="7"/>
  <c r="AA62" i="7"/>
  <c r="AA57" i="7"/>
  <c r="AA75" i="7"/>
  <c r="AA73" i="7"/>
  <c r="AA123" i="7"/>
  <c r="AA84" i="7"/>
  <c r="AA49" i="7"/>
  <c r="AC50" i="4"/>
  <c r="AA38" i="7"/>
  <c r="X55" i="4" l="1"/>
  <c r="AD58" i="4"/>
  <c r="AD75" i="4"/>
  <c r="AD63" i="4"/>
  <c r="AD78" i="4"/>
  <c r="AD67" i="4"/>
  <c r="AB55" i="4"/>
  <c r="AD70" i="4"/>
  <c r="AD59" i="4"/>
  <c r="AD68" i="4"/>
  <c r="AD73" i="4"/>
  <c r="G51" i="4"/>
  <c r="P51" i="4"/>
  <c r="Q51" i="4"/>
  <c r="Q76" i="4"/>
  <c r="G76" i="4"/>
  <c r="P76" i="4"/>
  <c r="P69" i="4"/>
  <c r="Q69" i="4"/>
  <c r="G69" i="4"/>
  <c r="G61" i="4"/>
  <c r="Q61" i="4"/>
  <c r="P61" i="4"/>
  <c r="P64" i="4"/>
  <c r="Q64" i="4"/>
  <c r="G64" i="4"/>
  <c r="P58" i="4"/>
  <c r="Q58" i="4"/>
  <c r="G58" i="4"/>
  <c r="P56" i="4"/>
  <c r="Q56" i="4"/>
  <c r="G56" i="4"/>
  <c r="G71" i="4"/>
  <c r="Q71" i="4"/>
  <c r="P71" i="4"/>
  <c r="Q75" i="4"/>
  <c r="G75" i="4"/>
  <c r="P75" i="4"/>
  <c r="P62" i="4"/>
  <c r="Q62" i="4"/>
  <c r="G62" i="4"/>
  <c r="P77" i="4"/>
  <c r="Q77" i="4"/>
  <c r="G77" i="4"/>
  <c r="Q52" i="4"/>
  <c r="G52" i="4"/>
  <c r="P52" i="4"/>
  <c r="P65" i="4"/>
  <c r="Q65" i="4"/>
  <c r="G65" i="4"/>
  <c r="P54" i="4"/>
  <c r="Q54" i="4"/>
  <c r="G54" i="4"/>
  <c r="G57" i="4"/>
  <c r="P57" i="4"/>
  <c r="Q57" i="4"/>
  <c r="G80" i="4"/>
  <c r="P80" i="4"/>
  <c r="Q80" i="4"/>
  <c r="P60" i="4"/>
  <c r="Q60" i="4"/>
  <c r="G60" i="4"/>
  <c r="P72" i="4"/>
  <c r="Q72" i="4"/>
  <c r="G72" i="4"/>
  <c r="G53" i="4"/>
  <c r="Q53" i="4"/>
  <c r="P53" i="4"/>
  <c r="G66" i="4"/>
  <c r="Q66" i="4"/>
  <c r="P66" i="4"/>
  <c r="P74" i="4"/>
  <c r="Q74" i="4"/>
  <c r="G74" i="4"/>
  <c r="P79" i="4"/>
  <c r="Q79" i="4"/>
  <c r="G79" i="4"/>
  <c r="G63" i="4"/>
  <c r="P63" i="4"/>
  <c r="Q63" i="4"/>
  <c r="G78" i="4"/>
  <c r="P78" i="4"/>
  <c r="Q78" i="4"/>
  <c r="P67" i="4"/>
  <c r="Q67" i="4"/>
  <c r="G67" i="4"/>
  <c r="P55" i="4"/>
  <c r="G55" i="4"/>
  <c r="Q55" i="4"/>
  <c r="O55" i="4"/>
  <c r="P70" i="4"/>
  <c r="Q70" i="4"/>
  <c r="G70" i="4"/>
  <c r="G59" i="4"/>
  <c r="P59" i="4"/>
  <c r="Q59" i="4"/>
  <c r="Q68" i="4"/>
  <c r="G68" i="4"/>
  <c r="P68" i="4"/>
  <c r="G73" i="4"/>
  <c r="P73" i="4"/>
  <c r="Q73" i="4"/>
  <c r="AC132" i="7"/>
  <c r="AC150" i="7"/>
  <c r="AC141" i="7"/>
  <c r="AC134" i="7"/>
  <c r="AC114" i="7"/>
  <c r="AC149" i="7"/>
  <c r="AC128" i="7"/>
  <c r="AC130" i="7"/>
  <c r="AC144" i="7"/>
  <c r="AC145" i="7"/>
  <c r="AC148" i="7"/>
  <c r="AC138" i="7"/>
  <c r="AC146" i="7"/>
  <c r="AC126" i="7"/>
  <c r="AC142" i="7"/>
  <c r="AC136" i="7"/>
  <c r="AC140" i="7"/>
  <c r="AC110" i="7"/>
  <c r="AC105" i="7"/>
  <c r="AC122" i="7"/>
  <c r="AC143" i="7"/>
  <c r="AC147" i="7"/>
  <c r="AC118" i="7"/>
  <c r="AC20" i="7"/>
  <c r="AC21" i="7"/>
  <c r="AC25" i="7"/>
  <c r="AC24" i="7"/>
  <c r="AC27" i="7"/>
  <c r="AC26" i="7"/>
  <c r="AC17" i="7"/>
  <c r="AC18" i="7"/>
  <c r="AC19" i="7"/>
  <c r="AC22" i="7"/>
  <c r="AC30" i="7"/>
  <c r="AC31" i="7"/>
  <c r="AC28" i="7"/>
  <c r="AC29" i="7"/>
  <c r="AC32" i="7"/>
  <c r="AC23" i="7"/>
  <c r="AC61" i="7"/>
  <c r="AC76" i="7"/>
  <c r="AC64" i="7"/>
  <c r="AC40" i="7"/>
  <c r="AC60" i="7"/>
  <c r="AC34" i="7"/>
  <c r="AC89" i="7"/>
  <c r="AC100" i="7"/>
  <c r="AC101" i="7"/>
  <c r="AC120" i="7"/>
  <c r="AC117" i="7"/>
  <c r="AC98" i="7"/>
  <c r="AC43" i="7"/>
  <c r="AC80" i="7"/>
  <c r="AC131" i="7"/>
  <c r="AC63" i="7"/>
  <c r="AC38" i="7"/>
  <c r="AC104" i="7"/>
  <c r="AC67" i="7"/>
  <c r="AC50" i="7"/>
  <c r="AC73" i="7"/>
  <c r="AC33" i="7"/>
  <c r="AC58" i="7"/>
  <c r="AC51" i="7"/>
  <c r="AC95" i="7"/>
  <c r="AC103" i="7"/>
  <c r="AC70" i="7"/>
  <c r="AC54" i="7"/>
  <c r="AC57" i="7"/>
  <c r="AC66" i="7"/>
  <c r="AC139" i="7"/>
  <c r="AC112" i="7"/>
  <c r="AC46" i="7"/>
  <c r="AC74" i="7"/>
  <c r="AC65" i="7"/>
  <c r="AC62" i="7"/>
  <c r="AC36" i="7"/>
  <c r="AC86" i="7"/>
  <c r="AC48" i="7"/>
  <c r="AC77" i="7"/>
  <c r="AC68" i="7"/>
  <c r="AC59" i="7"/>
  <c r="AC35" i="7"/>
  <c r="AC37" i="7"/>
  <c r="AC53" i="7"/>
  <c r="AC124" i="7"/>
  <c r="AC56" i="7"/>
  <c r="AC55" i="7"/>
  <c r="AC92" i="7"/>
  <c r="AC79" i="7"/>
  <c r="AC115" i="7"/>
  <c r="AC52" i="7"/>
  <c r="AC71" i="7"/>
  <c r="AC49" i="7"/>
  <c r="AC133" i="7"/>
  <c r="AC47" i="7"/>
  <c r="AC39" i="7"/>
  <c r="AC135" i="7"/>
  <c r="AC137" i="7"/>
  <c r="AC42" i="7"/>
  <c r="AC44" i="7"/>
  <c r="AC45" i="7"/>
  <c r="AC41" i="7"/>
  <c r="AC94" i="7"/>
  <c r="AC82" i="7"/>
  <c r="AC91" i="7"/>
  <c r="AC88" i="7"/>
  <c r="AC85" i="7"/>
  <c r="AC97" i="7"/>
  <c r="AC69" i="7"/>
  <c r="AC93" i="7"/>
  <c r="AC99" i="7"/>
  <c r="AC102" i="7"/>
  <c r="AC108" i="7"/>
  <c r="AC87" i="7"/>
  <c r="AC90" i="7"/>
  <c r="AC84" i="7"/>
  <c r="AC129" i="7"/>
  <c r="AC96" i="7"/>
  <c r="AC75" i="7"/>
  <c r="AC121" i="7"/>
  <c r="AC119" i="7"/>
  <c r="AC109" i="7"/>
  <c r="AC116" i="7"/>
  <c r="AC127" i="7"/>
  <c r="AC106" i="7"/>
  <c r="AC81" i="7"/>
  <c r="AC113" i="7"/>
  <c r="AC107" i="7"/>
  <c r="AC72" i="7"/>
  <c r="AC123" i="7"/>
  <c r="AC78" i="7"/>
  <c r="AC111" i="7"/>
  <c r="AC125" i="7"/>
  <c r="AC83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4" i="7"/>
  <c r="D76" i="4"/>
  <c r="D69" i="4"/>
  <c r="B61" i="4"/>
  <c r="E58" i="4"/>
  <c r="D71" i="4"/>
  <c r="F75" i="4"/>
  <c r="F62" i="4"/>
  <c r="B77" i="4"/>
  <c r="D60" i="4"/>
  <c r="F72" i="4"/>
  <c r="D78" i="4"/>
  <c r="B70" i="4"/>
  <c r="E59" i="4"/>
  <c r="D61" i="4"/>
  <c r="F64" i="4"/>
  <c r="F58" i="4"/>
  <c r="E62" i="4"/>
  <c r="D77" i="4"/>
  <c r="B65" i="4"/>
  <c r="B72" i="4"/>
  <c r="D74" i="4"/>
  <c r="V79" i="4"/>
  <c r="D63" i="4"/>
  <c r="B67" i="4"/>
  <c r="E68" i="4"/>
  <c r="B68" i="4"/>
  <c r="F76" i="4"/>
  <c r="V69" i="4"/>
  <c r="B64" i="4"/>
  <c r="V58" i="4"/>
  <c r="B71" i="4"/>
  <c r="F65" i="4"/>
  <c r="F60" i="4"/>
  <c r="D72" i="4"/>
  <c r="E66" i="4"/>
  <c r="B79" i="4"/>
  <c r="B78" i="4"/>
  <c r="F67" i="4"/>
  <c r="F70" i="4"/>
  <c r="F73" i="4"/>
  <c r="E76" i="4"/>
  <c r="E69" i="4"/>
  <c r="V61" i="4"/>
  <c r="V71" i="4"/>
  <c r="F66" i="4"/>
  <c r="F78" i="4"/>
  <c r="E70" i="4"/>
  <c r="F68" i="4"/>
  <c r="B73" i="4"/>
  <c r="F69" i="4"/>
  <c r="E61" i="4"/>
  <c r="E71" i="4"/>
  <c r="B62" i="4"/>
  <c r="V65" i="4"/>
  <c r="V80" i="4"/>
  <c r="B60" i="4"/>
  <c r="V66" i="4"/>
  <c r="V74" i="4"/>
  <c r="F79" i="4"/>
  <c r="V78" i="4"/>
  <c r="B59" i="4"/>
  <c r="V68" i="4"/>
  <c r="B69" i="4"/>
  <c r="E64" i="4"/>
  <c r="D58" i="4"/>
  <c r="F77" i="4"/>
  <c r="B80" i="4"/>
  <c r="E80" i="4"/>
  <c r="F74" i="4"/>
  <c r="E63" i="4"/>
  <c r="V67" i="4"/>
  <c r="V70" i="4"/>
  <c r="D59" i="4"/>
  <c r="D64" i="4"/>
  <c r="E77" i="4"/>
  <c r="D65" i="4"/>
  <c r="E60" i="4"/>
  <c r="E72" i="4"/>
  <c r="E74" i="4"/>
  <c r="F63" i="4"/>
  <c r="V59" i="4"/>
  <c r="D73" i="4"/>
  <c r="V76" i="4"/>
  <c r="F61" i="4"/>
  <c r="E75" i="4"/>
  <c r="D62" i="4"/>
  <c r="V63" i="4"/>
  <c r="D67" i="4"/>
  <c r="D68" i="4"/>
  <c r="V73" i="4"/>
  <c r="D79" i="4"/>
  <c r="V62" i="4"/>
  <c r="D80" i="4"/>
  <c r="V72" i="4"/>
  <c r="D66" i="4"/>
  <c r="E79" i="4"/>
  <c r="B75" i="4"/>
  <c r="B76" i="4"/>
  <c r="F80" i="4"/>
  <c r="V60" i="4"/>
  <c r="B74" i="4"/>
  <c r="F59" i="4"/>
  <c r="D75" i="4"/>
  <c r="E67" i="4"/>
  <c r="B58" i="4"/>
  <c r="F71" i="4"/>
  <c r="B66" i="4"/>
  <c r="B63" i="4"/>
  <c r="V64" i="4"/>
  <c r="V75" i="4"/>
  <c r="E65" i="4"/>
  <c r="E78" i="4"/>
  <c r="V77" i="4"/>
  <c r="D70" i="4"/>
  <c r="E73" i="4"/>
  <c r="B57" i="4"/>
  <c r="F57" i="4"/>
  <c r="D57" i="4"/>
  <c r="T31" i="4"/>
  <c r="T33" i="4"/>
  <c r="W69" i="7"/>
  <c r="U35" i="4"/>
  <c r="W16" i="7"/>
  <c r="W37" i="7"/>
  <c r="O87" i="7"/>
  <c r="AC62" i="4"/>
  <c r="O4" i="7"/>
  <c r="Q141" i="7"/>
  <c r="O66" i="7"/>
  <c r="W64" i="7"/>
  <c r="N60" i="4"/>
  <c r="W124" i="7"/>
  <c r="Q135" i="7"/>
  <c r="N71" i="4"/>
  <c r="W62" i="7"/>
  <c r="Q17" i="7"/>
  <c r="W50" i="7"/>
  <c r="P13" i="7"/>
  <c r="U60" i="4"/>
  <c r="U71" i="4"/>
  <c r="O48" i="7"/>
  <c r="Q50" i="7"/>
  <c r="W118" i="7"/>
  <c r="O116" i="7"/>
  <c r="U27" i="4"/>
  <c r="O128" i="7"/>
  <c r="O15" i="7"/>
  <c r="P97" i="7"/>
  <c r="W18" i="7"/>
  <c r="AC76" i="4"/>
  <c r="N64" i="4"/>
  <c r="O32" i="7"/>
  <c r="P70" i="7"/>
  <c r="T65" i="4"/>
  <c r="T51" i="4"/>
  <c r="T69" i="4"/>
  <c r="K63" i="4"/>
  <c r="P98" i="7"/>
  <c r="T73" i="4"/>
  <c r="Q65" i="7"/>
  <c r="Q150" i="7"/>
  <c r="Q44" i="7"/>
  <c r="O88" i="7"/>
  <c r="D54" i="4"/>
  <c r="V55" i="4"/>
  <c r="O56" i="7"/>
  <c r="O58" i="7"/>
  <c r="O98" i="7"/>
  <c r="Q83" i="7"/>
  <c r="W103" i="7"/>
  <c r="W143" i="7"/>
  <c r="O47" i="7"/>
  <c r="Q53" i="7"/>
  <c r="O124" i="7"/>
  <c r="Q45" i="7"/>
  <c r="O20" i="7"/>
  <c r="AC65" i="4"/>
  <c r="O34" i="7"/>
  <c r="O73" i="7"/>
  <c r="AC74" i="4"/>
  <c r="O139" i="7"/>
  <c r="W33" i="7"/>
  <c r="W7" i="7"/>
  <c r="O71" i="7"/>
  <c r="W41" i="7"/>
  <c r="O57" i="7"/>
  <c r="W57" i="7"/>
  <c r="N79" i="4"/>
  <c r="W111" i="7"/>
  <c r="O59" i="7"/>
  <c r="T34" i="4"/>
  <c r="Q33" i="7"/>
  <c r="P55" i="7"/>
  <c r="K58" i="4"/>
  <c r="W107" i="7"/>
  <c r="W12" i="7"/>
  <c r="Q134" i="7"/>
  <c r="P27" i="7"/>
  <c r="Q10" i="7"/>
  <c r="W98" i="7"/>
  <c r="P137" i="7"/>
  <c r="W83" i="7"/>
  <c r="W77" i="7"/>
  <c r="N73" i="4"/>
  <c r="W140" i="7"/>
  <c r="Q22" i="7"/>
  <c r="O93" i="7"/>
  <c r="Q144" i="7"/>
  <c r="O100" i="7"/>
  <c r="Q82" i="7"/>
  <c r="W128" i="7"/>
  <c r="W27" i="7"/>
  <c r="W56" i="7"/>
  <c r="O79" i="7"/>
  <c r="P76" i="7"/>
  <c r="W48" i="7"/>
  <c r="Q131" i="7"/>
  <c r="W137" i="7"/>
  <c r="O96" i="7"/>
  <c r="O147" i="7"/>
  <c r="O119" i="7"/>
  <c r="P118" i="7"/>
  <c r="T71" i="4"/>
  <c r="W79" i="7"/>
  <c r="Q13" i="7"/>
  <c r="N69" i="4"/>
  <c r="U78" i="4"/>
  <c r="O134" i="7"/>
  <c r="O53" i="7"/>
  <c r="W108" i="7"/>
  <c r="W112" i="7"/>
  <c r="Q34" i="7"/>
  <c r="Q29" i="7"/>
  <c r="Q11" i="7"/>
  <c r="T7" i="4"/>
  <c r="Q52" i="7"/>
  <c r="W145" i="7"/>
  <c r="W52" i="7"/>
  <c r="U12" i="4"/>
  <c r="W138" i="7"/>
  <c r="W38" i="7"/>
  <c r="O44" i="7"/>
  <c r="Q43" i="7"/>
  <c r="P39" i="7"/>
  <c r="T16" i="4"/>
  <c r="AC57" i="4"/>
  <c r="W9" i="7"/>
  <c r="P18" i="7"/>
  <c r="P114" i="7"/>
  <c r="P141" i="7"/>
  <c r="Q70" i="7"/>
  <c r="Q128" i="7"/>
  <c r="Q149" i="7"/>
  <c r="P50" i="7"/>
  <c r="P84" i="7"/>
  <c r="W95" i="7"/>
  <c r="P140" i="7"/>
  <c r="T24" i="4"/>
  <c r="W97" i="7"/>
  <c r="P135" i="7"/>
  <c r="Q148" i="7"/>
  <c r="P74" i="7"/>
  <c r="Q27" i="7"/>
  <c r="W47" i="7"/>
  <c r="B51" i="4"/>
  <c r="W76" i="7"/>
  <c r="P52" i="7"/>
  <c r="W84" i="7"/>
  <c r="O112" i="7"/>
  <c r="O84" i="7"/>
  <c r="P131" i="7"/>
  <c r="O25" i="7"/>
  <c r="P129" i="7"/>
  <c r="P7" i="7"/>
  <c r="W65" i="7"/>
  <c r="K62" i="4"/>
  <c r="U68" i="4"/>
  <c r="O26" i="7"/>
  <c r="P93" i="7"/>
  <c r="W85" i="7"/>
  <c r="P51" i="7"/>
  <c r="O148" i="7"/>
  <c r="W68" i="7"/>
  <c r="O14" i="7"/>
  <c r="U53" i="4"/>
  <c r="Q110" i="7"/>
  <c r="Q115" i="7"/>
  <c r="T72" i="4"/>
  <c r="P116" i="7"/>
  <c r="U37" i="4"/>
  <c r="U70" i="4"/>
  <c r="AC66" i="4"/>
  <c r="Q124" i="7"/>
  <c r="O115" i="7"/>
  <c r="P73" i="7"/>
  <c r="P83" i="7"/>
  <c r="T32" i="4"/>
  <c r="W144" i="7"/>
  <c r="P115" i="7"/>
  <c r="Q106" i="7"/>
  <c r="Q54" i="7"/>
  <c r="Q130" i="7"/>
  <c r="W14" i="7"/>
  <c r="O62" i="7"/>
  <c r="O45" i="7"/>
  <c r="Q138" i="7"/>
  <c r="O78" i="7"/>
  <c r="P94" i="7"/>
  <c r="O77" i="7"/>
  <c r="Q127" i="7"/>
  <c r="Q49" i="7"/>
  <c r="U57" i="4"/>
  <c r="K64" i="4"/>
  <c r="W70" i="7"/>
  <c r="F53" i="4"/>
  <c r="P33" i="7"/>
  <c r="O107" i="7"/>
  <c r="W30" i="7"/>
  <c r="K76" i="4"/>
  <c r="P10" i="7"/>
  <c r="T61" i="4"/>
  <c r="O52" i="7"/>
  <c r="T79" i="4"/>
  <c r="O118" i="7"/>
  <c r="Q74" i="7"/>
  <c r="O50" i="7"/>
  <c r="O101" i="7"/>
  <c r="Q26" i="7"/>
  <c r="K66" i="4"/>
  <c r="Q103" i="7"/>
  <c r="W81" i="7"/>
  <c r="P108" i="7"/>
  <c r="P69" i="7"/>
  <c r="Q105" i="7"/>
  <c r="Q57" i="7"/>
  <c r="P56" i="7"/>
  <c r="W87" i="7"/>
  <c r="W119" i="7"/>
  <c r="W136" i="7"/>
  <c r="Q123" i="7"/>
  <c r="W129" i="7"/>
  <c r="W26" i="7"/>
  <c r="O109" i="7"/>
  <c r="U13" i="4"/>
  <c r="Q118" i="7"/>
  <c r="T49" i="4"/>
  <c r="B53" i="4"/>
  <c r="O7" i="7"/>
  <c r="O5" i="7"/>
  <c r="P49" i="7"/>
  <c r="Q122" i="7"/>
  <c r="W91" i="7"/>
  <c r="T62" i="4"/>
  <c r="O102" i="7"/>
  <c r="O41" i="7"/>
  <c r="P87" i="7"/>
  <c r="P128" i="7"/>
  <c r="Q129" i="7"/>
  <c r="T22" i="4"/>
  <c r="Q12" i="7"/>
  <c r="P6" i="7"/>
  <c r="W15" i="7"/>
  <c r="W22" i="7"/>
  <c r="W148" i="7"/>
  <c r="Q86" i="7"/>
  <c r="P21" i="7"/>
  <c r="Q5" i="7"/>
  <c r="Q59" i="7"/>
  <c r="O54" i="7"/>
  <c r="P28" i="7"/>
  <c r="W109" i="7"/>
  <c r="P46" i="7"/>
  <c r="O138" i="7"/>
  <c r="W5" i="7"/>
  <c r="W150" i="7"/>
  <c r="Q133" i="7"/>
  <c r="O110" i="7"/>
  <c r="K61" i="4"/>
  <c r="Q98" i="7"/>
  <c r="K60" i="4"/>
  <c r="Q142" i="7"/>
  <c r="U62" i="4"/>
  <c r="P26" i="7"/>
  <c r="P86" i="7"/>
  <c r="P23" i="7"/>
  <c r="Q146" i="7"/>
  <c r="W123" i="7"/>
  <c r="O149" i="7"/>
  <c r="K74" i="4"/>
  <c r="U66" i="4"/>
  <c r="P63" i="7"/>
  <c r="O135" i="7"/>
  <c r="Q40" i="7"/>
  <c r="N68" i="4"/>
  <c r="W110" i="7"/>
  <c r="P44" i="7"/>
  <c r="T75" i="4"/>
  <c r="O141" i="7"/>
  <c r="Q19" i="7"/>
  <c r="AC60" i="4"/>
  <c r="W66" i="7"/>
  <c r="W3" i="7"/>
  <c r="O99" i="7"/>
  <c r="O43" i="7"/>
  <c r="P34" i="7"/>
  <c r="P16" i="7"/>
  <c r="P47" i="7"/>
  <c r="Q39" i="7"/>
  <c r="P90" i="7"/>
  <c r="O91" i="7"/>
  <c r="Q20" i="7"/>
  <c r="Q76" i="7"/>
  <c r="P136" i="7"/>
  <c r="P31" i="7"/>
  <c r="O60" i="7"/>
  <c r="T70" i="4"/>
  <c r="F52" i="4"/>
  <c r="K73" i="4"/>
  <c r="P38" i="7"/>
  <c r="W53" i="7"/>
  <c r="W19" i="7"/>
  <c r="Q18" i="7"/>
  <c r="AC72" i="4"/>
  <c r="T64" i="4"/>
  <c r="W63" i="7"/>
  <c r="T46" i="4"/>
  <c r="U80" i="4"/>
  <c r="W104" i="7"/>
  <c r="P57" i="7"/>
  <c r="W90" i="7"/>
  <c r="O31" i="7"/>
  <c r="W20" i="7"/>
  <c r="O136" i="7"/>
  <c r="U69" i="4"/>
  <c r="Q81" i="7"/>
  <c r="O18" i="7"/>
  <c r="O68" i="7"/>
  <c r="W28" i="7"/>
  <c r="Q147" i="7"/>
  <c r="W40" i="7"/>
  <c r="P41" i="7"/>
  <c r="Q60" i="7"/>
  <c r="O89" i="7"/>
  <c r="P125" i="7"/>
  <c r="O113" i="7"/>
  <c r="Q36" i="7"/>
  <c r="T52" i="4"/>
  <c r="O37" i="7"/>
  <c r="P126" i="7"/>
  <c r="U51" i="4"/>
  <c r="P17" i="7"/>
  <c r="Q15" i="7"/>
  <c r="Q30" i="7"/>
  <c r="AC61" i="4"/>
  <c r="T80" i="4"/>
  <c r="W36" i="7"/>
  <c r="F54" i="4"/>
  <c r="Q116" i="7"/>
  <c r="P149" i="7"/>
  <c r="Q37" i="7"/>
  <c r="T56" i="4"/>
  <c r="Q67" i="7"/>
  <c r="O65" i="7"/>
  <c r="N55" i="4"/>
  <c r="W101" i="7"/>
  <c r="W122" i="7"/>
  <c r="P146" i="7"/>
  <c r="W99" i="7"/>
  <c r="P132" i="7"/>
  <c r="Q68" i="7"/>
  <c r="Q72" i="7"/>
  <c r="O123" i="7"/>
  <c r="O21" i="7"/>
  <c r="P42" i="7"/>
  <c r="Q92" i="7"/>
  <c r="O120" i="7"/>
  <c r="O42" i="7"/>
  <c r="K78" i="4"/>
  <c r="O74" i="7"/>
  <c r="K59" i="4"/>
  <c r="W116" i="7"/>
  <c r="Q101" i="7"/>
  <c r="W35" i="7"/>
  <c r="W10" i="7"/>
  <c r="O129" i="7"/>
  <c r="O64" i="7"/>
  <c r="P62" i="7"/>
  <c r="P48" i="7"/>
  <c r="Q99" i="7"/>
  <c r="N77" i="4"/>
  <c r="O39" i="7"/>
  <c r="Q78" i="7"/>
  <c r="O80" i="7"/>
  <c r="T54" i="4"/>
  <c r="Q91" i="7"/>
  <c r="U75" i="4"/>
  <c r="P120" i="7"/>
  <c r="P103" i="7"/>
  <c r="P30" i="7"/>
  <c r="K77" i="4"/>
  <c r="W61" i="7"/>
  <c r="W58" i="7"/>
  <c r="P117" i="7"/>
  <c r="W92" i="7"/>
  <c r="P99" i="7"/>
  <c r="Q100" i="7"/>
  <c r="Q140" i="7"/>
  <c r="Q46" i="7"/>
  <c r="Q35" i="7"/>
  <c r="Q79" i="7"/>
  <c r="W21" i="7"/>
  <c r="T58" i="4"/>
  <c r="O142" i="7"/>
  <c r="W125" i="7"/>
  <c r="U36" i="4"/>
  <c r="P109" i="7"/>
  <c r="Q119" i="7"/>
  <c r="W132" i="7"/>
  <c r="Q62" i="7"/>
  <c r="D53" i="4"/>
  <c r="T59" i="4"/>
  <c r="P95" i="7"/>
  <c r="W146" i="7"/>
  <c r="W130" i="7"/>
  <c r="O38" i="7"/>
  <c r="N80" i="4"/>
  <c r="AC80" i="4"/>
  <c r="W139" i="7"/>
  <c r="U67" i="4"/>
  <c r="T18" i="4"/>
  <c r="W29" i="7"/>
  <c r="O127" i="7"/>
  <c r="T78" i="4"/>
  <c r="Q56" i="7"/>
  <c r="W42" i="7"/>
  <c r="Q21" i="7"/>
  <c r="N72" i="4"/>
  <c r="Q75" i="7"/>
  <c r="Q109" i="7"/>
  <c r="U59" i="4"/>
  <c r="W54" i="7"/>
  <c r="O9" i="7"/>
  <c r="P60" i="7"/>
  <c r="Q69" i="7"/>
  <c r="Q80" i="7"/>
  <c r="W94" i="7"/>
  <c r="W49" i="7"/>
  <c r="P80" i="7"/>
  <c r="P19" i="7"/>
  <c r="Q125" i="7"/>
  <c r="W43" i="7"/>
  <c r="W72" i="7"/>
  <c r="O132" i="7"/>
  <c r="O140" i="7"/>
  <c r="P71" i="7"/>
  <c r="P82" i="7"/>
  <c r="W131" i="7"/>
  <c r="Q41" i="7"/>
  <c r="P68" i="7"/>
  <c r="Q113" i="7"/>
  <c r="Q111" i="7"/>
  <c r="W11" i="7"/>
  <c r="O145" i="7"/>
  <c r="W100" i="7"/>
  <c r="O17" i="7"/>
  <c r="N61" i="4"/>
  <c r="O33" i="7"/>
  <c r="K68" i="4"/>
  <c r="U77" i="4"/>
  <c r="Q93" i="7"/>
  <c r="K75" i="4"/>
  <c r="P106" i="7"/>
  <c r="Q95" i="7"/>
  <c r="Q55" i="7"/>
  <c r="O30" i="7"/>
  <c r="U79" i="4"/>
  <c r="P89" i="7"/>
  <c r="B52" i="4"/>
  <c r="W55" i="7"/>
  <c r="AC77" i="4"/>
  <c r="P134" i="7"/>
  <c r="P54" i="7"/>
  <c r="Q73" i="7"/>
  <c r="T43" i="4"/>
  <c r="O70" i="7"/>
  <c r="W51" i="7"/>
  <c r="P85" i="7"/>
  <c r="O35" i="7"/>
  <c r="W45" i="7"/>
  <c r="AC79" i="4"/>
  <c r="W113" i="7"/>
  <c r="W86" i="7"/>
  <c r="Q9" i="7"/>
  <c r="U58" i="4"/>
  <c r="K70" i="4"/>
  <c r="W8" i="7"/>
  <c r="O137" i="7"/>
  <c r="O146" i="7"/>
  <c r="W127" i="7"/>
  <c r="W134" i="7"/>
  <c r="O95" i="7"/>
  <c r="W60" i="7"/>
  <c r="P107" i="7"/>
  <c r="P101" i="7"/>
  <c r="O36" i="7"/>
  <c r="W25" i="7"/>
  <c r="W114" i="7"/>
  <c r="P58" i="7"/>
  <c r="B56" i="4"/>
  <c r="P35" i="7"/>
  <c r="P79" i="7"/>
  <c r="Q64" i="7"/>
  <c r="O85" i="7"/>
  <c r="P102" i="7"/>
  <c r="U44" i="4"/>
  <c r="P25" i="7"/>
  <c r="W106" i="7"/>
  <c r="O117" i="7"/>
  <c r="P105" i="7"/>
  <c r="Q58" i="7"/>
  <c r="O111" i="7"/>
  <c r="O114" i="7"/>
  <c r="P5" i="7"/>
  <c r="Q137" i="7"/>
  <c r="T47" i="4"/>
  <c r="U5" i="4"/>
  <c r="O24" i="7"/>
  <c r="O90" i="7"/>
  <c r="W67" i="7"/>
  <c r="O29" i="7"/>
  <c r="K65" i="4"/>
  <c r="U49" i="4"/>
  <c r="U52" i="4"/>
  <c r="W75" i="7"/>
  <c r="P12" i="7"/>
  <c r="U74" i="4"/>
  <c r="Q89" i="7"/>
  <c r="O106" i="7"/>
  <c r="P92" i="7"/>
  <c r="Q136" i="7"/>
  <c r="P61" i="7"/>
  <c r="N75" i="4"/>
  <c r="Q7" i="7"/>
  <c r="P15" i="7"/>
  <c r="Q107" i="7"/>
  <c r="Q143" i="7"/>
  <c r="Q63" i="7"/>
  <c r="P78" i="7"/>
  <c r="W142" i="7"/>
  <c r="P138" i="7"/>
  <c r="Q23" i="7"/>
  <c r="W82" i="7"/>
  <c r="W71" i="7"/>
  <c r="Q84" i="7"/>
  <c r="P112" i="7"/>
  <c r="O51" i="7"/>
  <c r="Q31" i="7"/>
  <c r="W126" i="7"/>
  <c r="P32" i="7"/>
  <c r="K79" i="4"/>
  <c r="W24" i="7"/>
  <c r="Q87" i="7"/>
  <c r="P65" i="7"/>
  <c r="Q4" i="7"/>
  <c r="W17" i="7"/>
  <c r="P148" i="7"/>
  <c r="Q132" i="7"/>
  <c r="Q16" i="7"/>
  <c r="W13" i="7"/>
  <c r="O97" i="7"/>
  <c r="P124" i="7"/>
  <c r="N67" i="4"/>
  <c r="P100" i="7"/>
  <c r="F51" i="4"/>
  <c r="Q48" i="7"/>
  <c r="U72" i="4"/>
  <c r="P66" i="7"/>
  <c r="W31" i="7"/>
  <c r="P130" i="7"/>
  <c r="Q114" i="7"/>
  <c r="W96" i="7"/>
  <c r="O75" i="7"/>
  <c r="AC71" i="4"/>
  <c r="O69" i="7"/>
  <c r="P36" i="7"/>
  <c r="O72" i="7"/>
  <c r="P122" i="7"/>
  <c r="U61" i="4"/>
  <c r="O83" i="7"/>
  <c r="K71" i="4"/>
  <c r="O82" i="7"/>
  <c r="O92" i="7"/>
  <c r="P144" i="7"/>
  <c r="O27" i="7"/>
  <c r="W133" i="7"/>
  <c r="O63" i="7"/>
  <c r="P110" i="7"/>
  <c r="T74" i="4"/>
  <c r="W34" i="7"/>
  <c r="O121" i="7"/>
  <c r="P67" i="7"/>
  <c r="N70" i="4"/>
  <c r="P4" i="7"/>
  <c r="U2" i="4"/>
  <c r="Q90" i="7"/>
  <c r="N76" i="4"/>
  <c r="O61" i="7"/>
  <c r="O103" i="7"/>
  <c r="P24" i="7"/>
  <c r="Q121" i="7"/>
  <c r="Q28" i="7"/>
  <c r="O12" i="7"/>
  <c r="Q139" i="7"/>
  <c r="O49" i="7"/>
  <c r="O105" i="7"/>
  <c r="T39" i="4"/>
  <c r="T60" i="4"/>
  <c r="O40" i="7"/>
  <c r="W73" i="7"/>
  <c r="N58" i="4"/>
  <c r="T23" i="4"/>
  <c r="P8" i="7"/>
  <c r="P150" i="7"/>
  <c r="Q51" i="7"/>
  <c r="W120" i="7"/>
  <c r="U17" i="4"/>
  <c r="O104" i="7"/>
  <c r="W147" i="7"/>
  <c r="U76" i="4"/>
  <c r="N59" i="4"/>
  <c r="W78" i="7"/>
  <c r="O150" i="7"/>
  <c r="P145" i="7"/>
  <c r="P53" i="7"/>
  <c r="P75" i="7"/>
  <c r="P40" i="7"/>
  <c r="P127" i="7"/>
  <c r="P59" i="7"/>
  <c r="W74" i="7"/>
  <c r="Q96" i="7"/>
  <c r="O86" i="7"/>
  <c r="Q145" i="7"/>
  <c r="P143" i="7"/>
  <c r="Q126" i="7"/>
  <c r="K80" i="4"/>
  <c r="O81" i="7"/>
  <c r="D51" i="4"/>
  <c r="N66" i="4"/>
  <c r="T63" i="4"/>
  <c r="O144" i="7"/>
  <c r="O13" i="7"/>
  <c r="N63" i="4"/>
  <c r="O11" i="7"/>
  <c r="O76" i="7"/>
  <c r="W135" i="7"/>
  <c r="Q102" i="7"/>
  <c r="P22" i="7"/>
  <c r="W115" i="7"/>
  <c r="Q94" i="7"/>
  <c r="W88" i="7"/>
  <c r="O22" i="7"/>
  <c r="W6" i="7"/>
  <c r="P111" i="7"/>
  <c r="P14" i="7"/>
  <c r="O143" i="7"/>
  <c r="Q47" i="7"/>
  <c r="K69" i="4"/>
  <c r="N65" i="4"/>
  <c r="W89" i="7"/>
  <c r="P139" i="7"/>
  <c r="Q71" i="7"/>
  <c r="W23" i="7"/>
  <c r="W121" i="7"/>
  <c r="N62" i="4"/>
  <c r="K67" i="4"/>
  <c r="P11" i="7"/>
  <c r="K72" i="4"/>
  <c r="P37" i="7"/>
  <c r="P29" i="7"/>
  <c r="P64" i="7"/>
  <c r="W39" i="7"/>
  <c r="B2" i="6"/>
  <c r="O23" i="7"/>
  <c r="Q97" i="7"/>
  <c r="Q8" i="7"/>
  <c r="P91" i="7"/>
  <c r="O94" i="7"/>
  <c r="W102" i="7"/>
  <c r="W32" i="7"/>
  <c r="O55" i="7"/>
  <c r="Q117" i="7"/>
  <c r="O67" i="7"/>
  <c r="Q38" i="7"/>
  <c r="W4" i="7"/>
  <c r="W141" i="7"/>
  <c r="P113" i="7"/>
  <c r="T66" i="4"/>
  <c r="P43" i="7"/>
  <c r="P88" i="7"/>
  <c r="U63" i="4"/>
  <c r="O46" i="7"/>
  <c r="Q108" i="7"/>
  <c r="N78" i="4"/>
  <c r="P104" i="7"/>
  <c r="P142" i="7"/>
  <c r="Q66" i="7"/>
  <c r="P45" i="7"/>
  <c r="P121" i="7"/>
  <c r="Q120" i="7"/>
  <c r="U65" i="4"/>
  <c r="D52" i="4"/>
  <c r="Q25" i="7"/>
  <c r="O125" i="7"/>
  <c r="Q61" i="7"/>
  <c r="U8" i="4"/>
  <c r="Q32" i="7"/>
  <c r="P147" i="7"/>
  <c r="Q104" i="7"/>
  <c r="AC69" i="4"/>
  <c r="O108" i="7"/>
  <c r="O122" i="7"/>
  <c r="W93" i="7"/>
  <c r="O19" i="7"/>
  <c r="W80" i="7"/>
  <c r="AC64" i="4"/>
  <c r="Q88" i="7"/>
  <c r="W59" i="7"/>
  <c r="O28" i="7"/>
  <c r="O133" i="7"/>
  <c r="P96" i="7"/>
  <c r="Q6" i="7"/>
  <c r="P81" i="7"/>
  <c r="O10" i="7"/>
  <c r="W149" i="7"/>
  <c r="O8" i="7"/>
  <c r="P133" i="7"/>
  <c r="P72" i="7"/>
  <c r="O16" i="7"/>
  <c r="Q112" i="7"/>
  <c r="Q42" i="7"/>
  <c r="P9" i="7"/>
  <c r="O131" i="7"/>
  <c r="Q24" i="7"/>
  <c r="U73" i="4"/>
  <c r="W117" i="7"/>
  <c r="T68" i="4"/>
  <c r="O130" i="7"/>
  <c r="T28" i="4"/>
  <c r="B54" i="4"/>
  <c r="T77" i="4"/>
  <c r="N74" i="4"/>
  <c r="Q85" i="7"/>
  <c r="O126" i="7"/>
  <c r="U64" i="4"/>
  <c r="W44" i="7"/>
  <c r="T76" i="4"/>
  <c r="O6" i="7"/>
  <c r="T67" i="4"/>
  <c r="Q14" i="7"/>
  <c r="W46" i="7"/>
  <c r="P119" i="7"/>
  <c r="W105" i="7"/>
  <c r="Q77" i="7"/>
  <c r="P123" i="7"/>
  <c r="P20" i="7"/>
  <c r="P77" i="7"/>
  <c r="C127" i="7"/>
  <c r="C90" i="7"/>
  <c r="C37" i="7"/>
  <c r="N128" i="7"/>
  <c r="N93" i="7"/>
  <c r="C87" i="7"/>
  <c r="C68" i="7"/>
  <c r="N71" i="7"/>
  <c r="C94" i="7"/>
  <c r="N50" i="7"/>
  <c r="N91" i="7"/>
  <c r="N64" i="7"/>
  <c r="N37" i="7"/>
  <c r="C136" i="7"/>
  <c r="C13" i="7"/>
  <c r="C77" i="7"/>
  <c r="N108" i="7"/>
  <c r="C83" i="7"/>
  <c r="N47" i="7"/>
  <c r="N72" i="7"/>
  <c r="N82" i="7"/>
  <c r="N30" i="7"/>
  <c r="N61" i="7"/>
  <c r="N5" i="7"/>
  <c r="C41" i="7"/>
  <c r="N135" i="7"/>
  <c r="N115" i="7"/>
  <c r="C50" i="7"/>
  <c r="N130" i="7"/>
  <c r="C93" i="7"/>
  <c r="C60" i="7"/>
  <c r="N75" i="7"/>
  <c r="N107" i="7"/>
  <c r="C18" i="7"/>
  <c r="N142" i="7"/>
  <c r="C51" i="7"/>
  <c r="C125" i="7"/>
  <c r="N80" i="7"/>
  <c r="N34" i="7"/>
  <c r="C57" i="7"/>
  <c r="C27" i="7"/>
  <c r="N78" i="7"/>
  <c r="N6" i="7"/>
  <c r="C6" i="7"/>
  <c r="N114" i="7"/>
  <c r="C44" i="7"/>
  <c r="N27" i="7"/>
  <c r="N89" i="7"/>
  <c r="C137" i="7"/>
  <c r="C130" i="7"/>
  <c r="C146" i="7"/>
  <c r="C91" i="7"/>
  <c r="N57" i="7"/>
  <c r="C119" i="7"/>
  <c r="C70" i="7"/>
  <c r="N17" i="7"/>
  <c r="N116" i="7"/>
  <c r="C53" i="7"/>
  <c r="N59" i="7"/>
  <c r="C95" i="7"/>
  <c r="C81" i="7"/>
  <c r="C85" i="7"/>
  <c r="N39" i="7"/>
  <c r="N60" i="7"/>
  <c r="C132" i="7"/>
  <c r="C63" i="7"/>
  <c r="C64" i="7"/>
  <c r="N35" i="7"/>
  <c r="N139" i="7"/>
  <c r="N85" i="7"/>
  <c r="N95" i="7"/>
  <c r="N146" i="7"/>
  <c r="N19" i="7"/>
  <c r="C55" i="7"/>
  <c r="C78" i="7"/>
  <c r="C126" i="7"/>
  <c r="N63" i="7"/>
  <c r="C10" i="7"/>
  <c r="N120" i="7"/>
  <c r="C148" i="7"/>
  <c r="N49" i="7"/>
  <c r="C114" i="7"/>
  <c r="C29" i="7"/>
  <c r="C59" i="7"/>
  <c r="C40" i="7"/>
  <c r="C109" i="7"/>
  <c r="N58" i="7"/>
  <c r="N32" i="7"/>
  <c r="C47" i="7"/>
  <c r="C30" i="7"/>
  <c r="N22" i="7"/>
  <c r="C33" i="7"/>
  <c r="N8" i="7"/>
  <c r="C108" i="7"/>
  <c r="N141" i="7"/>
  <c r="N97" i="7"/>
  <c r="N99" i="7"/>
  <c r="N113" i="7"/>
  <c r="C133" i="7"/>
  <c r="C28" i="7"/>
  <c r="N65" i="7"/>
  <c r="N131" i="7"/>
  <c r="C117" i="7"/>
  <c r="C15" i="7"/>
  <c r="C150" i="7"/>
  <c r="N92" i="7"/>
  <c r="C73" i="7"/>
  <c r="N117" i="7"/>
  <c r="N20" i="7"/>
  <c r="N136" i="7"/>
  <c r="N103" i="7"/>
  <c r="C61" i="7"/>
  <c r="N56" i="7"/>
  <c r="N15" i="7"/>
  <c r="N28" i="7"/>
  <c r="N121" i="7"/>
  <c r="N94" i="7"/>
  <c r="C135" i="7"/>
  <c r="N44" i="7"/>
  <c r="C124" i="7"/>
  <c r="N84" i="7"/>
  <c r="C54" i="7"/>
  <c r="N112" i="7"/>
  <c r="N145" i="7"/>
  <c r="C139" i="7"/>
  <c r="N87" i="7"/>
  <c r="N31" i="7"/>
  <c r="C103" i="7"/>
  <c r="C113" i="7"/>
  <c r="N140" i="7"/>
  <c r="N98" i="7"/>
  <c r="C131" i="7"/>
  <c r="N4" i="7"/>
  <c r="N9" i="7"/>
  <c r="C14" i="7"/>
  <c r="C123" i="7"/>
  <c r="N12" i="7"/>
  <c r="C52" i="7"/>
  <c r="C32" i="7"/>
  <c r="C62" i="7"/>
  <c r="N24" i="7"/>
  <c r="C118" i="7"/>
  <c r="C112" i="7"/>
  <c r="N70" i="7"/>
  <c r="C12" i="7"/>
  <c r="C86" i="7"/>
  <c r="C141" i="7"/>
  <c r="C92" i="7"/>
  <c r="N119" i="7"/>
  <c r="C122" i="7"/>
  <c r="C116" i="7"/>
  <c r="C17" i="7"/>
  <c r="C105" i="7"/>
  <c r="C39" i="7"/>
  <c r="N11" i="7"/>
  <c r="C129" i="7"/>
  <c r="N86" i="7"/>
  <c r="N149" i="7"/>
  <c r="C7" i="7"/>
  <c r="N90" i="7"/>
  <c r="C120" i="7"/>
  <c r="N53" i="7"/>
  <c r="C65" i="7"/>
  <c r="N104" i="7"/>
  <c r="C74" i="7"/>
  <c r="C84" i="7"/>
  <c r="N7" i="7"/>
  <c r="C121" i="7"/>
  <c r="N10" i="7"/>
  <c r="N14" i="7"/>
  <c r="C16" i="7"/>
  <c r="C76" i="7"/>
  <c r="C101" i="7"/>
  <c r="N122" i="7"/>
  <c r="C66" i="7"/>
  <c r="N52" i="7"/>
  <c r="N123" i="7"/>
  <c r="C110" i="7"/>
  <c r="C104" i="7"/>
  <c r="N76" i="7"/>
  <c r="N41" i="7"/>
  <c r="C100" i="7"/>
  <c r="C149" i="7"/>
  <c r="N26" i="7"/>
  <c r="C19" i="7"/>
  <c r="N43" i="7"/>
  <c r="N105" i="7"/>
  <c r="N111" i="7"/>
  <c r="C23" i="7"/>
  <c r="N38" i="7"/>
  <c r="C11" i="7"/>
  <c r="C69" i="7"/>
  <c r="N129" i="7"/>
  <c r="C22" i="7"/>
  <c r="N55" i="7"/>
  <c r="C143" i="7"/>
  <c r="N134" i="7"/>
  <c r="N46" i="7"/>
  <c r="N83" i="7"/>
  <c r="C25" i="7"/>
  <c r="N124" i="7"/>
  <c r="N48" i="7"/>
  <c r="N21" i="7"/>
  <c r="N118" i="7"/>
  <c r="N101" i="7"/>
  <c r="C21" i="7"/>
  <c r="N23" i="7"/>
  <c r="N150" i="7"/>
  <c r="C67" i="7"/>
  <c r="N51" i="7"/>
  <c r="N18" i="7"/>
  <c r="C106" i="7"/>
  <c r="C102" i="7"/>
  <c r="N148" i="7"/>
  <c r="C147" i="7"/>
  <c r="C9" i="7"/>
  <c r="N81" i="7"/>
  <c r="C58" i="7"/>
  <c r="C20" i="7"/>
  <c r="N67" i="7"/>
  <c r="C26" i="7"/>
  <c r="C96" i="7"/>
  <c r="C80" i="7"/>
  <c r="C89" i="7"/>
  <c r="C49" i="7"/>
  <c r="N74" i="7"/>
  <c r="N88" i="7"/>
  <c r="C142" i="7"/>
  <c r="C56" i="7"/>
  <c r="C24" i="7"/>
  <c r="N127" i="7"/>
  <c r="N29" i="7"/>
  <c r="N16" i="7"/>
  <c r="C82" i="7"/>
  <c r="N144" i="7"/>
  <c r="N106" i="7"/>
  <c r="C8" i="7"/>
  <c r="C140" i="7"/>
  <c r="C72" i="7"/>
  <c r="N133" i="7"/>
  <c r="C99" i="7"/>
  <c r="N138" i="7"/>
  <c r="C144" i="7"/>
  <c r="C43" i="7"/>
  <c r="C5" i="7"/>
  <c r="C115" i="7"/>
  <c r="C79" i="7"/>
  <c r="C98" i="7"/>
  <c r="C4" i="7"/>
  <c r="N77" i="7"/>
  <c r="N33" i="7"/>
  <c r="C38" i="7"/>
  <c r="C97" i="7"/>
  <c r="N143" i="7"/>
  <c r="N147" i="7"/>
  <c r="N62" i="7"/>
  <c r="N40" i="7"/>
  <c r="N126" i="7"/>
  <c r="N36" i="7"/>
  <c r="N125" i="7"/>
  <c r="N100" i="7"/>
  <c r="N137" i="7"/>
  <c r="C88" i="7"/>
  <c r="N54" i="7"/>
  <c r="C34" i="7"/>
  <c r="N68" i="7"/>
  <c r="C35" i="7"/>
  <c r="N45" i="7"/>
  <c r="N73" i="7"/>
  <c r="C128" i="7"/>
  <c r="C45" i="7"/>
  <c r="C36" i="7"/>
  <c r="N96" i="7"/>
  <c r="N69" i="7"/>
  <c r="C134" i="7"/>
  <c r="C107" i="7"/>
  <c r="C31" i="7"/>
  <c r="N42" i="7"/>
  <c r="N66" i="7"/>
  <c r="N132" i="7"/>
  <c r="C111" i="7"/>
  <c r="N109" i="7"/>
  <c r="N13" i="7"/>
  <c r="C46" i="7"/>
  <c r="C42" i="7"/>
  <c r="C138" i="7"/>
  <c r="N79" i="7"/>
  <c r="C48" i="7"/>
  <c r="N25" i="7"/>
  <c r="C71" i="7"/>
  <c r="C145" i="7"/>
  <c r="N110" i="7"/>
  <c r="N102" i="7"/>
  <c r="C75" i="7"/>
  <c r="O78" i="4" l="1"/>
  <c r="O60" i="4"/>
  <c r="X63" i="4"/>
  <c r="X66" i="4"/>
  <c r="X58" i="4"/>
  <c r="O65" i="4"/>
  <c r="O73" i="4"/>
  <c r="O58" i="4"/>
  <c r="O64" i="4"/>
  <c r="O71" i="4"/>
  <c r="X74" i="4"/>
  <c r="X76" i="4"/>
  <c r="O77" i="4"/>
  <c r="X75" i="4"/>
  <c r="O69" i="4"/>
  <c r="O63" i="4"/>
  <c r="O80" i="4"/>
  <c r="O76" i="4"/>
  <c r="X80" i="4"/>
  <c r="X69" i="4"/>
  <c r="X59" i="4"/>
  <c r="X60" i="4"/>
  <c r="X62" i="4"/>
  <c r="X73" i="4"/>
  <c r="AB57" i="4"/>
  <c r="X57" i="4"/>
  <c r="O75" i="4"/>
  <c r="O70" i="4"/>
  <c r="O67" i="4"/>
  <c r="O66" i="4"/>
  <c r="O62" i="4"/>
  <c r="O79" i="4"/>
  <c r="X78" i="4"/>
  <c r="X79" i="4"/>
  <c r="X71" i="4"/>
  <c r="X64" i="4"/>
  <c r="O61" i="4"/>
  <c r="O59" i="4"/>
  <c r="X68" i="4"/>
  <c r="X67" i="4"/>
  <c r="X72" i="4"/>
  <c r="X65" i="4"/>
  <c r="AB56" i="4"/>
  <c r="X56" i="4"/>
  <c r="O72" i="4"/>
  <c r="O68" i="4"/>
  <c r="O74" i="4"/>
  <c r="X70" i="4"/>
  <c r="X77" i="4"/>
  <c r="X61" i="4"/>
  <c r="AB51" i="4"/>
  <c r="X51" i="4"/>
  <c r="AD66" i="4"/>
  <c r="AE66" i="4" s="1"/>
  <c r="AD64" i="4"/>
  <c r="AE64" i="4" s="1"/>
  <c r="AB53" i="4"/>
  <c r="X53" i="4"/>
  <c r="AD65" i="4"/>
  <c r="AE65" i="4" s="1"/>
  <c r="AD77" i="4"/>
  <c r="AE77" i="4" s="1"/>
  <c r="X52" i="4"/>
  <c r="AB52" i="4"/>
  <c r="O52" i="4"/>
  <c r="AD62" i="4"/>
  <c r="AE62" i="4" s="1"/>
  <c r="O51" i="4"/>
  <c r="AD60" i="4"/>
  <c r="AE60" i="4" s="1"/>
  <c r="O56" i="4"/>
  <c r="O53" i="4"/>
  <c r="AD72" i="4"/>
  <c r="AE72" i="4" s="1"/>
  <c r="AD71" i="4"/>
  <c r="AE71" i="4" s="1"/>
  <c r="AD69" i="4"/>
  <c r="AE69" i="4" s="1"/>
  <c r="AD74" i="4"/>
  <c r="AE74" i="4" s="1"/>
  <c r="X54" i="4"/>
  <c r="AB54" i="4"/>
  <c r="AD61" i="4"/>
  <c r="AE61" i="4" s="1"/>
  <c r="O57" i="4"/>
  <c r="AD79" i="4"/>
  <c r="AE79" i="4" s="1"/>
  <c r="AD76" i="4"/>
  <c r="AE76" i="4" s="1"/>
  <c r="AD80" i="4"/>
  <c r="AE80" i="4" s="1"/>
  <c r="O54" i="4"/>
  <c r="AE58" i="4"/>
  <c r="AE73" i="4"/>
  <c r="AE68" i="4"/>
  <c r="AE63" i="4"/>
  <c r="H67" i="4"/>
  <c r="H74" i="4"/>
  <c r="H52" i="4"/>
  <c r="H75" i="4"/>
  <c r="AB73" i="4"/>
  <c r="I73" i="4"/>
  <c r="AB60" i="4"/>
  <c r="I60" i="4"/>
  <c r="I79" i="4"/>
  <c r="AB79" i="4"/>
  <c r="H53" i="4"/>
  <c r="AB61" i="4"/>
  <c r="I61" i="4"/>
  <c r="H76" i="4"/>
  <c r="H68" i="4"/>
  <c r="H79" i="4"/>
  <c r="H60" i="4"/>
  <c r="H80" i="4"/>
  <c r="H57" i="4"/>
  <c r="H65" i="4"/>
  <c r="AB75" i="4"/>
  <c r="I75" i="4"/>
  <c r="H56" i="4"/>
  <c r="AB58" i="4"/>
  <c r="I58" i="4"/>
  <c r="I69" i="4"/>
  <c r="AB69" i="4"/>
  <c r="AE70" i="4"/>
  <c r="H73" i="4"/>
  <c r="H59" i="4"/>
  <c r="H70" i="4"/>
  <c r="H55" i="4"/>
  <c r="H63" i="4"/>
  <c r="AB74" i="4"/>
  <c r="I74" i="4"/>
  <c r="I80" i="4"/>
  <c r="AB80" i="4"/>
  <c r="H64" i="4"/>
  <c r="I59" i="4"/>
  <c r="AB59" i="4"/>
  <c r="H51" i="4"/>
  <c r="AB62" i="4"/>
  <c r="I62" i="4"/>
  <c r="AE59" i="4"/>
  <c r="AB70" i="4"/>
  <c r="I70" i="4"/>
  <c r="AB77" i="4"/>
  <c r="I77" i="4"/>
  <c r="AB65" i="4"/>
  <c r="I65" i="4"/>
  <c r="AB66" i="4"/>
  <c r="I66" i="4"/>
  <c r="H62" i="4"/>
  <c r="H71" i="4"/>
  <c r="H58" i="4"/>
  <c r="H69" i="4"/>
  <c r="H78" i="4"/>
  <c r="H66" i="4"/>
  <c r="AB72" i="4"/>
  <c r="I72" i="4"/>
  <c r="H54" i="4"/>
  <c r="AE67" i="4"/>
  <c r="AB68" i="4"/>
  <c r="I68" i="4"/>
  <c r="AB67" i="4"/>
  <c r="I67" i="4"/>
  <c r="I78" i="4"/>
  <c r="AB78" i="4"/>
  <c r="I63" i="4"/>
  <c r="AB63" i="4"/>
  <c r="H72" i="4"/>
  <c r="H77" i="4"/>
  <c r="I71" i="4"/>
  <c r="AB71" i="4"/>
  <c r="I64" i="4"/>
  <c r="AB64" i="4"/>
  <c r="H61" i="4"/>
  <c r="I76" i="4"/>
  <c r="AB76" i="4"/>
  <c r="AE78" i="4"/>
  <c r="AE75" i="4"/>
  <c r="P27" i="4"/>
  <c r="Q31" i="4"/>
  <c r="P39" i="4"/>
  <c r="G41" i="4"/>
  <c r="H41" i="4" s="1"/>
  <c r="G22" i="4"/>
  <c r="H22" i="4" s="1"/>
  <c r="P3" i="4"/>
  <c r="P45" i="4"/>
  <c r="Q23" i="4"/>
  <c r="Q19" i="4"/>
  <c r="Q18" i="4"/>
  <c r="Q28" i="4"/>
  <c r="Q20" i="4"/>
  <c r="P20" i="4"/>
  <c r="Q48" i="4"/>
  <c r="G30" i="4"/>
  <c r="H30" i="4" s="1"/>
  <c r="Q29" i="4"/>
  <c r="Q50" i="4"/>
  <c r="P37" i="4"/>
  <c r="Q12" i="4"/>
  <c r="Q40" i="4"/>
  <c r="P16" i="4"/>
  <c r="P29" i="4"/>
  <c r="P12" i="4"/>
  <c r="Q32" i="4"/>
  <c r="Q13" i="4"/>
  <c r="G16" i="4"/>
  <c r="H16" i="4" s="1"/>
  <c r="G43" i="4"/>
  <c r="H43" i="4" s="1"/>
  <c r="G45" i="4"/>
  <c r="H45" i="4" s="1"/>
  <c r="P19" i="4"/>
  <c r="G18" i="4"/>
  <c r="H18" i="4" s="1"/>
  <c r="Q33" i="4"/>
  <c r="G6" i="4"/>
  <c r="H6" i="4" s="1"/>
  <c r="G49" i="4"/>
  <c r="G12" i="4"/>
  <c r="H12" i="4" s="1"/>
  <c r="Q39" i="4"/>
  <c r="P33" i="4"/>
  <c r="G32" i="4"/>
  <c r="H32" i="4" s="1"/>
  <c r="P6" i="4"/>
  <c r="G24" i="4"/>
  <c r="H24" i="4" s="1"/>
  <c r="G20" i="4"/>
  <c r="H20" i="4" s="1"/>
  <c r="Q6" i="4"/>
  <c r="G10" i="4"/>
  <c r="H10" i="4" s="1"/>
  <c r="G19" i="4"/>
  <c r="H19" i="4" s="1"/>
  <c r="P34" i="4"/>
  <c r="Q37" i="4"/>
  <c r="Q30" i="4"/>
  <c r="Q16" i="4"/>
  <c r="P43" i="4"/>
  <c r="Q38" i="4"/>
  <c r="G38" i="4"/>
  <c r="H38" i="4" s="1"/>
  <c r="E57" i="4"/>
  <c r="V57" i="4"/>
  <c r="J68" i="4"/>
  <c r="D17" i="4"/>
  <c r="J76" i="4"/>
  <c r="J61" i="4"/>
  <c r="F3" i="4"/>
  <c r="J58" i="4"/>
  <c r="J74" i="4"/>
  <c r="F29" i="4"/>
  <c r="J79" i="4"/>
  <c r="B22" i="4"/>
  <c r="L73" i="4"/>
  <c r="D20" i="4"/>
  <c r="F48" i="4"/>
  <c r="B4" i="6"/>
  <c r="L66" i="4"/>
  <c r="E31" i="4"/>
  <c r="E22" i="4"/>
  <c r="E43" i="4"/>
  <c r="E54" i="4"/>
  <c r="E2" i="4"/>
  <c r="F34" i="4"/>
  <c r="J63" i="4"/>
  <c r="D27" i="4"/>
  <c r="E16" i="4"/>
  <c r="E25" i="4"/>
  <c r="L62" i="4"/>
  <c r="L77" i="4"/>
  <c r="N57" i="4"/>
  <c r="N54" i="4"/>
  <c r="F25" i="4"/>
  <c r="E38" i="4"/>
  <c r="B43" i="4"/>
  <c r="J65" i="4"/>
  <c r="D6" i="4"/>
  <c r="D32" i="4"/>
  <c r="B19" i="4"/>
  <c r="D28" i="4"/>
  <c r="D22" i="4"/>
  <c r="J69" i="4"/>
  <c r="L76" i="4"/>
  <c r="J77" i="4"/>
  <c r="L78" i="4"/>
  <c r="B12" i="4"/>
  <c r="L61" i="4"/>
  <c r="B3" i="4"/>
  <c r="D34" i="4"/>
  <c r="F33" i="4"/>
  <c r="V54" i="4"/>
  <c r="D31" i="4"/>
  <c r="E52" i="4"/>
  <c r="D12" i="4"/>
  <c r="F20" i="4"/>
  <c r="N52" i="4"/>
  <c r="E21" i="4"/>
  <c r="E55" i="4"/>
  <c r="E40" i="4"/>
  <c r="D43" i="4"/>
  <c r="F38" i="4"/>
  <c r="B29" i="4"/>
  <c r="D45" i="4"/>
  <c r="L67" i="4"/>
  <c r="J75" i="4"/>
  <c r="D14" i="4"/>
  <c r="E51" i="4"/>
  <c r="B6" i="4"/>
  <c r="D25" i="4"/>
  <c r="J72" i="4"/>
  <c r="B35" i="4"/>
  <c r="E23" i="4"/>
  <c r="F22" i="4"/>
  <c r="F50" i="4"/>
  <c r="L65" i="4"/>
  <c r="B38" i="4"/>
  <c r="D23" i="4"/>
  <c r="E32" i="4"/>
  <c r="E12" i="4"/>
  <c r="V56" i="4"/>
  <c r="D38" i="4"/>
  <c r="J71" i="4"/>
  <c r="D18" i="4"/>
  <c r="L60" i="4"/>
  <c r="N53" i="4"/>
  <c r="B37" i="4"/>
  <c r="D19" i="4"/>
  <c r="F28" i="4"/>
  <c r="L71" i="4"/>
  <c r="J60" i="4"/>
  <c r="B32" i="4"/>
  <c r="D3" i="4"/>
  <c r="B25" i="4"/>
  <c r="J73" i="4"/>
  <c r="D49" i="4"/>
  <c r="D13" i="4"/>
  <c r="E28" i="4"/>
  <c r="E20" i="4"/>
  <c r="E47" i="4"/>
  <c r="D29" i="4"/>
  <c r="B31" i="4"/>
  <c r="B33" i="4"/>
  <c r="J78" i="4"/>
  <c r="L75" i="4"/>
  <c r="J80" i="4"/>
  <c r="E3" i="4"/>
  <c r="J59" i="4"/>
  <c r="F43" i="4"/>
  <c r="D33" i="4"/>
  <c r="F45" i="4"/>
  <c r="J70" i="4"/>
  <c r="E45" i="4"/>
  <c r="E53" i="4"/>
  <c r="V51" i="4"/>
  <c r="J66" i="4"/>
  <c r="F23" i="4"/>
  <c r="L72" i="4"/>
  <c r="B42" i="4"/>
  <c r="D16" i="4"/>
  <c r="B23" i="4"/>
  <c r="L68" i="4"/>
  <c r="V52" i="4"/>
  <c r="B30" i="4"/>
  <c r="D47" i="4"/>
  <c r="L64" i="4"/>
  <c r="J62" i="4"/>
  <c r="D37" i="4"/>
  <c r="L59" i="4"/>
  <c r="F49" i="4"/>
  <c r="F2" i="4"/>
  <c r="J64" i="4"/>
  <c r="F37" i="4"/>
  <c r="F6" i="4"/>
  <c r="E6" i="4"/>
  <c r="E56" i="4"/>
  <c r="K56" i="4" s="1"/>
  <c r="E34" i="4"/>
  <c r="I56" i="4"/>
  <c r="J67" i="4"/>
  <c r="B46" i="4"/>
  <c r="B16" i="4"/>
  <c r="F40" i="4"/>
  <c r="L74" i="4"/>
  <c r="V53" i="4"/>
  <c r="L80" i="4"/>
  <c r="L63" i="4"/>
  <c r="B45" i="4"/>
  <c r="N56" i="4"/>
  <c r="L58" i="4"/>
  <c r="B18" i="4"/>
  <c r="N51" i="4"/>
  <c r="F16" i="4"/>
  <c r="F31" i="4"/>
  <c r="L70" i="4"/>
  <c r="E35" i="4"/>
  <c r="E33" i="4"/>
  <c r="E44" i="4"/>
  <c r="F19" i="4"/>
  <c r="L79" i="4"/>
  <c r="D41" i="4"/>
  <c r="L69" i="4"/>
  <c r="E19" i="4"/>
  <c r="AC39" i="4"/>
  <c r="AC36" i="4"/>
  <c r="AC31" i="4"/>
  <c r="AC29" i="4"/>
  <c r="AC19" i="4"/>
  <c r="AC46" i="4"/>
  <c r="AC5" i="4"/>
  <c r="AC7" i="4"/>
  <c r="AC16" i="4"/>
  <c r="AC42" i="4"/>
  <c r="AC9" i="4"/>
  <c r="AC17" i="4"/>
  <c r="AC30" i="4"/>
  <c r="AC45" i="4"/>
  <c r="AC47" i="4"/>
  <c r="AC26" i="4"/>
  <c r="AC4" i="4"/>
  <c r="AC28" i="4"/>
  <c r="AC21" i="4"/>
  <c r="AC10" i="4"/>
  <c r="AC20" i="4"/>
  <c r="AC32" i="4"/>
  <c r="AC13" i="4"/>
  <c r="AC27" i="4"/>
  <c r="AC25" i="4"/>
  <c r="AC44" i="4"/>
  <c r="AC8" i="4"/>
  <c r="AC37" i="4"/>
  <c r="AC35" i="4"/>
  <c r="AC22" i="4"/>
  <c r="AC40" i="4"/>
  <c r="AC3" i="4"/>
  <c r="AC6" i="4"/>
  <c r="AC34" i="4"/>
  <c r="AC14" i="4"/>
  <c r="AC11" i="4"/>
  <c r="AC15" i="4"/>
  <c r="AC41" i="4"/>
  <c r="AC2" i="4"/>
  <c r="AC38" i="4"/>
  <c r="AC18" i="4"/>
  <c r="AC24" i="4"/>
  <c r="AC48" i="4"/>
  <c r="AC12" i="4"/>
  <c r="AC33" i="4"/>
  <c r="AC23" i="4"/>
  <c r="AC43" i="4"/>
  <c r="X30" i="4" l="1"/>
  <c r="X19" i="4"/>
  <c r="X32" i="4"/>
  <c r="X3" i="4"/>
  <c r="X43" i="4"/>
  <c r="X45" i="4"/>
  <c r="X46" i="4"/>
  <c r="X18" i="4"/>
  <c r="X6" i="4"/>
  <c r="X25" i="4"/>
  <c r="X16" i="4"/>
  <c r="X37" i="4"/>
  <c r="X12" i="4"/>
  <c r="X22" i="4"/>
  <c r="X31" i="4"/>
  <c r="X35" i="4"/>
  <c r="X29" i="4"/>
  <c r="X33" i="4"/>
  <c r="X42" i="4"/>
  <c r="X38" i="4"/>
  <c r="X23" i="4"/>
  <c r="Q15" i="4"/>
  <c r="Q10" i="4"/>
  <c r="P10" i="4"/>
  <c r="Q24" i="4"/>
  <c r="G42" i="4"/>
  <c r="H42" i="4" s="1"/>
  <c r="Q42" i="4"/>
  <c r="G36" i="4"/>
  <c r="H36" i="4" s="1"/>
  <c r="P36" i="4"/>
  <c r="G14" i="4"/>
  <c r="H14" i="4" s="1"/>
  <c r="P14" i="4"/>
  <c r="G7" i="4"/>
  <c r="H7" i="4" s="1"/>
  <c r="P49" i="4"/>
  <c r="Q34" i="4"/>
  <c r="P48" i="4"/>
  <c r="Q44" i="4"/>
  <c r="P17" i="4"/>
  <c r="G2" i="4"/>
  <c r="H2" i="4" s="1"/>
  <c r="P2" i="4"/>
  <c r="Q8" i="4"/>
  <c r="G8" i="4"/>
  <c r="H8" i="4" s="1"/>
  <c r="G40" i="4"/>
  <c r="H40" i="4" s="1"/>
  <c r="P11" i="4"/>
  <c r="Q5" i="4"/>
  <c r="G5" i="4"/>
  <c r="H5" i="4" s="1"/>
  <c r="G15" i="4"/>
  <c r="H15" i="4" s="1"/>
  <c r="P7" i="4"/>
  <c r="Q22" i="4"/>
  <c r="P23" i="4"/>
  <c r="P31" i="4"/>
  <c r="Q41" i="4"/>
  <c r="G23" i="4"/>
  <c r="H23" i="4" s="1"/>
  <c r="O49" i="4"/>
  <c r="G31" i="4"/>
  <c r="H31" i="4" s="1"/>
  <c r="Q3" i="4"/>
  <c r="G28" i="4"/>
  <c r="H28" i="4" s="1"/>
  <c r="Q2" i="4"/>
  <c r="Q25" i="4"/>
  <c r="G50" i="4"/>
  <c r="H50" i="4" s="1"/>
  <c r="P15" i="4"/>
  <c r="G25" i="4"/>
  <c r="H25" i="4" s="1"/>
  <c r="P22" i="4"/>
  <c r="P13" i="4"/>
  <c r="Q17" i="4"/>
  <c r="Q49" i="4"/>
  <c r="G11" i="4"/>
  <c r="H11" i="4" s="1"/>
  <c r="P18" i="4"/>
  <c r="Q21" i="4"/>
  <c r="G4" i="4"/>
  <c r="H4" i="4" s="1"/>
  <c r="Q4" i="4"/>
  <c r="P21" i="4"/>
  <c r="P47" i="4"/>
  <c r="G46" i="4"/>
  <c r="H46" i="4" s="1"/>
  <c r="Q27" i="4"/>
  <c r="P28" i="4"/>
  <c r="G3" i="4"/>
  <c r="H3" i="4" s="1"/>
  <c r="P25" i="4"/>
  <c r="G35" i="4"/>
  <c r="H35" i="4" s="1"/>
  <c r="G39" i="4"/>
  <c r="H39" i="4" s="1"/>
  <c r="Q26" i="4"/>
  <c r="G26" i="4"/>
  <c r="H26" i="4" s="1"/>
  <c r="G47" i="4"/>
  <c r="H47" i="4" s="1"/>
  <c r="P50" i="4"/>
  <c r="G13" i="4"/>
  <c r="H13" i="4" s="1"/>
  <c r="P40" i="4"/>
  <c r="Q11" i="4"/>
  <c r="P8" i="4"/>
  <c r="P5" i="4"/>
  <c r="P41" i="4"/>
  <c r="P4" i="4"/>
  <c r="P24" i="4"/>
  <c r="P42" i="4"/>
  <c r="Q36" i="4"/>
  <c r="Q14" i="4"/>
  <c r="Q7" i="4"/>
  <c r="P35" i="4"/>
  <c r="P46" i="4"/>
  <c r="G34" i="4"/>
  <c r="H34" i="4" s="1"/>
  <c r="G48" i="4"/>
  <c r="G44" i="4"/>
  <c r="H44" i="4" s="1"/>
  <c r="G17" i="4"/>
  <c r="H17" i="4" s="1"/>
  <c r="G27" i="4"/>
  <c r="Q46" i="4"/>
  <c r="G9" i="4"/>
  <c r="H9" i="4" s="1"/>
  <c r="G21" i="4"/>
  <c r="H21" i="4" s="1"/>
  <c r="P26" i="4"/>
  <c r="P44" i="4"/>
  <c r="Q45" i="4"/>
  <c r="P32" i="4"/>
  <c r="G37" i="4"/>
  <c r="H37" i="4" s="1"/>
  <c r="Q47" i="4"/>
  <c r="Q35" i="4"/>
  <c r="P9" i="4"/>
  <c r="Q9" i="4"/>
  <c r="Q43" i="4"/>
  <c r="G33" i="4"/>
  <c r="H33" i="4" s="1"/>
  <c r="P38" i="4"/>
  <c r="G29" i="4"/>
  <c r="H29" i="4" s="1"/>
  <c r="P30" i="4"/>
  <c r="AB29" i="4"/>
  <c r="AB32" i="4"/>
  <c r="AB37" i="4"/>
  <c r="O28" i="4"/>
  <c r="AB35" i="4"/>
  <c r="AB22" i="4"/>
  <c r="AB12" i="4"/>
  <c r="O12" i="4"/>
  <c r="AB19" i="4"/>
  <c r="AB38" i="4"/>
  <c r="AB16" i="4"/>
  <c r="O32" i="4"/>
  <c r="AB42" i="4"/>
  <c r="O38" i="4"/>
  <c r="O31" i="4"/>
  <c r="O43" i="4"/>
  <c r="O29" i="4"/>
  <c r="O45" i="4"/>
  <c r="AB31" i="4"/>
  <c r="O23" i="4"/>
  <c r="AB43" i="4"/>
  <c r="AB45" i="4"/>
  <c r="O13" i="4"/>
  <c r="AB18" i="4"/>
  <c r="AB3" i="4"/>
  <c r="AB25" i="4"/>
  <c r="AB23" i="4"/>
  <c r="O33" i="4"/>
  <c r="AB6" i="4"/>
  <c r="O3" i="4"/>
  <c r="AB33" i="4"/>
  <c r="AB30" i="4"/>
  <c r="O25" i="4"/>
  <c r="AB46" i="4"/>
  <c r="O30" i="4"/>
  <c r="O6" i="4"/>
  <c r="H49" i="4"/>
  <c r="I57" i="4"/>
  <c r="K31" i="4"/>
  <c r="E46" i="4"/>
  <c r="F7" i="4"/>
  <c r="D46" i="4"/>
  <c r="N25" i="4"/>
  <c r="D7" i="4"/>
  <c r="D36" i="4"/>
  <c r="N28" i="4"/>
  <c r="K51" i="4"/>
  <c r="F30" i="4"/>
  <c r="I3" i="4"/>
  <c r="I38" i="4"/>
  <c r="K43" i="4"/>
  <c r="K3" i="4"/>
  <c r="E39" i="4"/>
  <c r="M67" i="4"/>
  <c r="M75" i="4"/>
  <c r="V25" i="4"/>
  <c r="F26" i="4"/>
  <c r="F8" i="4"/>
  <c r="F24" i="4"/>
  <c r="E8" i="4"/>
  <c r="V28" i="4"/>
  <c r="V45" i="4"/>
  <c r="I19" i="4"/>
  <c r="D39" i="4"/>
  <c r="V33" i="4"/>
  <c r="F14" i="4"/>
  <c r="V30" i="4"/>
  <c r="B48" i="4"/>
  <c r="D30" i="4"/>
  <c r="D48" i="4"/>
  <c r="E30" i="4"/>
  <c r="M59" i="4"/>
  <c r="K23" i="4"/>
  <c r="N33" i="4"/>
  <c r="M73" i="4"/>
  <c r="N3" i="4"/>
  <c r="F32" i="4"/>
  <c r="F10" i="4"/>
  <c r="M72" i="4"/>
  <c r="K38" i="4"/>
  <c r="V12" i="4"/>
  <c r="B39" i="4"/>
  <c r="K55" i="4"/>
  <c r="D11" i="4"/>
  <c r="D15" i="4"/>
  <c r="M69" i="4"/>
  <c r="F11" i="4"/>
  <c r="I43" i="4"/>
  <c r="E26" i="4"/>
  <c r="N23" i="4"/>
  <c r="B41" i="4"/>
  <c r="B9" i="4"/>
  <c r="F9" i="4"/>
  <c r="I6" i="4"/>
  <c r="K57" i="4"/>
  <c r="D2" i="4"/>
  <c r="E24" i="4"/>
  <c r="M62" i="4"/>
  <c r="B17" i="4"/>
  <c r="K52" i="4"/>
  <c r="K33" i="4"/>
  <c r="E14" i="4"/>
  <c r="D24" i="4"/>
  <c r="E42" i="4"/>
  <c r="F4" i="4"/>
  <c r="B49" i="4"/>
  <c r="E29" i="4"/>
  <c r="D21" i="4"/>
  <c r="F46" i="4"/>
  <c r="M66" i="4"/>
  <c r="D5" i="4"/>
  <c r="F27" i="4"/>
  <c r="V13" i="4"/>
  <c r="E50" i="4"/>
  <c r="M74" i="4"/>
  <c r="B20" i="4"/>
  <c r="B26" i="4"/>
  <c r="N29" i="4"/>
  <c r="M68" i="4"/>
  <c r="E10" i="4"/>
  <c r="V31" i="4"/>
  <c r="D42" i="4"/>
  <c r="B4" i="4"/>
  <c r="F17" i="4"/>
  <c r="I53" i="4"/>
  <c r="D35" i="4"/>
  <c r="K54" i="4"/>
  <c r="B14" i="4"/>
  <c r="M65" i="4"/>
  <c r="B5" i="4"/>
  <c r="E36" i="4"/>
  <c r="I45" i="4"/>
  <c r="M64" i="4"/>
  <c r="M71" i="4"/>
  <c r="I31" i="4"/>
  <c r="N30" i="4"/>
  <c r="M58" i="4"/>
  <c r="N43" i="4"/>
  <c r="K53" i="4"/>
  <c r="B44" i="4"/>
  <c r="F12" i="4"/>
  <c r="E15" i="4"/>
  <c r="V43" i="4"/>
  <c r="M63" i="4"/>
  <c r="N38" i="4"/>
  <c r="B40" i="4"/>
  <c r="C6" i="9"/>
  <c r="B11" i="4"/>
  <c r="I25" i="4"/>
  <c r="D8" i="4"/>
  <c r="N31" i="4"/>
  <c r="E17" i="4"/>
  <c r="J57" i="4"/>
  <c r="F47" i="4"/>
  <c r="V3" i="4"/>
  <c r="E9" i="4"/>
  <c r="F15" i="4"/>
  <c r="E18" i="4"/>
  <c r="B27" i="4"/>
  <c r="N49" i="4"/>
  <c r="I52" i="4"/>
  <c r="I51" i="4"/>
  <c r="E27" i="4"/>
  <c r="F41" i="4"/>
  <c r="K6" i="4"/>
  <c r="K19" i="4"/>
  <c r="D40" i="4"/>
  <c r="V32" i="4"/>
  <c r="E4" i="4"/>
  <c r="I22" i="4"/>
  <c r="V49" i="4"/>
  <c r="F35" i="4"/>
  <c r="V38" i="4"/>
  <c r="D4" i="4"/>
  <c r="F13" i="4"/>
  <c r="D9" i="4"/>
  <c r="B10" i="4"/>
  <c r="N12" i="4"/>
  <c r="I55" i="4"/>
  <c r="J55" i="4" s="1"/>
  <c r="M60" i="4"/>
  <c r="M61" i="4"/>
  <c r="M80" i="4"/>
  <c r="M78" i="4"/>
  <c r="B47" i="4"/>
  <c r="M76" i="4"/>
  <c r="M79" i="4"/>
  <c r="B28" i="4"/>
  <c r="J56" i="4"/>
  <c r="F44" i="4"/>
  <c r="D44" i="4"/>
  <c r="V29" i="4"/>
  <c r="V6" i="4"/>
  <c r="B21" i="4"/>
  <c r="F39" i="4"/>
  <c r="I33" i="4"/>
  <c r="E41" i="4"/>
  <c r="B8" i="4"/>
  <c r="E5" i="4"/>
  <c r="K22" i="4"/>
  <c r="F42" i="4"/>
  <c r="B15" i="4"/>
  <c r="E49" i="4"/>
  <c r="M70" i="4"/>
  <c r="E11" i="4"/>
  <c r="F5" i="4"/>
  <c r="I23" i="4"/>
  <c r="B50" i="4"/>
  <c r="N13" i="4"/>
  <c r="E7" i="4"/>
  <c r="D10" i="4"/>
  <c r="V23" i="4"/>
  <c r="I54" i="4"/>
  <c r="J54" i="4" s="1"/>
  <c r="E37" i="4"/>
  <c r="K25" i="4"/>
  <c r="D50" i="4"/>
  <c r="E13" i="4"/>
  <c r="B7" i="4"/>
  <c r="K16" i="4"/>
  <c r="F21" i="4"/>
  <c r="N6" i="4"/>
  <c r="B2" i="4"/>
  <c r="F18" i="4"/>
  <c r="D26" i="4"/>
  <c r="M77" i="4"/>
  <c r="B34" i="4"/>
  <c r="B13" i="4"/>
  <c r="B36" i="4"/>
  <c r="N45" i="4"/>
  <c r="K45" i="4"/>
  <c r="B24" i="4"/>
  <c r="F36" i="4"/>
  <c r="N32" i="4"/>
  <c r="E48" i="4"/>
  <c r="I16" i="4"/>
  <c r="X40" i="4" l="1"/>
  <c r="X27" i="4"/>
  <c r="X20" i="4"/>
  <c r="X11" i="4"/>
  <c r="X7" i="4"/>
  <c r="X8" i="4"/>
  <c r="X50" i="4"/>
  <c r="X10" i="4"/>
  <c r="X34" i="4"/>
  <c r="X41" i="4"/>
  <c r="X28" i="4"/>
  <c r="X2" i="4"/>
  <c r="X49" i="4"/>
  <c r="X36" i="4"/>
  <c r="X24" i="4"/>
  <c r="X15" i="4"/>
  <c r="X13" i="4"/>
  <c r="X47" i="4"/>
  <c r="X26" i="4"/>
  <c r="X21" i="4"/>
  <c r="X17" i="4"/>
  <c r="X4" i="4"/>
  <c r="X48" i="4"/>
  <c r="X14" i="4"/>
  <c r="X9" i="4"/>
  <c r="X44" i="4"/>
  <c r="X5" i="4"/>
  <c r="X39" i="4"/>
  <c r="AB50" i="4"/>
  <c r="AB49" i="4"/>
  <c r="O40" i="4"/>
  <c r="AB2" i="4"/>
  <c r="O36" i="4"/>
  <c r="O11" i="4"/>
  <c r="O2" i="4"/>
  <c r="O47" i="4"/>
  <c r="AB17" i="4"/>
  <c r="O34" i="4"/>
  <c r="AB10" i="4"/>
  <c r="O22" i="4"/>
  <c r="O17" i="4"/>
  <c r="O5" i="4"/>
  <c r="AB5" i="4"/>
  <c r="AB7" i="4"/>
  <c r="O8" i="4"/>
  <c r="O48" i="4"/>
  <c r="O42" i="4"/>
  <c r="AB40" i="4"/>
  <c r="O15" i="4"/>
  <c r="AB48" i="4"/>
  <c r="AB36" i="4"/>
  <c r="AB15" i="4"/>
  <c r="O24" i="4"/>
  <c r="AB24" i="4"/>
  <c r="O50" i="4"/>
  <c r="AB13" i="4"/>
  <c r="AB8" i="4"/>
  <c r="O14" i="4"/>
  <c r="AB28" i="4"/>
  <c r="AB34" i="4"/>
  <c r="AB14" i="4"/>
  <c r="O46" i="4"/>
  <c r="O26" i="4"/>
  <c r="AB11" i="4"/>
  <c r="AB47" i="4"/>
  <c r="O39" i="4"/>
  <c r="O21" i="4"/>
  <c r="AB27" i="4"/>
  <c r="O20" i="4"/>
  <c r="O27" i="4"/>
  <c r="O44" i="4"/>
  <c r="O35" i="4"/>
  <c r="O19" i="4"/>
  <c r="O7" i="4"/>
  <c r="O9" i="4"/>
  <c r="O18" i="4"/>
  <c r="AB41" i="4"/>
  <c r="AB20" i="4"/>
  <c r="AB44" i="4"/>
  <c r="AB4" i="4"/>
  <c r="AB26" i="4"/>
  <c r="O10" i="4"/>
  <c r="AB21" i="4"/>
  <c r="O16" i="4"/>
  <c r="O37" i="4"/>
  <c r="O4" i="4"/>
  <c r="O41" i="4"/>
  <c r="AB39" i="4"/>
  <c r="AB9" i="4"/>
  <c r="H27" i="4"/>
  <c r="H48" i="4"/>
  <c r="Y71" i="4"/>
  <c r="Y59" i="4"/>
  <c r="Y58" i="4"/>
  <c r="Y78" i="4"/>
  <c r="Y66" i="4"/>
  <c r="Y69" i="4"/>
  <c r="Y74" i="4"/>
  <c r="Y64" i="4"/>
  <c r="Y72" i="4"/>
  <c r="Y79" i="4"/>
  <c r="Y63" i="4"/>
  <c r="Y70" i="4"/>
  <c r="Y75" i="4"/>
  <c r="Y77" i="4"/>
  <c r="Y65" i="4"/>
  <c r="Y73" i="4"/>
  <c r="Y76" i="4"/>
  <c r="Y68" i="4"/>
  <c r="Y80" i="4"/>
  <c r="Y61" i="4"/>
  <c r="Y67" i="4"/>
  <c r="Y60" i="4"/>
  <c r="Y62" i="4"/>
  <c r="C5" i="9"/>
  <c r="N36" i="4"/>
  <c r="V22" i="4"/>
  <c r="K9" i="4"/>
  <c r="J52" i="4"/>
  <c r="N26" i="4"/>
  <c r="I28" i="4"/>
  <c r="J23" i="4"/>
  <c r="N44" i="4"/>
  <c r="N39" i="4"/>
  <c r="K49" i="4"/>
  <c r="V10" i="4"/>
  <c r="K29" i="4"/>
  <c r="J38" i="4"/>
  <c r="V2" i="4"/>
  <c r="I7" i="4"/>
  <c r="K46" i="4"/>
  <c r="V50" i="4"/>
  <c r="V16" i="4"/>
  <c r="V15" i="4"/>
  <c r="I13" i="4"/>
  <c r="I46" i="4"/>
  <c r="I40" i="4"/>
  <c r="I30" i="4"/>
  <c r="K40" i="4"/>
  <c r="N34" i="4"/>
  <c r="V42" i="4"/>
  <c r="I17" i="4"/>
  <c r="I29" i="4"/>
  <c r="B3" i="8" a="1"/>
  <c r="N46" i="4"/>
  <c r="J46" i="4"/>
  <c r="I48" i="4"/>
  <c r="N8" i="4"/>
  <c r="I41" i="4"/>
  <c r="K42" i="4"/>
  <c r="I27" i="4"/>
  <c r="K48" i="4"/>
  <c r="N20" i="4"/>
  <c r="I14" i="4"/>
  <c r="K37" i="4"/>
  <c r="I15" i="4"/>
  <c r="J31" i="4"/>
  <c r="N9" i="4"/>
  <c r="N18" i="4"/>
  <c r="I21" i="4"/>
  <c r="K24" i="4"/>
  <c r="V47" i="4"/>
  <c r="I34" i="4"/>
  <c r="K26" i="4"/>
  <c r="V40" i="4"/>
  <c r="J53" i="4"/>
  <c r="N27" i="4"/>
  <c r="N5" i="4"/>
  <c r="N50" i="4"/>
  <c r="J6" i="4"/>
  <c r="K11" i="4"/>
  <c r="N4" i="4"/>
  <c r="I47" i="4"/>
  <c r="N37" i="4"/>
  <c r="V26" i="4"/>
  <c r="V17" i="4"/>
  <c r="N40" i="4"/>
  <c r="I50" i="4"/>
  <c r="I2" i="4"/>
  <c r="N14" i="4"/>
  <c r="N2" i="4"/>
  <c r="V5" i="4"/>
  <c r="K36" i="4"/>
  <c r="I20" i="4"/>
  <c r="N48" i="4"/>
  <c r="V24" i="4"/>
  <c r="J43" i="4"/>
  <c r="N7" i="4"/>
  <c r="I24" i="4"/>
  <c r="J3" i="4"/>
  <c r="V18" i="4"/>
  <c r="V9" i="4"/>
  <c r="V27" i="4"/>
  <c r="I36" i="4"/>
  <c r="I9" i="4"/>
  <c r="K30" i="4"/>
  <c r="K44" i="4"/>
  <c r="K4" i="4"/>
  <c r="K18" i="4"/>
  <c r="K15" i="4"/>
  <c r="N35" i="4"/>
  <c r="N42" i="4"/>
  <c r="V7" i="4"/>
  <c r="N16" i="4"/>
  <c r="K41" i="4"/>
  <c r="V48" i="4"/>
  <c r="I44" i="4"/>
  <c r="K14" i="4"/>
  <c r="V39" i="4"/>
  <c r="K10" i="4"/>
  <c r="I12" i="4"/>
  <c r="I35" i="4"/>
  <c r="J51" i="4"/>
  <c r="N10" i="4"/>
  <c r="I18" i="4"/>
  <c r="K34" i="4"/>
  <c r="J33" i="4"/>
  <c r="V36" i="4"/>
  <c r="J16" i="4"/>
  <c r="N22" i="4"/>
  <c r="N24" i="4"/>
  <c r="I11" i="4"/>
  <c r="V46" i="4"/>
  <c r="N47" i="4"/>
  <c r="J25" i="4"/>
  <c r="K32" i="4"/>
  <c r="I10" i="4"/>
  <c r="I39" i="4"/>
  <c r="K47" i="4"/>
  <c r="V41" i="4"/>
  <c r="K8" i="4"/>
  <c r="K5" i="4"/>
  <c r="N21" i="4"/>
  <c r="I42" i="4"/>
  <c r="N17" i="4"/>
  <c r="K35" i="4"/>
  <c r="K20" i="4"/>
  <c r="K12" i="4"/>
  <c r="V20" i="4"/>
  <c r="K13" i="4"/>
  <c r="J22" i="4"/>
  <c r="V44" i="4"/>
  <c r="I4" i="4"/>
  <c r="K2" i="4"/>
  <c r="V4" i="4"/>
  <c r="I5" i="4"/>
  <c r="N19" i="4"/>
  <c r="N15" i="4"/>
  <c r="K27" i="4"/>
  <c r="V37" i="4"/>
  <c r="V19" i="4"/>
  <c r="J19" i="4"/>
  <c r="J42" i="4"/>
  <c r="I37" i="4"/>
  <c r="I26" i="4"/>
  <c r="I32" i="4"/>
  <c r="K28" i="4"/>
  <c r="K17" i="4"/>
  <c r="K21" i="4"/>
  <c r="K50" i="4"/>
  <c r="V35" i="4"/>
  <c r="V14" i="4"/>
  <c r="I8" i="4"/>
  <c r="V21" i="4"/>
  <c r="N41" i="4"/>
  <c r="K7" i="4"/>
  <c r="V11" i="4"/>
  <c r="V34" i="4"/>
  <c r="I49" i="4"/>
  <c r="K39" i="4"/>
  <c r="V8" i="4"/>
  <c r="J45" i="4"/>
  <c r="N11" i="4"/>
  <c r="Z32" i="8" l="1"/>
  <c r="AA32" i="8" s="1"/>
  <c r="L14" i="8"/>
  <c r="Q40" i="8"/>
  <c r="T45" i="8"/>
  <c r="D27" i="8"/>
  <c r="N34" i="8"/>
  <c r="R55" i="8"/>
  <c r="P17" i="8"/>
  <c r="S15" i="8"/>
  <c r="M51" i="8"/>
  <c r="L11" i="8"/>
  <c r="I41" i="8"/>
  <c r="P31" i="8"/>
  <c r="O58" i="8"/>
  <c r="Q59" i="8"/>
  <c r="Q54" i="8"/>
  <c r="T5" i="8"/>
  <c r="F47" i="8"/>
  <c r="O60" i="8"/>
  <c r="K39" i="8"/>
  <c r="B64" i="8"/>
  <c r="D57" i="8"/>
  <c r="S12" i="8"/>
  <c r="H53" i="8"/>
  <c r="O51" i="8"/>
  <c r="G10" i="8"/>
  <c r="S17" i="8"/>
  <c r="J41" i="8"/>
  <c r="R4" i="8"/>
  <c r="U40" i="8"/>
  <c r="L33" i="8"/>
  <c r="G17" i="8"/>
  <c r="F40" i="8"/>
  <c r="E40" i="8"/>
  <c r="I26" i="8"/>
  <c r="C66" i="8"/>
  <c r="F55" i="8"/>
  <c r="R63" i="8"/>
  <c r="L8" i="8"/>
  <c r="D25" i="8"/>
  <c r="K46" i="8"/>
  <c r="B63" i="8"/>
  <c r="B6" i="8"/>
  <c r="M28" i="8"/>
  <c r="H59" i="8"/>
  <c r="J63" i="8"/>
  <c r="T67" i="8"/>
  <c r="J50" i="8"/>
  <c r="O14" i="8"/>
  <c r="R19" i="8"/>
  <c r="N61" i="8"/>
  <c r="G27" i="8"/>
  <c r="N40" i="8"/>
  <c r="Q25" i="8"/>
  <c r="O30" i="8"/>
  <c r="H11" i="8"/>
  <c r="C11" i="8"/>
  <c r="I45" i="8"/>
  <c r="C50" i="8"/>
  <c r="D36" i="8"/>
  <c r="G40" i="8"/>
  <c r="D43" i="8"/>
  <c r="N26" i="8"/>
  <c r="O44" i="8"/>
  <c r="H58" i="8"/>
  <c r="Q6" i="8"/>
  <c r="B33" i="8"/>
  <c r="P29" i="8"/>
  <c r="E16" i="8"/>
  <c r="R27" i="8"/>
  <c r="M7" i="8"/>
  <c r="E46" i="8"/>
  <c r="I28" i="8"/>
  <c r="T42" i="8"/>
  <c r="M26" i="8"/>
  <c r="H10" i="8"/>
  <c r="I13" i="8"/>
  <c r="G5" i="8"/>
  <c r="S5" i="8"/>
  <c r="M17" i="8"/>
  <c r="I31" i="8"/>
  <c r="G30" i="8"/>
  <c r="K40" i="8"/>
  <c r="B10" i="8"/>
  <c r="P54" i="8"/>
  <c r="B24" i="8"/>
  <c r="N48" i="8"/>
  <c r="H39" i="8"/>
  <c r="P66" i="8"/>
  <c r="M9" i="8"/>
  <c r="P49" i="8"/>
  <c r="G64" i="8"/>
  <c r="N11" i="8"/>
  <c r="O22" i="8"/>
  <c r="P9" i="8"/>
  <c r="C16" i="8"/>
  <c r="L35" i="8"/>
  <c r="N7" i="8"/>
  <c r="T10" i="8"/>
  <c r="L17" i="8"/>
  <c r="E9" i="8"/>
  <c r="F36" i="8"/>
  <c r="H7" i="8"/>
  <c r="B35" i="8"/>
  <c r="O64" i="8"/>
  <c r="I40" i="8"/>
  <c r="O25" i="8"/>
  <c r="F13" i="8"/>
  <c r="K29" i="8"/>
  <c r="U7" i="8"/>
  <c r="B20" i="8"/>
  <c r="O6" i="8"/>
  <c r="Q53" i="8"/>
  <c r="B21" i="8"/>
  <c r="C9" i="8"/>
  <c r="K35" i="8"/>
  <c r="D41" i="8"/>
  <c r="R43" i="8"/>
  <c r="N19" i="8"/>
  <c r="C21" i="8"/>
  <c r="R66" i="8"/>
  <c r="B43" i="8"/>
  <c r="P25" i="8"/>
  <c r="F32" i="8"/>
  <c r="R35" i="8"/>
  <c r="O62" i="8"/>
  <c r="Q65" i="8"/>
  <c r="J32" i="8"/>
  <c r="P23" i="8"/>
  <c r="J65" i="8"/>
  <c r="S62" i="8"/>
  <c r="R21" i="8"/>
  <c r="K47" i="8"/>
  <c r="B38" i="8"/>
  <c r="L26" i="8"/>
  <c r="P16" i="8"/>
  <c r="P4" i="8"/>
  <c r="M8" i="8"/>
  <c r="Q29" i="8"/>
  <c r="H9" i="8"/>
  <c r="E33" i="8"/>
  <c r="Q27" i="8"/>
  <c r="T58" i="8"/>
  <c r="M60" i="8"/>
  <c r="N46" i="8"/>
  <c r="R15" i="8"/>
  <c r="S40" i="8"/>
  <c r="G67" i="8"/>
  <c r="F37" i="8"/>
  <c r="N33" i="8"/>
  <c r="P37" i="8"/>
  <c r="J36" i="8"/>
  <c r="E14" i="8"/>
  <c r="D64" i="8"/>
  <c r="J16" i="8"/>
  <c r="Q23" i="8"/>
  <c r="K57" i="8"/>
  <c r="T31" i="8"/>
  <c r="C15" i="8"/>
  <c r="N15" i="8"/>
  <c r="H14" i="8"/>
  <c r="H23" i="8"/>
  <c r="D10" i="8"/>
  <c r="D39" i="8"/>
  <c r="F66" i="8"/>
  <c r="B9" i="8"/>
  <c r="G57" i="8"/>
  <c r="Q31" i="8"/>
  <c r="N20" i="8"/>
  <c r="U54" i="8"/>
  <c r="U52" i="8"/>
  <c r="S27" i="8"/>
  <c r="P40" i="8"/>
  <c r="J60" i="8"/>
  <c r="H17" i="8"/>
  <c r="T66" i="8"/>
  <c r="F41" i="8"/>
  <c r="S59" i="8"/>
  <c r="D46" i="8"/>
  <c r="R44" i="8"/>
  <c r="C56" i="8"/>
  <c r="U5" i="8"/>
  <c r="H65" i="8"/>
  <c r="M49" i="8"/>
  <c r="F30" i="8"/>
  <c r="O10" i="8"/>
  <c r="U63" i="8"/>
  <c r="N14" i="8"/>
  <c r="I24" i="8"/>
  <c r="B59" i="8"/>
  <c r="B46" i="8"/>
  <c r="R59" i="8"/>
  <c r="K61" i="8"/>
  <c r="R50" i="8"/>
  <c r="T57" i="8"/>
  <c r="B50" i="8"/>
  <c r="K45" i="8"/>
  <c r="O35" i="8"/>
  <c r="B8" i="8"/>
  <c r="D22" i="8"/>
  <c r="U28" i="8"/>
  <c r="E60" i="8"/>
  <c r="G41" i="8"/>
  <c r="H34" i="8"/>
  <c r="D62" i="8"/>
  <c r="M48" i="8"/>
  <c r="F65" i="8"/>
  <c r="O57" i="8"/>
  <c r="J55" i="8"/>
  <c r="I33" i="8"/>
  <c r="Q46" i="8"/>
  <c r="B15" i="8"/>
  <c r="D49" i="8"/>
  <c r="O16" i="8"/>
  <c r="F59" i="8"/>
  <c r="D7" i="8"/>
  <c r="I55" i="8"/>
  <c r="L54" i="8"/>
  <c r="M19" i="8"/>
  <c r="U3" i="8"/>
  <c r="U37" i="8"/>
  <c r="Q32" i="8"/>
  <c r="H54" i="8"/>
  <c r="F18" i="8"/>
  <c r="E38" i="8"/>
  <c r="I5" i="8"/>
  <c r="L18" i="8"/>
  <c r="T6" i="8"/>
  <c r="P48" i="8"/>
  <c r="T36" i="8"/>
  <c r="T29" i="8"/>
  <c r="U11" i="8"/>
  <c r="H60" i="8"/>
  <c r="K6" i="8"/>
  <c r="K54" i="8"/>
  <c r="J10" i="8"/>
  <c r="H4" i="8"/>
  <c r="M24" i="8"/>
  <c r="B37" i="8"/>
  <c r="B4" i="8"/>
  <c r="M41" i="8"/>
  <c r="J27" i="8"/>
  <c r="T14" i="8"/>
  <c r="F60" i="8"/>
  <c r="D51" i="8"/>
  <c r="C25" i="8"/>
  <c r="S46" i="8"/>
  <c r="P61" i="8"/>
  <c r="F19" i="8"/>
  <c r="Q64" i="8"/>
  <c r="O11" i="8"/>
  <c r="N62" i="8"/>
  <c r="M25" i="8"/>
  <c r="J31" i="8"/>
  <c r="O59" i="8"/>
  <c r="I4" i="8"/>
  <c r="J66" i="8"/>
  <c r="C20" i="8"/>
  <c r="D54" i="8"/>
  <c r="L31" i="8"/>
  <c r="J35" i="8"/>
  <c r="J13" i="8"/>
  <c r="B41" i="8"/>
  <c r="M21" i="8"/>
  <c r="D63" i="8"/>
  <c r="Q20" i="8"/>
  <c r="U16" i="8"/>
  <c r="Q49" i="8"/>
  <c r="S54" i="8"/>
  <c r="B25" i="8"/>
  <c r="G19" i="8"/>
  <c r="J42" i="8"/>
  <c r="C23" i="8"/>
  <c r="F9" i="8"/>
  <c r="K20" i="8"/>
  <c r="B3" i="8"/>
  <c r="G11" i="8"/>
  <c r="D24" i="8"/>
  <c r="I17" i="8"/>
  <c r="J38" i="8"/>
  <c r="D53" i="8"/>
  <c r="D47" i="8"/>
  <c r="U30" i="8"/>
  <c r="G49" i="8"/>
  <c r="Q62" i="8"/>
  <c r="E51" i="8"/>
  <c r="O34" i="8"/>
  <c r="U53" i="8"/>
  <c r="B57" i="8"/>
  <c r="G43" i="8"/>
  <c r="T25" i="8"/>
  <c r="R17" i="8"/>
  <c r="C28" i="8"/>
  <c r="K16" i="8"/>
  <c r="I12" i="8"/>
  <c r="Q67" i="8"/>
  <c r="D67" i="8"/>
  <c r="N53" i="8"/>
  <c r="Q58" i="8"/>
  <c r="J53" i="8"/>
  <c r="D42" i="8"/>
  <c r="J46" i="8"/>
  <c r="C7" i="8"/>
  <c r="D31" i="8"/>
  <c r="U6" i="8"/>
  <c r="L58" i="8"/>
  <c r="R33" i="8"/>
  <c r="E54" i="8"/>
  <c r="E50" i="8"/>
  <c r="H36" i="8"/>
  <c r="S24" i="8"/>
  <c r="G56" i="8"/>
  <c r="E47" i="8"/>
  <c r="R7" i="8"/>
  <c r="J19" i="8"/>
  <c r="K26" i="8"/>
  <c r="J40" i="8"/>
  <c r="U51" i="8"/>
  <c r="K3" i="8"/>
  <c r="L64" i="8"/>
  <c r="I8" i="8"/>
  <c r="M11" i="8"/>
  <c r="O17" i="8"/>
  <c r="K56" i="8"/>
  <c r="D28" i="8"/>
  <c r="I36" i="8"/>
  <c r="R57" i="8"/>
  <c r="N5" i="8"/>
  <c r="D52" i="8"/>
  <c r="U22" i="8"/>
  <c r="E11" i="8"/>
  <c r="G31" i="8"/>
  <c r="Q3" i="8"/>
  <c r="U19" i="8"/>
  <c r="C14" i="8"/>
  <c r="M29" i="8"/>
  <c r="L49" i="8"/>
  <c r="K48" i="8"/>
  <c r="K31" i="8"/>
  <c r="K64" i="8"/>
  <c r="T37" i="8"/>
  <c r="G62" i="8"/>
  <c r="N58" i="8"/>
  <c r="H31" i="8"/>
  <c r="K34" i="8"/>
  <c r="N39" i="8"/>
  <c r="M59" i="8"/>
  <c r="L32" i="8"/>
  <c r="T32" i="8"/>
  <c r="Q43" i="8"/>
  <c r="T30" i="8"/>
  <c r="G51" i="8"/>
  <c r="O5" i="8"/>
  <c r="M64" i="8"/>
  <c r="I50" i="8"/>
  <c r="B52" i="8"/>
  <c r="J20" i="8"/>
  <c r="G18" i="8"/>
  <c r="J4" i="8"/>
  <c r="E24" i="8"/>
  <c r="L50" i="8"/>
  <c r="H26" i="8"/>
  <c r="M50" i="8"/>
  <c r="R41" i="8"/>
  <c r="R20" i="8"/>
  <c r="M20" i="8"/>
  <c r="B32" i="8"/>
  <c r="M15" i="8"/>
  <c r="I10" i="8"/>
  <c r="N41" i="8"/>
  <c r="J51" i="8"/>
  <c r="E34" i="8"/>
  <c r="B19" i="8"/>
  <c r="K30" i="8"/>
  <c r="D23" i="8"/>
  <c r="O52" i="8"/>
  <c r="F43" i="8"/>
  <c r="S39" i="8"/>
  <c r="Q41" i="8"/>
  <c r="P57" i="8"/>
  <c r="N32" i="8"/>
  <c r="L40" i="8"/>
  <c r="L20" i="8"/>
  <c r="R8" i="8"/>
  <c r="G26" i="8"/>
  <c r="K43" i="8"/>
  <c r="U42" i="8"/>
  <c r="K25" i="8"/>
  <c r="U64" i="8"/>
  <c r="T19" i="8"/>
  <c r="L67" i="8"/>
  <c r="Q24" i="8"/>
  <c r="T54" i="8"/>
  <c r="G45" i="8"/>
  <c r="J8" i="8"/>
  <c r="F29" i="8"/>
  <c r="G66" i="8"/>
  <c r="B40" i="8"/>
  <c r="Q10" i="8"/>
  <c r="F64" i="8"/>
  <c r="I20" i="8"/>
  <c r="C13" i="8"/>
  <c r="E61" i="8"/>
  <c r="R39" i="8"/>
  <c r="L9" i="8"/>
  <c r="P32" i="8"/>
  <c r="S41" i="8"/>
  <c r="D11" i="8"/>
  <c r="Q16" i="8"/>
  <c r="T65" i="8"/>
  <c r="S14" i="8"/>
  <c r="E26" i="8"/>
  <c r="G15" i="8"/>
  <c r="I58" i="8"/>
  <c r="T64" i="8"/>
  <c r="J28" i="8"/>
  <c r="L37" i="8"/>
  <c r="N51" i="8"/>
  <c r="H6" i="8"/>
  <c r="I51" i="8"/>
  <c r="L16" i="8"/>
  <c r="K52" i="8"/>
  <c r="P63" i="8"/>
  <c r="O40" i="8"/>
  <c r="U20" i="8"/>
  <c r="T61" i="8"/>
  <c r="I7" i="8"/>
  <c r="K49" i="8"/>
  <c r="I16" i="8"/>
  <c r="L3" i="8"/>
  <c r="N18" i="8"/>
  <c r="C38" i="8"/>
  <c r="E36" i="8"/>
  <c r="U50" i="8"/>
  <c r="D9" i="8"/>
  <c r="D30" i="8"/>
  <c r="C19" i="8"/>
  <c r="Q15" i="8"/>
  <c r="J49" i="8"/>
  <c r="E27" i="8"/>
  <c r="F20" i="8"/>
  <c r="N4" i="8"/>
  <c r="U17" i="8"/>
  <c r="O27" i="8"/>
  <c r="T17" i="8"/>
  <c r="I9" i="8"/>
  <c r="N52" i="8"/>
  <c r="O66" i="8"/>
  <c r="F31" i="8"/>
  <c r="Q50" i="8"/>
  <c r="H42" i="8"/>
  <c r="S25" i="8"/>
  <c r="H24" i="8"/>
  <c r="M27" i="8"/>
  <c r="I44" i="8"/>
  <c r="E44" i="8"/>
  <c r="N22" i="8"/>
  <c r="C49" i="8"/>
  <c r="E53" i="8"/>
  <c r="S20" i="8"/>
  <c r="D50" i="8"/>
  <c r="U38" i="8"/>
  <c r="F61" i="8"/>
  <c r="P21" i="8"/>
  <c r="F16" i="8"/>
  <c r="Q33" i="8"/>
  <c r="H50" i="8"/>
  <c r="N57" i="8"/>
  <c r="F34" i="8"/>
  <c r="Q19" i="8"/>
  <c r="F53" i="8"/>
  <c r="L59" i="8"/>
  <c r="M61" i="8"/>
  <c r="D5" i="8"/>
  <c r="J33" i="8"/>
  <c r="M57" i="8"/>
  <c r="D56" i="8"/>
  <c r="U56" i="8"/>
  <c r="C52" i="8"/>
  <c r="M13" i="8"/>
  <c r="L48" i="8"/>
  <c r="F5" i="8"/>
  <c r="N30" i="8"/>
  <c r="G53" i="8"/>
  <c r="U60" i="8"/>
  <c r="C26" i="8"/>
  <c r="J17" i="8"/>
  <c r="U9" i="8"/>
  <c r="L53" i="8"/>
  <c r="R65" i="8"/>
  <c r="U46" i="8"/>
  <c r="D61" i="8"/>
  <c r="M34" i="8"/>
  <c r="M22" i="8"/>
  <c r="I60" i="8"/>
  <c r="E49" i="8"/>
  <c r="S22" i="8"/>
  <c r="P43" i="8"/>
  <c r="B58" i="8"/>
  <c r="I54" i="8"/>
  <c r="J52" i="8"/>
  <c r="M52" i="8"/>
  <c r="B18" i="8"/>
  <c r="D32" i="8"/>
  <c r="R64" i="8"/>
  <c r="M16" i="8"/>
  <c r="P53" i="8"/>
  <c r="B23" i="8"/>
  <c r="P67" i="8"/>
  <c r="E17" i="8"/>
  <c r="G23" i="8"/>
  <c r="J25" i="8"/>
  <c r="D59" i="8"/>
  <c r="F51" i="8"/>
  <c r="Q45" i="8"/>
  <c r="H33" i="8"/>
  <c r="H44" i="8"/>
  <c r="P30" i="8"/>
  <c r="R22" i="8"/>
  <c r="P65" i="8"/>
  <c r="E67" i="8"/>
  <c r="D16" i="8"/>
  <c r="R6" i="8"/>
  <c r="I29" i="8"/>
  <c r="R49" i="8"/>
  <c r="K32" i="8"/>
  <c r="J43" i="8"/>
  <c r="J34" i="8"/>
  <c r="N38" i="8"/>
  <c r="Q38" i="8"/>
  <c r="E21" i="8"/>
  <c r="U15" i="8"/>
  <c r="R14" i="8"/>
  <c r="G35" i="8"/>
  <c r="K63" i="8"/>
  <c r="K53" i="8"/>
  <c r="O9" i="8"/>
  <c r="S42" i="8"/>
  <c r="I56" i="8"/>
  <c r="G22" i="8"/>
  <c r="S38" i="8"/>
  <c r="P42" i="8"/>
  <c r="F44" i="8"/>
  <c r="K67" i="8"/>
  <c r="Q35" i="8"/>
  <c r="P59" i="8"/>
  <c r="E19" i="8"/>
  <c r="T50" i="8"/>
  <c r="L19" i="8"/>
  <c r="F67" i="8"/>
  <c r="L46" i="8"/>
  <c r="C30" i="8"/>
  <c r="G63" i="8"/>
  <c r="P19" i="8"/>
  <c r="R42" i="8"/>
  <c r="Q37" i="8"/>
  <c r="N17" i="8"/>
  <c r="T27" i="8"/>
  <c r="L47" i="8"/>
  <c r="E12" i="8"/>
  <c r="D8" i="8"/>
  <c r="T33" i="8"/>
  <c r="H3" i="8"/>
  <c r="J18" i="8"/>
  <c r="F24" i="8"/>
  <c r="O13" i="8"/>
  <c r="J64" i="8"/>
  <c r="P24" i="8"/>
  <c r="R58" i="8"/>
  <c r="I43" i="8"/>
  <c r="T20" i="8"/>
  <c r="B12" i="8"/>
  <c r="O46" i="8"/>
  <c r="U24" i="8"/>
  <c r="H35" i="8"/>
  <c r="U55" i="8"/>
  <c r="G25" i="8"/>
  <c r="R13" i="8"/>
  <c r="K38" i="8"/>
  <c r="J12" i="8"/>
  <c r="G32" i="8"/>
  <c r="E13" i="8"/>
  <c r="J47" i="8"/>
  <c r="E43" i="8"/>
  <c r="F45" i="8"/>
  <c r="R28" i="8"/>
  <c r="P35" i="8"/>
  <c r="O67" i="8"/>
  <c r="G16" i="8"/>
  <c r="J9" i="8"/>
  <c r="J15" i="8"/>
  <c r="T60" i="8"/>
  <c r="J14" i="8"/>
  <c r="C55" i="8"/>
  <c r="S8" i="8"/>
  <c r="S45" i="8"/>
  <c r="T16" i="8"/>
  <c r="G55" i="8"/>
  <c r="F35" i="8"/>
  <c r="S48" i="8"/>
  <c r="I35" i="8"/>
  <c r="E57" i="8"/>
  <c r="C8" i="8"/>
  <c r="U58" i="8"/>
  <c r="T41" i="8"/>
  <c r="P41" i="8"/>
  <c r="D17" i="8"/>
  <c r="D35" i="8"/>
  <c r="D40" i="8"/>
  <c r="I15" i="8"/>
  <c r="L27" i="8"/>
  <c r="B66" i="8"/>
  <c r="N3" i="8"/>
  <c r="D14" i="8"/>
  <c r="U47" i="8"/>
  <c r="U8" i="8"/>
  <c r="K4" i="8"/>
  <c r="I39" i="8"/>
  <c r="Q57" i="8"/>
  <c r="N55" i="8"/>
  <c r="L38" i="8"/>
  <c r="G12" i="8"/>
  <c r="B36" i="8"/>
  <c r="G36" i="8"/>
  <c r="O45" i="8"/>
  <c r="P13" i="8"/>
  <c r="H22" i="8"/>
  <c r="L29" i="8"/>
  <c r="P18" i="8"/>
  <c r="D37" i="8"/>
  <c r="Q47" i="8"/>
  <c r="Q7" i="8"/>
  <c r="R11" i="8"/>
  <c r="C41" i="8"/>
  <c r="S51" i="8"/>
  <c r="N42" i="8"/>
  <c r="B44" i="8"/>
  <c r="R23" i="8"/>
  <c r="K37" i="8"/>
  <c r="Q56" i="8"/>
  <c r="N56" i="8"/>
  <c r="K23" i="8"/>
  <c r="K36" i="8"/>
  <c r="R12" i="8"/>
  <c r="I42" i="8"/>
  <c r="I34" i="8"/>
  <c r="T23" i="8"/>
  <c r="O56" i="8"/>
  <c r="B7" i="8"/>
  <c r="U44" i="8"/>
  <c r="T48" i="8"/>
  <c r="H32" i="8"/>
  <c r="P39" i="8"/>
  <c r="O41" i="8"/>
  <c r="F27" i="8"/>
  <c r="S55" i="8"/>
  <c r="E29" i="8"/>
  <c r="C34" i="8"/>
  <c r="E8" i="8"/>
  <c r="M53" i="8"/>
  <c r="D3" i="8"/>
  <c r="E62" i="8"/>
  <c r="S66" i="8"/>
  <c r="M4" i="8"/>
  <c r="B67" i="8"/>
  <c r="S44" i="8"/>
  <c r="D34" i="8"/>
  <c r="E35" i="8"/>
  <c r="I53" i="8"/>
  <c r="J11" i="8"/>
  <c r="B11" i="8"/>
  <c r="J59" i="8"/>
  <c r="D65" i="8"/>
  <c r="R3" i="8"/>
  <c r="G8" i="8"/>
  <c r="K59" i="8"/>
  <c r="O43" i="8"/>
  <c r="L60" i="8"/>
  <c r="Q18" i="8"/>
  <c r="U61" i="8"/>
  <c r="C12" i="8"/>
  <c r="U10" i="8"/>
  <c r="H16" i="8"/>
  <c r="O37" i="8"/>
  <c r="S23" i="8"/>
  <c r="H40" i="8"/>
  <c r="Q51" i="8"/>
  <c r="L45" i="8"/>
  <c r="C17" i="8"/>
  <c r="M44" i="8"/>
  <c r="R18" i="8"/>
  <c r="L21" i="8"/>
  <c r="J56" i="8"/>
  <c r="H19" i="8"/>
  <c r="O20" i="8"/>
  <c r="N43" i="8"/>
  <c r="F22" i="8"/>
  <c r="O47" i="8"/>
  <c r="U29" i="8"/>
  <c r="O21" i="8"/>
  <c r="T59" i="8"/>
  <c r="C58" i="8"/>
  <c r="C53" i="8"/>
  <c r="P44" i="8"/>
  <c r="I23" i="8"/>
  <c r="L22" i="8"/>
  <c r="R62" i="8"/>
  <c r="O3" i="8"/>
  <c r="F28" i="8"/>
  <c r="M58" i="8"/>
  <c r="J6" i="8"/>
  <c r="O50" i="8"/>
  <c r="I46" i="8"/>
  <c r="C46" i="8"/>
  <c r="B53" i="8"/>
  <c r="Q39" i="8"/>
  <c r="F63" i="8"/>
  <c r="B56" i="8"/>
  <c r="E10" i="8"/>
  <c r="T13" i="8"/>
  <c r="N28" i="8"/>
  <c r="O29" i="8"/>
  <c r="Q11" i="8"/>
  <c r="G61" i="8"/>
  <c r="M5" i="8"/>
  <c r="P27" i="8"/>
  <c r="N24" i="8"/>
  <c r="D26" i="8"/>
  <c r="S53" i="8"/>
  <c r="U48" i="8"/>
  <c r="L7" i="8"/>
  <c r="C57" i="8"/>
  <c r="G21" i="8"/>
  <c r="M56" i="8"/>
  <c r="Q30" i="8"/>
  <c r="S10" i="8"/>
  <c r="U67" i="8"/>
  <c r="J62" i="8"/>
  <c r="I49" i="8"/>
  <c r="U59" i="8"/>
  <c r="G39" i="8"/>
  <c r="L66" i="8"/>
  <c r="E58" i="8"/>
  <c r="F54" i="8"/>
  <c r="P46" i="8"/>
  <c r="E52" i="8"/>
  <c r="N66" i="8"/>
  <c r="U33" i="8"/>
  <c r="K11" i="8"/>
  <c r="M66" i="8"/>
  <c r="G60" i="8"/>
  <c r="B16" i="8"/>
  <c r="O12" i="8"/>
  <c r="D44" i="8"/>
  <c r="U32" i="8"/>
  <c r="T8" i="8"/>
  <c r="J5" i="8"/>
  <c r="U35" i="8"/>
  <c r="N8" i="8"/>
  <c r="J67" i="8"/>
  <c r="S26" i="8"/>
  <c r="M32" i="8"/>
  <c r="Q52" i="8"/>
  <c r="L25" i="8"/>
  <c r="S21" i="8"/>
  <c r="B45" i="8"/>
  <c r="L15" i="8"/>
  <c r="P33" i="8"/>
  <c r="T44" i="8"/>
  <c r="C60" i="8"/>
  <c r="I59" i="8"/>
  <c r="S34" i="8"/>
  <c r="G29" i="8"/>
  <c r="P56" i="8"/>
  <c r="E42" i="8"/>
  <c r="L34" i="8"/>
  <c r="I3" i="8"/>
  <c r="F10" i="8"/>
  <c r="D48" i="8"/>
  <c r="H20" i="8"/>
  <c r="H21" i="8"/>
  <c r="S36" i="8"/>
  <c r="C36" i="8"/>
  <c r="L23" i="8"/>
  <c r="F3" i="8"/>
  <c r="U65" i="8"/>
  <c r="F49" i="8"/>
  <c r="S60" i="8"/>
  <c r="E41" i="8"/>
  <c r="T38" i="8"/>
  <c r="G24" i="8"/>
  <c r="R56" i="8"/>
  <c r="E55" i="8"/>
  <c r="E3" i="8"/>
  <c r="C42" i="8"/>
  <c r="F15" i="8"/>
  <c r="E64" i="8"/>
  <c r="R29" i="8"/>
  <c r="P36" i="8"/>
  <c r="M65" i="8"/>
  <c r="B27" i="8"/>
  <c r="R34" i="8"/>
  <c r="D58" i="8"/>
  <c r="R9" i="8"/>
  <c r="N50" i="8"/>
  <c r="G28" i="8"/>
  <c r="P52" i="8"/>
  <c r="S13" i="8"/>
  <c r="J44" i="8"/>
  <c r="N37" i="8"/>
  <c r="H56" i="8"/>
  <c r="F57" i="8"/>
  <c r="M67" i="8"/>
  <c r="L30" i="8"/>
  <c r="U45" i="8"/>
  <c r="Q63" i="8"/>
  <c r="E18" i="8"/>
  <c r="B31" i="8"/>
  <c r="J45" i="8"/>
  <c r="G33" i="8"/>
  <c r="S37" i="8"/>
  <c r="H46" i="8"/>
  <c r="T56" i="8"/>
  <c r="J54" i="8"/>
  <c r="E56" i="8"/>
  <c r="K50" i="8"/>
  <c r="O39" i="8"/>
  <c r="P11" i="8"/>
  <c r="S47" i="8"/>
  <c r="M31" i="8"/>
  <c r="O28" i="8"/>
  <c r="F26" i="8"/>
  <c r="D60" i="8"/>
  <c r="N36" i="8"/>
  <c r="S61" i="8"/>
  <c r="S33" i="8"/>
  <c r="U39" i="8"/>
  <c r="P8" i="8"/>
  <c r="N25" i="8"/>
  <c r="E28" i="8"/>
  <c r="T55" i="8"/>
  <c r="R16" i="8"/>
  <c r="G6" i="8"/>
  <c r="O49" i="8"/>
  <c r="R47" i="8"/>
  <c r="N60" i="8"/>
  <c r="L57" i="8"/>
  <c r="T15" i="8"/>
  <c r="B28" i="8"/>
  <c r="N67" i="8"/>
  <c r="H64" i="8"/>
  <c r="E5" i="8"/>
  <c r="F56" i="8"/>
  <c r="N63" i="8"/>
  <c r="N35" i="8"/>
  <c r="R24" i="8"/>
  <c r="J30" i="8"/>
  <c r="M38" i="8"/>
  <c r="K24" i="8"/>
  <c r="H37" i="8"/>
  <c r="Q17" i="8"/>
  <c r="U43" i="8"/>
  <c r="M42" i="8"/>
  <c r="P14" i="8"/>
  <c r="Q4" i="8"/>
  <c r="R31" i="8"/>
  <c r="I48" i="8"/>
  <c r="B49" i="8"/>
  <c r="C61" i="8"/>
  <c r="H52" i="8"/>
  <c r="T12" i="8"/>
  <c r="M10" i="8"/>
  <c r="O23" i="8"/>
  <c r="C67" i="8"/>
  <c r="G42" i="8"/>
  <c r="P15" i="8"/>
  <c r="K8" i="8"/>
  <c r="T22" i="8"/>
  <c r="U14" i="8"/>
  <c r="O32" i="8"/>
  <c r="U12" i="8"/>
  <c r="H45" i="8"/>
  <c r="J22" i="8"/>
  <c r="M33" i="8"/>
  <c r="S11" i="8"/>
  <c r="E45" i="8"/>
  <c r="J29" i="8"/>
  <c r="B26" i="8"/>
  <c r="B30" i="8"/>
  <c r="N13" i="8"/>
  <c r="S31" i="8"/>
  <c r="P22" i="8"/>
  <c r="J39" i="8"/>
  <c r="T28" i="8"/>
  <c r="N9" i="8"/>
  <c r="O8" i="8"/>
  <c r="M39" i="8"/>
  <c r="M63" i="8"/>
  <c r="O54" i="8"/>
  <c r="U31" i="8"/>
  <c r="G46" i="8"/>
  <c r="Q13" i="8"/>
  <c r="K10" i="8"/>
  <c r="G37" i="8"/>
  <c r="Q42" i="8"/>
  <c r="S56" i="8"/>
  <c r="K7" i="8"/>
  <c r="S67" i="8"/>
  <c r="T47" i="8"/>
  <c r="G65" i="8"/>
  <c r="O38" i="8"/>
  <c r="G4" i="8"/>
  <c r="I6" i="8"/>
  <c r="U18" i="8"/>
  <c r="C24" i="8"/>
  <c r="F23" i="8"/>
  <c r="K22" i="8"/>
  <c r="L5" i="8"/>
  <c r="M46" i="8"/>
  <c r="H57" i="8"/>
  <c r="B34" i="8"/>
  <c r="K14" i="8"/>
  <c r="D19" i="8"/>
  <c r="B17" i="8"/>
  <c r="H41" i="8"/>
  <c r="R52" i="8"/>
  <c r="C35" i="8"/>
  <c r="U57" i="8"/>
  <c r="E66" i="8"/>
  <c r="I14" i="8"/>
  <c r="T21" i="8"/>
  <c r="I18" i="8"/>
  <c r="B62" i="8"/>
  <c r="H30" i="8"/>
  <c r="L13" i="8"/>
  <c r="R25" i="8"/>
  <c r="E59" i="8"/>
  <c r="B51" i="8"/>
  <c r="H62" i="8"/>
  <c r="P10" i="8"/>
  <c r="T52" i="8"/>
  <c r="Q26" i="8"/>
  <c r="R45" i="8"/>
  <c r="D55" i="8"/>
  <c r="C3" i="8"/>
  <c r="I38" i="8"/>
  <c r="F21" i="8"/>
  <c r="N47" i="8"/>
  <c r="K58" i="8"/>
  <c r="M45" i="8"/>
  <c r="H43" i="8"/>
  <c r="J23" i="8"/>
  <c r="N23" i="8"/>
  <c r="I22" i="8"/>
  <c r="K13" i="8"/>
  <c r="O24" i="8"/>
  <c r="E15" i="8"/>
  <c r="G7" i="8"/>
  <c r="T43" i="8"/>
  <c r="F52" i="8"/>
  <c r="M36" i="8"/>
  <c r="H13" i="8"/>
  <c r="I61" i="8"/>
  <c r="F42" i="8"/>
  <c r="T46" i="8"/>
  <c r="R30" i="8"/>
  <c r="Q44" i="8"/>
  <c r="G54" i="8"/>
  <c r="C5" i="8"/>
  <c r="D21" i="8"/>
  <c r="O26" i="8"/>
  <c r="P45" i="8"/>
  <c r="P58" i="8"/>
  <c r="E20" i="8"/>
  <c r="J3" i="8"/>
  <c r="F6" i="8"/>
  <c r="C37" i="8"/>
  <c r="S35" i="8"/>
  <c r="D29" i="8"/>
  <c r="B65" i="8"/>
  <c r="C31" i="8"/>
  <c r="O15" i="8"/>
  <c r="I67" i="8"/>
  <c r="Q60" i="8"/>
  <c r="I63" i="8"/>
  <c r="M35" i="8"/>
  <c r="D20" i="8"/>
  <c r="U66" i="8"/>
  <c r="U41" i="8"/>
  <c r="S52" i="8"/>
  <c r="R40" i="8"/>
  <c r="N31" i="8"/>
  <c r="O53" i="8"/>
  <c r="L12" i="8"/>
  <c r="G47" i="8"/>
  <c r="I62" i="8"/>
  <c r="O36" i="8"/>
  <c r="R38" i="8"/>
  <c r="J48" i="8"/>
  <c r="M12" i="8"/>
  <c r="I47" i="8"/>
  <c r="R10" i="8"/>
  <c r="G38" i="8"/>
  <c r="K5" i="8"/>
  <c r="O61" i="8"/>
  <c r="G52" i="8"/>
  <c r="T62" i="8"/>
  <c r="E7" i="8"/>
  <c r="U23" i="8"/>
  <c r="I52" i="8"/>
  <c r="H18" i="8"/>
  <c r="L43" i="8"/>
  <c r="S49" i="8"/>
  <c r="M6" i="8"/>
  <c r="M14" i="8"/>
  <c r="R46" i="8"/>
  <c r="N6" i="8"/>
  <c r="E22" i="8"/>
  <c r="I21" i="8"/>
  <c r="I30" i="8"/>
  <c r="E39" i="8"/>
  <c r="B54" i="8"/>
  <c r="E63" i="8"/>
  <c r="K9" i="8"/>
  <c r="T7" i="8"/>
  <c r="H51" i="8"/>
  <c r="N27" i="8"/>
  <c r="U62" i="8"/>
  <c r="G59" i="8"/>
  <c r="N44" i="8"/>
  <c r="C51" i="8"/>
  <c r="E31" i="8"/>
  <c r="L51" i="8"/>
  <c r="G14" i="8"/>
  <c r="S18" i="8"/>
  <c r="K19" i="8"/>
  <c r="I11" i="8"/>
  <c r="Q21" i="8"/>
  <c r="O7" i="8"/>
  <c r="S30" i="8"/>
  <c r="O18" i="8"/>
  <c r="F48" i="8"/>
  <c r="G44" i="8"/>
  <c r="H63" i="8"/>
  <c r="Q36" i="8"/>
  <c r="P20" i="8"/>
  <c r="R37" i="8"/>
  <c r="E30" i="8"/>
  <c r="D15" i="8"/>
  <c r="R48" i="8"/>
  <c r="C10" i="8"/>
  <c r="S32" i="8"/>
  <c r="C54" i="8"/>
  <c r="J26" i="8"/>
  <c r="B13" i="8"/>
  <c r="U4" i="8"/>
  <c r="T40" i="8"/>
  <c r="R60" i="8"/>
  <c r="J24" i="8"/>
  <c r="O48" i="8"/>
  <c r="D4" i="8"/>
  <c r="B39" i="8"/>
  <c r="H12" i="8"/>
  <c r="P6" i="8"/>
  <c r="N21" i="8"/>
  <c r="F46" i="8"/>
  <c r="K62" i="8"/>
  <c r="G34" i="8"/>
  <c r="K42" i="8"/>
  <c r="E25" i="8"/>
  <c r="B61" i="8"/>
  <c r="S19" i="8"/>
  <c r="P3" i="8"/>
  <c r="K33" i="8"/>
  <c r="E65" i="8"/>
  <c r="P50" i="8"/>
  <c r="Q28" i="8"/>
  <c r="T3" i="8"/>
  <c r="F62" i="8"/>
  <c r="T26" i="8"/>
  <c r="C65" i="8"/>
  <c r="T24" i="8"/>
  <c r="J57" i="8"/>
  <c r="R32" i="8"/>
  <c r="C6" i="8"/>
  <c r="T53" i="8"/>
  <c r="I57" i="8"/>
  <c r="U21" i="8"/>
  <c r="P34" i="8"/>
  <c r="L44" i="8"/>
  <c r="C22" i="8"/>
  <c r="M47" i="8"/>
  <c r="S58" i="8"/>
  <c r="E32" i="8"/>
  <c r="S57" i="8"/>
  <c r="J61" i="8"/>
  <c r="U36" i="8"/>
  <c r="R36" i="8"/>
  <c r="N59" i="8"/>
  <c r="P12" i="8"/>
  <c r="T35" i="8"/>
  <c r="C39" i="8"/>
  <c r="O4" i="8"/>
  <c r="J21" i="8"/>
  <c r="P60" i="8"/>
  <c r="Q34" i="8"/>
  <c r="U25" i="8"/>
  <c r="N10" i="8"/>
  <c r="O63" i="8"/>
  <c r="D66" i="8"/>
  <c r="M30" i="8"/>
  <c r="T39" i="8"/>
  <c r="T63" i="8"/>
  <c r="C45" i="8"/>
  <c r="T11" i="8"/>
  <c r="I37" i="8"/>
  <c r="K17" i="8"/>
  <c r="K65" i="8"/>
  <c r="J37" i="8"/>
  <c r="F39" i="8"/>
  <c r="T49" i="8"/>
  <c r="C62" i="8"/>
  <c r="J7" i="8"/>
  <c r="H67" i="8"/>
  <c r="H15" i="8"/>
  <c r="C32" i="8"/>
  <c r="B42" i="8"/>
  <c r="C63" i="8"/>
  <c r="I25" i="8"/>
  <c r="C40" i="8"/>
  <c r="Q61" i="8"/>
  <c r="R53" i="8"/>
  <c r="D18" i="8"/>
  <c r="H28" i="8"/>
  <c r="R5" i="8"/>
  <c r="E37" i="8"/>
  <c r="G3" i="8"/>
  <c r="G58" i="8"/>
  <c r="S4" i="8"/>
  <c r="C29" i="8"/>
  <c r="D12" i="8"/>
  <c r="O65" i="8"/>
  <c r="C59" i="8"/>
  <c r="O42" i="8"/>
  <c r="N29" i="8"/>
  <c r="I32" i="8"/>
  <c r="F25" i="8"/>
  <c r="M55" i="8"/>
  <c r="F14" i="8"/>
  <c r="C64" i="8"/>
  <c r="P5" i="8"/>
  <c r="N12" i="8"/>
  <c r="T9" i="8"/>
  <c r="C27" i="8"/>
  <c r="R51" i="8"/>
  <c r="P51" i="8"/>
  <c r="K28" i="8"/>
  <c r="K27" i="8"/>
  <c r="I19" i="8"/>
  <c r="D33" i="8"/>
  <c r="U26" i="8"/>
  <c r="G48" i="8"/>
  <c r="F38" i="8"/>
  <c r="P28" i="8"/>
  <c r="C48" i="8"/>
  <c r="K60" i="8"/>
  <c r="L39" i="8"/>
  <c r="U34" i="8"/>
  <c r="H8" i="8"/>
  <c r="L63" i="8"/>
  <c r="L56" i="8"/>
  <c r="T51" i="8"/>
  <c r="H55" i="8"/>
  <c r="U49" i="8"/>
  <c r="C33" i="8"/>
  <c r="S6" i="8"/>
  <c r="K44" i="8"/>
  <c r="C18" i="8"/>
  <c r="P26" i="8"/>
  <c r="E23" i="8"/>
  <c r="B47" i="8"/>
  <c r="F7" i="8"/>
  <c r="B29" i="8"/>
  <c r="F12" i="8"/>
  <c r="E4" i="8"/>
  <c r="K55" i="8"/>
  <c r="S29" i="8"/>
  <c r="C44" i="8"/>
  <c r="Q66" i="8"/>
  <c r="Q5" i="8"/>
  <c r="L36" i="8"/>
  <c r="P7" i="8"/>
  <c r="I65" i="8"/>
  <c r="P64" i="8"/>
  <c r="M18" i="8"/>
  <c r="L62" i="8"/>
  <c r="H25" i="8"/>
  <c r="I66" i="8"/>
  <c r="F11" i="8"/>
  <c r="Q9" i="8"/>
  <c r="H47" i="8"/>
  <c r="N45" i="8"/>
  <c r="S63" i="8"/>
  <c r="K41" i="8"/>
  <c r="P55" i="8"/>
  <c r="B60" i="8"/>
  <c r="R26" i="8"/>
  <c r="Q22" i="8"/>
  <c r="K15" i="8"/>
  <c r="L55" i="8"/>
  <c r="L6" i="8"/>
  <c r="D45" i="8"/>
  <c r="S7" i="8"/>
  <c r="N64" i="8"/>
  <c r="H49" i="8"/>
  <c r="B22" i="8"/>
  <c r="E48" i="8"/>
  <c r="L24" i="8"/>
  <c r="N65" i="8"/>
  <c r="L42" i="8"/>
  <c r="H61" i="8"/>
  <c r="L10" i="8"/>
  <c r="Q48" i="8"/>
  <c r="M23" i="8"/>
  <c r="L41" i="8"/>
  <c r="H38" i="8"/>
  <c r="F4" i="8"/>
  <c r="Q14" i="8"/>
  <c r="S64" i="8"/>
  <c r="B55" i="8"/>
  <c r="Q8" i="8"/>
  <c r="J58" i="8"/>
  <c r="C47" i="8"/>
  <c r="O33" i="8"/>
  <c r="L61" i="8"/>
  <c r="U13" i="8"/>
  <c r="D13" i="8"/>
  <c r="C43" i="8"/>
  <c r="F17" i="8"/>
  <c r="Q55" i="8"/>
  <c r="E6" i="8"/>
  <c r="M37" i="8"/>
  <c r="L52" i="8"/>
  <c r="L4" i="8"/>
  <c r="M54" i="8"/>
  <c r="H27" i="8"/>
  <c r="H29" i="8"/>
  <c r="N54" i="8"/>
  <c r="T18" i="8"/>
  <c r="M3" i="8"/>
  <c r="I64" i="8"/>
  <c r="S28" i="8"/>
  <c r="P47" i="8"/>
  <c r="H48" i="8"/>
  <c r="K21" i="8"/>
  <c r="P38" i="8"/>
  <c r="F50" i="8"/>
  <c r="O19" i="8"/>
  <c r="N49" i="8"/>
  <c r="D38" i="8"/>
  <c r="S9" i="8"/>
  <c r="O55" i="8"/>
  <c r="G13" i="8"/>
  <c r="T34" i="8"/>
  <c r="K18" i="8"/>
  <c r="H5" i="8"/>
  <c r="S43" i="8"/>
  <c r="S16" i="8"/>
  <c r="K66" i="8"/>
  <c r="B5" i="8"/>
  <c r="S50" i="8"/>
  <c r="R61" i="8"/>
  <c r="D6" i="8"/>
  <c r="G9" i="8"/>
  <c r="N16" i="8"/>
  <c r="R54" i="8"/>
  <c r="B14" i="8"/>
  <c r="K12" i="8"/>
  <c r="P62" i="8"/>
  <c r="M62" i="8"/>
  <c r="L28" i="8"/>
  <c r="F8" i="8"/>
  <c r="G50" i="8"/>
  <c r="B48" i="8"/>
  <c r="F33" i="8"/>
  <c r="C4" i="8"/>
  <c r="R67" i="8"/>
  <c r="I27" i="8"/>
  <c r="L65" i="8"/>
  <c r="U27" i="8"/>
  <c r="S3" i="8"/>
  <c r="O31" i="8"/>
  <c r="M43" i="8"/>
  <c r="M40" i="8"/>
  <c r="H66" i="8"/>
  <c r="Q12" i="8"/>
  <c r="G20" i="8"/>
  <c r="K51" i="8"/>
  <c r="S65" i="8"/>
  <c r="F58" i="8"/>
  <c r="T4" i="8"/>
  <c r="AH12" i="8"/>
  <c r="AH45" i="8"/>
  <c r="AH37" i="8"/>
  <c r="J18" i="4"/>
  <c r="AH63" i="8"/>
  <c r="J37" i="4"/>
  <c r="J12" i="4"/>
  <c r="J5" i="4"/>
  <c r="J10" i="4"/>
  <c r="J21" i="4"/>
  <c r="J30" i="4"/>
  <c r="AH7" i="8"/>
  <c r="AH41" i="8"/>
  <c r="J39" i="4"/>
  <c r="AH19" i="8"/>
  <c r="J8" i="4"/>
  <c r="J4" i="4"/>
  <c r="AH25" i="8"/>
  <c r="AH8" i="8"/>
  <c r="J15" i="4"/>
  <c r="AH64" i="8"/>
  <c r="AH33" i="8"/>
  <c r="AH5" i="8"/>
  <c r="AH24" i="8"/>
  <c r="AH57" i="8"/>
  <c r="J26" i="4"/>
  <c r="J20" i="4"/>
  <c r="J7" i="4"/>
  <c r="J17" i="4"/>
  <c r="AH21" i="8"/>
  <c r="AH48" i="8"/>
  <c r="AH65" i="8"/>
  <c r="AH18" i="8"/>
  <c r="AH22" i="8"/>
  <c r="AH14" i="8"/>
  <c r="AH67" i="8"/>
  <c r="AH13" i="8"/>
  <c r="AH60" i="8"/>
  <c r="J9" i="4"/>
  <c r="AH53" i="8"/>
  <c r="B23" i="6"/>
  <c r="AH46" i="8"/>
  <c r="AH52" i="8"/>
  <c r="J40" i="4"/>
  <c r="J49" i="4"/>
  <c r="AH30" i="8"/>
  <c r="AH56" i="8"/>
  <c r="J14" i="4"/>
  <c r="J35" i="4"/>
  <c r="AH36" i="8"/>
  <c r="AH55" i="8"/>
  <c r="J27" i="4"/>
  <c r="AH49" i="8"/>
  <c r="J34" i="4"/>
  <c r="AH58" i="8"/>
  <c r="J13" i="4"/>
  <c r="AH50" i="8"/>
  <c r="AH11" i="8"/>
  <c r="AH9" i="8"/>
  <c r="J48" i="4"/>
  <c r="J2" i="4"/>
  <c r="L57" i="4"/>
  <c r="AH26" i="8"/>
  <c r="J36" i="4"/>
  <c r="F1" i="8"/>
  <c r="AH44" i="8"/>
  <c r="J47" i="4"/>
  <c r="AH66" i="8"/>
  <c r="AH54" i="8"/>
  <c r="AH32" i="8"/>
  <c r="AH17" i="8"/>
  <c r="J29" i="4"/>
  <c r="AH39" i="8"/>
  <c r="AH23" i="8"/>
  <c r="J41" i="4"/>
  <c r="J50" i="4"/>
  <c r="AH31" i="8"/>
  <c r="AH28" i="8"/>
  <c r="AH43" i="8"/>
  <c r="AH16" i="8"/>
  <c r="AH47" i="8"/>
  <c r="AH6" i="8"/>
  <c r="J28" i="4"/>
  <c r="AH4" i="8"/>
  <c r="J24" i="4"/>
  <c r="AH51" i="8"/>
  <c r="AH62" i="8"/>
  <c r="AH10" i="8"/>
  <c r="AH15" i="8"/>
  <c r="AH61" i="8"/>
  <c r="J44" i="4"/>
  <c r="AH42" i="8"/>
  <c r="J11" i="4"/>
  <c r="AH20" i="8"/>
  <c r="AH29" i="8"/>
  <c r="AH40" i="8"/>
  <c r="AH59" i="8"/>
  <c r="AH35" i="8"/>
  <c r="AH38" i="8"/>
  <c r="J32" i="4"/>
  <c r="AH27" i="8"/>
  <c r="AH34" i="8"/>
  <c r="Q1" i="4"/>
  <c r="AD57" i="4" l="1"/>
  <c r="AE57" i="4" s="1"/>
  <c r="Y57" i="4"/>
  <c r="B2" i="8"/>
  <c r="B21" i="6"/>
  <c r="A7" i="8"/>
  <c r="A27" i="8"/>
  <c r="A9" i="8"/>
  <c r="A52" i="8"/>
  <c r="A49" i="8"/>
  <c r="A42" i="8"/>
  <c r="A36" i="8"/>
  <c r="A25" i="8"/>
  <c r="A57" i="8"/>
  <c r="C20" i="9"/>
  <c r="A46" i="8"/>
  <c r="G4" i="7" a="1"/>
  <c r="A64" i="8"/>
  <c r="A13" i="8"/>
  <c r="M57" i="4"/>
  <c r="AI28" i="4"/>
  <c r="A66" i="8"/>
  <c r="A30" i="8"/>
  <c r="A17" i="8"/>
  <c r="A53" i="8"/>
  <c r="A22" i="8"/>
  <c r="A37" i="8"/>
  <c r="AI29" i="4"/>
  <c r="A19" i="8"/>
  <c r="A65" i="8"/>
  <c r="A55" i="8"/>
  <c r="A29" i="8"/>
  <c r="A18" i="8"/>
  <c r="A6" i="8"/>
  <c r="A58" i="8"/>
  <c r="A28" i="8"/>
  <c r="A23" i="8"/>
  <c r="A15" i="8"/>
  <c r="A62" i="8"/>
  <c r="A33" i="8"/>
  <c r="A34" i="8"/>
  <c r="A10" i="8"/>
  <c r="A11" i="8"/>
  <c r="A47" i="8"/>
  <c r="A54" i="8"/>
  <c r="A38" i="8"/>
  <c r="A31" i="8"/>
  <c r="A63" i="8"/>
  <c r="A24" i="8"/>
  <c r="A26" i="8"/>
  <c r="A45" i="8"/>
  <c r="A41" i="8"/>
  <c r="A59" i="8"/>
  <c r="A20" i="8"/>
  <c r="A44" i="8"/>
  <c r="A35" i="8"/>
  <c r="A43" i="8"/>
  <c r="A39" i="8"/>
  <c r="A21" i="8"/>
  <c r="A32" i="8"/>
  <c r="A5" i="8"/>
  <c r="A51" i="8"/>
  <c r="A8" i="8"/>
  <c r="A12" i="8"/>
  <c r="A56" i="8"/>
  <c r="A16" i="8"/>
  <c r="L1" i="4"/>
  <c r="A40" i="8"/>
  <c r="A4" i="8"/>
  <c r="B22" i="6"/>
  <c r="A14" i="8"/>
  <c r="A61" i="8"/>
  <c r="A50" i="8"/>
  <c r="A67" i="8"/>
  <c r="E2" i="7"/>
  <c r="A22" i="6"/>
  <c r="A48" i="8"/>
  <c r="A60" i="8"/>
  <c r="L19" i="4"/>
  <c r="L36" i="4"/>
  <c r="L26" i="4"/>
  <c r="L55" i="4"/>
  <c r="L24" i="4"/>
  <c r="L31" i="4"/>
  <c r="L18" i="4"/>
  <c r="L30" i="4"/>
  <c r="L7" i="4"/>
  <c r="L15" i="4"/>
  <c r="L41" i="4"/>
  <c r="L17" i="4"/>
  <c r="L45" i="4"/>
  <c r="L39" i="4"/>
  <c r="L54" i="4"/>
  <c r="L6" i="4"/>
  <c r="L56" i="4"/>
  <c r="L5" i="4"/>
  <c r="L53" i="4"/>
  <c r="L2" i="4"/>
  <c r="L44" i="4"/>
  <c r="L38" i="4"/>
  <c r="L42" i="4"/>
  <c r="L12" i="4"/>
  <c r="L46" i="4"/>
  <c r="L9" i="4"/>
  <c r="L47" i="4"/>
  <c r="L16" i="4"/>
  <c r="L21" i="4"/>
  <c r="L52" i="4"/>
  <c r="L8" i="4"/>
  <c r="L37" i="4"/>
  <c r="L14" i="4"/>
  <c r="L4" i="4"/>
  <c r="L25" i="4"/>
  <c r="L20" i="4"/>
  <c r="L23" i="4"/>
  <c r="L34" i="4"/>
  <c r="L43" i="4"/>
  <c r="L49" i="4"/>
  <c r="L22" i="4"/>
  <c r="L35" i="4"/>
  <c r="L48" i="4"/>
  <c r="L10" i="4"/>
  <c r="L33" i="4"/>
  <c r="L40" i="4"/>
  <c r="L50" i="4"/>
  <c r="L29" i="4"/>
  <c r="L51" i="4"/>
  <c r="L27" i="4"/>
  <c r="L32" i="4"/>
  <c r="L11" i="4"/>
  <c r="L28" i="4"/>
  <c r="L3" i="4"/>
  <c r="L13" i="4"/>
  <c r="V57" i="8" l="1"/>
  <c r="X57" i="8" s="1"/>
  <c r="V54" i="8"/>
  <c r="X54" i="8" s="1"/>
  <c r="V35" i="8"/>
  <c r="X35" i="8" s="1"/>
  <c r="V56" i="8"/>
  <c r="X56" i="8" s="1"/>
  <c r="V29" i="8"/>
  <c r="X29" i="8" s="1"/>
  <c r="V58" i="8"/>
  <c r="X58" i="8" s="1"/>
  <c r="V13" i="8"/>
  <c r="X13" i="8" s="1"/>
  <c r="V25" i="8"/>
  <c r="X25" i="8" s="1"/>
  <c r="V38" i="8"/>
  <c r="X38" i="8" s="1"/>
  <c r="V43" i="8"/>
  <c r="X43" i="8" s="1"/>
  <c r="V14" i="8"/>
  <c r="X14" i="8" s="1"/>
  <c r="V19" i="8"/>
  <c r="X19" i="8" s="1"/>
  <c r="V53" i="8"/>
  <c r="X53" i="8" s="1"/>
  <c r="Y66" i="8"/>
  <c r="AA66" i="8" s="1"/>
  <c r="AB66" i="8"/>
  <c r="AD66" i="8" s="1"/>
  <c r="AF66" i="8"/>
  <c r="AE66" i="8" s="1"/>
  <c r="AG66" i="8"/>
  <c r="V66" i="8"/>
  <c r="X66" i="8" s="1"/>
  <c r="V64" i="8"/>
  <c r="X64" i="8" s="1"/>
  <c r="AG64" i="8"/>
  <c r="Y64" i="8"/>
  <c r="AA64" i="8" s="1"/>
  <c r="AB64" i="8"/>
  <c r="AD64" i="8" s="1"/>
  <c r="AF64" i="8"/>
  <c r="AE64" i="8" s="1"/>
  <c r="V36" i="8"/>
  <c r="X36" i="8" s="1"/>
  <c r="V31" i="8"/>
  <c r="X31" i="8" s="1"/>
  <c r="V39" i="8"/>
  <c r="X39" i="8" s="1"/>
  <c r="V61" i="8"/>
  <c r="X61" i="8" s="1"/>
  <c r="V37" i="8"/>
  <c r="X37" i="8" s="1"/>
  <c r="V40" i="8"/>
  <c r="X40" i="8" s="1"/>
  <c r="V28" i="8"/>
  <c r="X28" i="8" s="1"/>
  <c r="V34" i="8"/>
  <c r="X34" i="8" s="1"/>
  <c r="V42" i="8"/>
  <c r="X42" i="8" s="1"/>
  <c r="Y63" i="8"/>
  <c r="AA63" i="8" s="1"/>
  <c r="V63" i="8"/>
  <c r="X63" i="8" s="1"/>
  <c r="AF63" i="8"/>
  <c r="AE63" i="8" s="1"/>
  <c r="AG63" i="8"/>
  <c r="AB63" i="8"/>
  <c r="AD63" i="8" s="1"/>
  <c r="V21" i="8"/>
  <c r="X21" i="8" s="1"/>
  <c r="V50" i="8"/>
  <c r="X50" i="8" s="1"/>
  <c r="V16" i="8"/>
  <c r="X16" i="8" s="1"/>
  <c r="V18" i="8"/>
  <c r="X18" i="8" s="1"/>
  <c r="V10" i="8"/>
  <c r="X10" i="8" s="1"/>
  <c r="V49" i="8"/>
  <c r="X49" i="8" s="1"/>
  <c r="V24" i="8"/>
  <c r="X24" i="8" s="1"/>
  <c r="V32" i="8"/>
  <c r="X32" i="8" s="1"/>
  <c r="AB67" i="8"/>
  <c r="AD67" i="8" s="1"/>
  <c r="Y67" i="8"/>
  <c r="AA67" i="8" s="1"/>
  <c r="AF67" i="8"/>
  <c r="AE67" i="8" s="1"/>
  <c r="V67" i="8"/>
  <c r="X67" i="8" s="1"/>
  <c r="AG67" i="8"/>
  <c r="Y65" i="8"/>
  <c r="AA65" i="8" s="1"/>
  <c r="AF65" i="8"/>
  <c r="AE65" i="8" s="1"/>
  <c r="AG65" i="8"/>
  <c r="V65" i="8"/>
  <c r="X65" i="8" s="1"/>
  <c r="AB65" i="8"/>
  <c r="AD65" i="8" s="1"/>
  <c r="V44" i="8"/>
  <c r="X44" i="8" s="1"/>
  <c r="V23" i="8"/>
  <c r="X23" i="8" s="1"/>
  <c r="G32" i="7"/>
  <c r="G59" i="7"/>
  <c r="G85" i="7"/>
  <c r="G115" i="7"/>
  <c r="G114" i="7"/>
  <c r="G30" i="7"/>
  <c r="G66" i="7"/>
  <c r="G102" i="7"/>
  <c r="G92" i="7"/>
  <c r="G112" i="7"/>
  <c r="G29" i="7"/>
  <c r="G40" i="7"/>
  <c r="G118" i="7"/>
  <c r="G116" i="7"/>
  <c r="G100" i="7"/>
  <c r="G124" i="7"/>
  <c r="G150" i="7"/>
  <c r="G148" i="7"/>
  <c r="G56" i="7"/>
  <c r="G77" i="7"/>
  <c r="G91" i="7"/>
  <c r="G134" i="7"/>
  <c r="G104" i="7"/>
  <c r="G65" i="7"/>
  <c r="G25" i="7"/>
  <c r="G8" i="7"/>
  <c r="G47" i="7"/>
  <c r="G96" i="7"/>
  <c r="G71" i="7"/>
  <c r="G83" i="7"/>
  <c r="G44" i="7"/>
  <c r="G120" i="7"/>
  <c r="G7" i="7"/>
  <c r="G73" i="7"/>
  <c r="G19" i="7"/>
  <c r="G62" i="7"/>
  <c r="G106" i="7"/>
  <c r="G94" i="7"/>
  <c r="G4" i="7"/>
  <c r="G139" i="7"/>
  <c r="G41" i="7"/>
  <c r="G132" i="7"/>
  <c r="G119" i="7"/>
  <c r="G6" i="7"/>
  <c r="G55" i="7"/>
  <c r="G129" i="7"/>
  <c r="G128" i="7"/>
  <c r="G146" i="7"/>
  <c r="G111" i="7"/>
  <c r="G140" i="7"/>
  <c r="G12" i="7"/>
  <c r="G125" i="7"/>
  <c r="G76" i="7"/>
  <c r="G46" i="7"/>
  <c r="G149" i="7"/>
  <c r="G27" i="7"/>
  <c r="G69" i="7"/>
  <c r="G26" i="7"/>
  <c r="G54" i="7"/>
  <c r="G98" i="7"/>
  <c r="G78" i="7"/>
  <c r="G147" i="7"/>
  <c r="G108" i="7"/>
  <c r="G31" i="7"/>
  <c r="G20" i="7"/>
  <c r="G145" i="7"/>
  <c r="G33" i="7"/>
  <c r="G63" i="7"/>
  <c r="G21" i="7"/>
  <c r="G93" i="7"/>
  <c r="G43" i="7"/>
  <c r="G61" i="7"/>
  <c r="G13" i="7"/>
  <c r="G130" i="7"/>
  <c r="G99" i="7"/>
  <c r="G137" i="7"/>
  <c r="G109" i="7"/>
  <c r="G90" i="7"/>
  <c r="G117" i="7"/>
  <c r="G127" i="7"/>
  <c r="G121" i="7"/>
  <c r="G48" i="7"/>
  <c r="G35" i="7"/>
  <c r="G133" i="7"/>
  <c r="G95" i="7"/>
  <c r="G142" i="7"/>
  <c r="G24" i="7"/>
  <c r="G126" i="7"/>
  <c r="G52" i="7"/>
  <c r="G39" i="7"/>
  <c r="G9" i="7"/>
  <c r="G67" i="7"/>
  <c r="G15" i="7"/>
  <c r="G87" i="7"/>
  <c r="G75" i="7"/>
  <c r="G22" i="7"/>
  <c r="G49" i="7"/>
  <c r="G122" i="7"/>
  <c r="G64" i="7"/>
  <c r="G60" i="7"/>
  <c r="G113" i="7"/>
  <c r="G86" i="7"/>
  <c r="G5" i="7"/>
  <c r="G11" i="7"/>
  <c r="G107" i="7"/>
  <c r="G123" i="7"/>
  <c r="G135" i="7"/>
  <c r="G81" i="7"/>
  <c r="G58" i="7"/>
  <c r="G16" i="7"/>
  <c r="G110" i="7"/>
  <c r="G101" i="7"/>
  <c r="G82" i="7"/>
  <c r="G42" i="7"/>
  <c r="G17" i="7"/>
  <c r="G97" i="7"/>
  <c r="G45" i="7"/>
  <c r="G143" i="7"/>
  <c r="G53" i="7"/>
  <c r="G34" i="7"/>
  <c r="G141" i="7"/>
  <c r="G136" i="7"/>
  <c r="G10" i="7"/>
  <c r="G131" i="7"/>
  <c r="G88" i="7"/>
  <c r="G14" i="7"/>
  <c r="G37" i="7"/>
  <c r="G57" i="7"/>
  <c r="G144" i="7"/>
  <c r="G38" i="7"/>
  <c r="G28" i="7"/>
  <c r="G74" i="7"/>
  <c r="G50" i="7"/>
  <c r="G72" i="7"/>
  <c r="G105" i="7"/>
  <c r="G79" i="7"/>
  <c r="G70" i="7"/>
  <c r="G103" i="7"/>
  <c r="G36" i="7"/>
  <c r="G18" i="7"/>
  <c r="G89" i="7"/>
  <c r="G138" i="7"/>
  <c r="G23" i="7"/>
  <c r="G68" i="7"/>
  <c r="G80" i="7"/>
  <c r="G51" i="7"/>
  <c r="G84" i="7"/>
  <c r="V52" i="8"/>
  <c r="X52" i="8" s="1"/>
  <c r="V26" i="8"/>
  <c r="X26" i="8" s="1"/>
  <c r="V5" i="8"/>
  <c r="X5" i="8" s="1"/>
  <c r="V20" i="8"/>
  <c r="X20" i="8" s="1"/>
  <c r="V17" i="8"/>
  <c r="X17" i="8" s="1"/>
  <c r="V15" i="8"/>
  <c r="X15" i="8" s="1"/>
  <c r="V46" i="8"/>
  <c r="X46" i="8" s="1"/>
  <c r="V9" i="8"/>
  <c r="X9" i="8" s="1"/>
  <c r="V45" i="8"/>
  <c r="X45" i="8" s="1"/>
  <c r="V51" i="8"/>
  <c r="X51" i="8" s="1"/>
  <c r="V22" i="8"/>
  <c r="X22" i="8" s="1"/>
  <c r="V4" i="8"/>
  <c r="AF62" i="8"/>
  <c r="AE62" i="8" s="1"/>
  <c r="AG62" i="8"/>
  <c r="V62" i="8"/>
  <c r="X62" i="8" s="1"/>
  <c r="Y62" i="8"/>
  <c r="AA62" i="8" s="1"/>
  <c r="AB62" i="8"/>
  <c r="AD62" i="8" s="1"/>
  <c r="V11" i="8"/>
  <c r="X11" i="8" s="1"/>
  <c r="V27" i="8"/>
  <c r="X27" i="8" s="1"/>
  <c r="V41" i="8"/>
  <c r="X41" i="8" s="1"/>
  <c r="V8" i="8"/>
  <c r="X8" i="8" s="1"/>
  <c r="V48" i="8"/>
  <c r="X48" i="8" s="1"/>
  <c r="V6" i="8"/>
  <c r="X6" i="8" s="1"/>
  <c r="V33" i="8"/>
  <c r="X33" i="8" s="1"/>
  <c r="V47" i="8"/>
  <c r="X47" i="8" s="1"/>
  <c r="V7" i="8"/>
  <c r="X7" i="8" s="1"/>
  <c r="V59" i="8"/>
  <c r="X59" i="8" s="1"/>
  <c r="V12" i="8"/>
  <c r="X12" i="8" s="1"/>
  <c r="V60" i="8"/>
  <c r="X60" i="8" s="1"/>
  <c r="V55" i="8"/>
  <c r="X55" i="8" s="1"/>
  <c r="V30" i="8"/>
  <c r="X30" i="8" s="1"/>
  <c r="Y54" i="8"/>
  <c r="Y40" i="8"/>
  <c r="Y53" i="8"/>
  <c r="Y36" i="8"/>
  <c r="Y57" i="8"/>
  <c r="Y37" i="8"/>
  <c r="Y46" i="8"/>
  <c r="Y60" i="8"/>
  <c r="Y35" i="8"/>
  <c r="Y61" i="8"/>
  <c r="Y58" i="8"/>
  <c r="Y38" i="8"/>
  <c r="Y48" i="8"/>
  <c r="Y45" i="8"/>
  <c r="Y43" i="8"/>
  <c r="Y39" i="8"/>
  <c r="Y55" i="8"/>
  <c r="Y47" i="8"/>
  <c r="Y49" i="8"/>
  <c r="Y56" i="8"/>
  <c r="Y52" i="8"/>
  <c r="Y51" i="8"/>
  <c r="Y50" i="8"/>
  <c r="Y59" i="8"/>
  <c r="Y42" i="8"/>
  <c r="Y44" i="8"/>
  <c r="Y41" i="8"/>
  <c r="Y30" i="8"/>
  <c r="Y27" i="8"/>
  <c r="Y19" i="8"/>
  <c r="Y21" i="8"/>
  <c r="Y34" i="8"/>
  <c r="Y16" i="8"/>
  <c r="Y22" i="8"/>
  <c r="Y14" i="8"/>
  <c r="AB32" i="8"/>
  <c r="Y17" i="8"/>
  <c r="Y15" i="8"/>
  <c r="Y13" i="8"/>
  <c r="Y32" i="8"/>
  <c r="Y26" i="8"/>
  <c r="Y28" i="8"/>
  <c r="Y23" i="8"/>
  <c r="Y25" i="8"/>
  <c r="Y24" i="8"/>
  <c r="Y29" i="8"/>
  <c r="Y31" i="8"/>
  <c r="Y18" i="8"/>
  <c r="Y20" i="8"/>
  <c r="Y33" i="8"/>
  <c r="F4" i="7" a="1"/>
  <c r="Y6" i="8"/>
  <c r="M4" i="4"/>
  <c r="J12" i="7"/>
  <c r="J17" i="7"/>
  <c r="M6" i="4"/>
  <c r="J115" i="7"/>
  <c r="J63" i="7"/>
  <c r="J74" i="7"/>
  <c r="J147" i="7"/>
  <c r="J100" i="7"/>
  <c r="J110" i="7"/>
  <c r="M39" i="4"/>
  <c r="J26" i="7"/>
  <c r="J103" i="7"/>
  <c r="J114" i="7"/>
  <c r="J21" i="7"/>
  <c r="J50" i="7"/>
  <c r="J30" i="7"/>
  <c r="J142" i="7"/>
  <c r="M2" i="4"/>
  <c r="J8" i="7"/>
  <c r="M7" i="4"/>
  <c r="J31" i="7"/>
  <c r="J57" i="7"/>
  <c r="M41" i="4"/>
  <c r="J7" i="7"/>
  <c r="J49" i="7"/>
  <c r="L147" i="7"/>
  <c r="L49" i="7"/>
  <c r="J18" i="7"/>
  <c r="J87" i="7"/>
  <c r="J44" i="7"/>
  <c r="J53" i="7"/>
  <c r="J145" i="7"/>
  <c r="M51" i="4"/>
  <c r="J118" i="7"/>
  <c r="J89" i="7"/>
  <c r="J116" i="7"/>
  <c r="M40" i="4"/>
  <c r="J122" i="7"/>
  <c r="J61" i="7"/>
  <c r="J79" i="7"/>
  <c r="M47" i="4"/>
  <c r="J107" i="7"/>
  <c r="L87" i="7"/>
  <c r="L7" i="7"/>
  <c r="J56" i="7"/>
  <c r="J62" i="7"/>
  <c r="M48" i="4"/>
  <c r="J123" i="7"/>
  <c r="J106" i="7"/>
  <c r="M19" i="4"/>
  <c r="J128" i="7"/>
  <c r="M18" i="4"/>
  <c r="J22" i="7"/>
  <c r="L22" i="7" s="1"/>
  <c r="J144" i="7"/>
  <c r="L30" i="7"/>
  <c r="L142" i="7"/>
  <c r="M25" i="4"/>
  <c r="J54" i="7"/>
  <c r="J10" i="7"/>
  <c r="M29" i="4"/>
  <c r="J40" i="7"/>
  <c r="J137" i="7"/>
  <c r="M5" i="4"/>
  <c r="J109" i="7"/>
  <c r="J86" i="7"/>
  <c r="J102" i="7"/>
  <c r="J41" i="7"/>
  <c r="L63" i="7"/>
  <c r="J60" i="7"/>
  <c r="J72" i="7"/>
  <c r="J32" i="7"/>
  <c r="J85" i="7"/>
  <c r="L85" i="7" s="1"/>
  <c r="J33" i="7"/>
  <c r="L33" i="7" s="1"/>
  <c r="J28" i="7"/>
  <c r="M23" i="4"/>
  <c r="J77" i="7"/>
  <c r="J133" i="7"/>
  <c r="J14" i="7"/>
  <c r="J4" i="7"/>
  <c r="J105" i="7"/>
  <c r="J59" i="7"/>
  <c r="J130" i="7"/>
  <c r="M27" i="4"/>
  <c r="J91" i="7"/>
  <c r="J95" i="7"/>
  <c r="L95" i="7" s="1"/>
  <c r="J134" i="7"/>
  <c r="J16" i="7"/>
  <c r="M50" i="4"/>
  <c r="M44" i="4"/>
  <c r="J124" i="7"/>
  <c r="J127" i="7"/>
  <c r="J68" i="7"/>
  <c r="L68" i="7" s="1"/>
  <c r="M17" i="4"/>
  <c r="J111" i="7"/>
  <c r="J82" i="7"/>
  <c r="L82" i="7" s="1"/>
  <c r="M54" i="4"/>
  <c r="L56" i="7"/>
  <c r="L115" i="7"/>
  <c r="L137" i="7"/>
  <c r="L50" i="7"/>
  <c r="L41" i="7"/>
  <c r="Y5" i="8"/>
  <c r="J84" i="7"/>
  <c r="L84" i="7" s="1"/>
  <c r="M55" i="4"/>
  <c r="J113" i="7"/>
  <c r="J129" i="7"/>
  <c r="L129" i="7" s="1"/>
  <c r="J20" i="7"/>
  <c r="J51" i="7"/>
  <c r="L31" i="7"/>
  <c r="Y12" i="8"/>
  <c r="M21" i="4"/>
  <c r="J29" i="7"/>
  <c r="L29" i="7" s="1"/>
  <c r="J99" i="7"/>
  <c r="L99" i="7" s="1"/>
  <c r="J36" i="7"/>
  <c r="L36" i="7" s="1"/>
  <c r="M34" i="4"/>
  <c r="J96" i="7"/>
  <c r="J67" i="7"/>
  <c r="L67" i="7" s="1"/>
  <c r="J149" i="7"/>
  <c r="J23" i="7"/>
  <c r="L23" i="7" s="1"/>
  <c r="J112" i="7"/>
  <c r="L112" i="7" s="1"/>
  <c r="J48" i="7"/>
  <c r="L48" i="7" s="1"/>
  <c r="M32" i="4"/>
  <c r="J71" i="7"/>
  <c r="J15" i="7"/>
  <c r="J94" i="7"/>
  <c r="J143" i="7"/>
  <c r="J104" i="7"/>
  <c r="L104" i="7" s="1"/>
  <c r="M38" i="4"/>
  <c r="J65" i="7"/>
  <c r="J126" i="7"/>
  <c r="M16" i="4"/>
  <c r="J69" i="7"/>
  <c r="L69" i="7" s="1"/>
  <c r="J141" i="7"/>
  <c r="L141" i="7" s="1"/>
  <c r="J39" i="7"/>
  <c r="L40" i="7"/>
  <c r="L133" i="7"/>
  <c r="L103" i="7"/>
  <c r="L109" i="7"/>
  <c r="L89" i="7"/>
  <c r="L79" i="7"/>
  <c r="L111" i="7"/>
  <c r="L144" i="7"/>
  <c r="M52" i="4"/>
  <c r="J35" i="7"/>
  <c r="L35" i="7" s="1"/>
  <c r="M43" i="4"/>
  <c r="J108" i="7"/>
  <c r="L108" i="7" s="1"/>
  <c r="J148" i="7"/>
  <c r="L148" i="7" s="1"/>
  <c r="M11" i="4"/>
  <c r="J120" i="7"/>
  <c r="L120" i="7" s="1"/>
  <c r="L77" i="7"/>
  <c r="L114" i="7"/>
  <c r="L8" i="7"/>
  <c r="L39" i="7"/>
  <c r="Y9" i="8"/>
  <c r="J119" i="7"/>
  <c r="J6" i="7"/>
  <c r="J140" i="7"/>
  <c r="L140" i="7" s="1"/>
  <c r="J76" i="7"/>
  <c r="L76" i="7" s="1"/>
  <c r="J90" i="7"/>
  <c r="L90" i="7" s="1"/>
  <c r="J75" i="7"/>
  <c r="L75" i="7" s="1"/>
  <c r="J139" i="7"/>
  <c r="L139" i="7" s="1"/>
  <c r="J150" i="7"/>
  <c r="L12" i="7"/>
  <c r="L60" i="7"/>
  <c r="L130" i="7"/>
  <c r="L134" i="7"/>
  <c r="L61" i="7"/>
  <c r="J42" i="7"/>
  <c r="L42" i="7" s="1"/>
  <c r="J138" i="7"/>
  <c r="L138" i="7" s="1"/>
  <c r="J37" i="7"/>
  <c r="L37" i="7" s="1"/>
  <c r="J146" i="7"/>
  <c r="L146" i="7" s="1"/>
  <c r="J25" i="7"/>
  <c r="L25" i="7" s="1"/>
  <c r="L54" i="7"/>
  <c r="L118" i="7"/>
  <c r="L94" i="7"/>
  <c r="L127" i="7"/>
  <c r="M8" i="4"/>
  <c r="J81" i="7"/>
  <c r="M31" i="4"/>
  <c r="J38" i="7"/>
  <c r="J11" i="7"/>
  <c r="J121" i="7"/>
  <c r="L121" i="7" s="1"/>
  <c r="L106" i="7"/>
  <c r="L16" i="7"/>
  <c r="M37" i="4"/>
  <c r="M20" i="4"/>
  <c r="M36" i="4"/>
  <c r="M56" i="4"/>
  <c r="M46" i="4"/>
  <c r="L110" i="7"/>
  <c r="L72" i="7"/>
  <c r="M14" i="4"/>
  <c r="J131" i="7"/>
  <c r="J117" i="7"/>
  <c r="M3" i="4"/>
  <c r="M26" i="4"/>
  <c r="M42" i="4"/>
  <c r="J70" i="7"/>
  <c r="L105" i="7"/>
  <c r="L150" i="7"/>
  <c r="J47" i="7"/>
  <c r="L47" i="7" s="1"/>
  <c r="J73" i="7"/>
  <c r="M13" i="4"/>
  <c r="J46" i="7"/>
  <c r="L46" i="7" s="1"/>
  <c r="M30" i="4"/>
  <c r="M9" i="4"/>
  <c r="L26" i="7"/>
  <c r="L102" i="7"/>
  <c r="J132" i="7"/>
  <c r="L132" i="7" s="1"/>
  <c r="J43" i="7"/>
  <c r="L6" i="7"/>
  <c r="L145" i="7"/>
  <c r="L65" i="7"/>
  <c r="Y8" i="8"/>
  <c r="Y11" i="8"/>
  <c r="J9" i="7"/>
  <c r="L9" i="7" s="1"/>
  <c r="J125" i="7"/>
  <c r="J78" i="7"/>
  <c r="L78" i="7" s="1"/>
  <c r="M53" i="4"/>
  <c r="L10" i="7"/>
  <c r="M28" i="4"/>
  <c r="M49" i="4"/>
  <c r="M15" i="4"/>
  <c r="J83" i="7"/>
  <c r="M35" i="4"/>
  <c r="J92" i="7"/>
  <c r="Y7" i="8"/>
  <c r="Y10" i="8"/>
  <c r="J64" i="7"/>
  <c r="L64" i="7" s="1"/>
  <c r="J98" i="7"/>
  <c r="L98" i="7" s="1"/>
  <c r="M24" i="4"/>
  <c r="J136" i="7"/>
  <c r="L136" i="7" s="1"/>
  <c r="J58" i="7"/>
  <c r="J27" i="7"/>
  <c r="L27" i="7" s="1"/>
  <c r="J13" i="7"/>
  <c r="L74" i="7"/>
  <c r="L91" i="7"/>
  <c r="L86" i="7"/>
  <c r="L126" i="7"/>
  <c r="J135" i="7"/>
  <c r="L135" i="7" s="1"/>
  <c r="J45" i="7"/>
  <c r="L45" i="7" s="1"/>
  <c r="M45" i="4"/>
  <c r="L32" i="7"/>
  <c r="J97" i="7"/>
  <c r="L97" i="7" s="1"/>
  <c r="J66" i="7"/>
  <c r="L66" i="7" s="1"/>
  <c r="J88" i="7"/>
  <c r="L88" i="7" s="1"/>
  <c r="J101" i="7"/>
  <c r="L101" i="7" s="1"/>
  <c r="J52" i="7"/>
  <c r="L28" i="7"/>
  <c r="L15" i="7"/>
  <c r="L92" i="7"/>
  <c r="M10" i="4"/>
  <c r="J34" i="7"/>
  <c r="L34" i="7" s="1"/>
  <c r="L96" i="7"/>
  <c r="L113" i="7"/>
  <c r="L122" i="7"/>
  <c r="M22" i="4"/>
  <c r="J24" i="7"/>
  <c r="L24" i="7" s="1"/>
  <c r="M33" i="4"/>
  <c r="J80" i="7"/>
  <c r="L62" i="7"/>
  <c r="L58" i="7"/>
  <c r="L20" i="7"/>
  <c r="J19" i="7"/>
  <c r="L19" i="7" s="1"/>
  <c r="J5" i="7"/>
  <c r="L5" i="7" s="1"/>
  <c r="J55" i="7"/>
  <c r="L55" i="7" s="1"/>
  <c r="J93" i="7"/>
  <c r="L93" i="7" s="1"/>
  <c r="M12" i="4"/>
  <c r="L119" i="7"/>
  <c r="L116" i="7"/>
  <c r="L13" i="7"/>
  <c r="AA41" i="8" l="1"/>
  <c r="AA44" i="8"/>
  <c r="AA42" i="8"/>
  <c r="AA59" i="8"/>
  <c r="AA50" i="8"/>
  <c r="AA51" i="8"/>
  <c r="AA52" i="8"/>
  <c r="AA56" i="8"/>
  <c r="AA49" i="8"/>
  <c r="AA47" i="8"/>
  <c r="AA55" i="8"/>
  <c r="AA39" i="8"/>
  <c r="AA43" i="8"/>
  <c r="AA45" i="8"/>
  <c r="AA48" i="8"/>
  <c r="AA38" i="8"/>
  <c r="AA58" i="8"/>
  <c r="AA61" i="8"/>
  <c r="AA35" i="8"/>
  <c r="AA60" i="8"/>
  <c r="AA46" i="8"/>
  <c r="AA37" i="8"/>
  <c r="AA57" i="8"/>
  <c r="AA36" i="8"/>
  <c r="AA53" i="8"/>
  <c r="AA40" i="8"/>
  <c r="AA54" i="8"/>
  <c r="AA33" i="8"/>
  <c r="AA20" i="8"/>
  <c r="AA18" i="8"/>
  <c r="AA31" i="8"/>
  <c r="AA29" i="8"/>
  <c r="AA24" i="8"/>
  <c r="AA25" i="8"/>
  <c r="AA23" i="8"/>
  <c r="AA28" i="8"/>
  <c r="AA26" i="8"/>
  <c r="AA13" i="8"/>
  <c r="AA15" i="8"/>
  <c r="AA17" i="8"/>
  <c r="AD32" i="8"/>
  <c r="AF32" i="8" s="1"/>
  <c r="AA14" i="8"/>
  <c r="AA22" i="8"/>
  <c r="AA16" i="8"/>
  <c r="AA34" i="8"/>
  <c r="AA21" i="8"/>
  <c r="AA19" i="8"/>
  <c r="AA27" i="8"/>
  <c r="AA30" i="8"/>
  <c r="F72" i="7"/>
  <c r="H72" i="7" s="1"/>
  <c r="F120" i="7"/>
  <c r="H120" i="7" s="1"/>
  <c r="R120" i="7" s="1"/>
  <c r="S120" i="7" s="1"/>
  <c r="F28" i="7"/>
  <c r="H28" i="7" s="1"/>
  <c r="F79" i="7"/>
  <c r="H79" i="7" s="1"/>
  <c r="R79" i="7" s="1"/>
  <c r="S79" i="7" s="1"/>
  <c r="F132" i="7"/>
  <c r="F18" i="7"/>
  <c r="F143" i="7"/>
  <c r="F105" i="7"/>
  <c r="F60" i="7"/>
  <c r="H60" i="7" s="1"/>
  <c r="F149" i="7"/>
  <c r="H149" i="7" s="1"/>
  <c r="R149" i="7" s="1"/>
  <c r="S149" i="7" s="1"/>
  <c r="F78" i="7"/>
  <c r="H78" i="7" s="1"/>
  <c r="R78" i="7" s="1"/>
  <c r="S78" i="7" s="1"/>
  <c r="F104" i="7"/>
  <c r="H104" i="7" s="1"/>
  <c r="F110" i="7"/>
  <c r="F118" i="7"/>
  <c r="F90" i="7"/>
  <c r="H90" i="7" s="1"/>
  <c r="R90" i="7" s="1"/>
  <c r="S90" i="7" s="1"/>
  <c r="F42" i="7"/>
  <c r="F127" i="7"/>
  <c r="H127" i="7" s="1"/>
  <c r="F124" i="7"/>
  <c r="H124" i="7" s="1"/>
  <c r="F141" i="7"/>
  <c r="H141" i="7" s="1"/>
  <c r="F68" i="7"/>
  <c r="H68" i="7" s="1"/>
  <c r="F99" i="7"/>
  <c r="F136" i="7"/>
  <c r="F65" i="7"/>
  <c r="H65" i="7" s="1"/>
  <c r="F22" i="7"/>
  <c r="F121" i="7"/>
  <c r="H121" i="7" s="1"/>
  <c r="F26" i="7"/>
  <c r="H26" i="7" s="1"/>
  <c r="F52" i="7"/>
  <c r="H52" i="7" s="1"/>
  <c r="F98" i="7"/>
  <c r="H98" i="7" s="1"/>
  <c r="F107" i="7"/>
  <c r="F54" i="7"/>
  <c r="F145" i="7"/>
  <c r="F108" i="7"/>
  <c r="F63" i="7"/>
  <c r="H63" i="7" s="1"/>
  <c r="F85" i="7"/>
  <c r="H85" i="7" s="1"/>
  <c r="R85" i="7" s="1"/>
  <c r="S85" i="7" s="1"/>
  <c r="F106" i="7"/>
  <c r="H106" i="7" s="1"/>
  <c r="R106" i="7" s="1"/>
  <c r="S106" i="7" s="1"/>
  <c r="F10" i="7"/>
  <c r="H10" i="7" s="1"/>
  <c r="F20" i="7"/>
  <c r="F71" i="7"/>
  <c r="H71" i="7" s="1"/>
  <c r="R71" i="7" s="1"/>
  <c r="S71" i="7" s="1"/>
  <c r="F75" i="7"/>
  <c r="F64" i="7"/>
  <c r="F41" i="7"/>
  <c r="H41" i="7" s="1"/>
  <c r="F70" i="7"/>
  <c r="H70" i="7" s="1"/>
  <c r="F66" i="7"/>
  <c r="H66" i="7" s="1"/>
  <c r="R66" i="7" s="1"/>
  <c r="S66" i="7" s="1"/>
  <c r="F55" i="7"/>
  <c r="H55" i="7" s="1"/>
  <c r="F87" i="7"/>
  <c r="H87" i="7" s="1"/>
  <c r="F38" i="7"/>
  <c r="F94" i="7"/>
  <c r="F11" i="7"/>
  <c r="F91" i="7"/>
  <c r="H91" i="7" s="1"/>
  <c r="F14" i="7"/>
  <c r="H14" i="7" s="1"/>
  <c r="R14" i="7" s="1"/>
  <c r="S14" i="7" s="1"/>
  <c r="F115" i="7"/>
  <c r="H115" i="7" s="1"/>
  <c r="F80" i="7"/>
  <c r="H80" i="7" s="1"/>
  <c r="R80" i="7" s="1"/>
  <c r="S80" i="7" s="1"/>
  <c r="F133" i="7"/>
  <c r="H133" i="7" s="1"/>
  <c r="R133" i="7" s="1"/>
  <c r="S133" i="7" s="1"/>
  <c r="F30" i="7"/>
  <c r="F77" i="7"/>
  <c r="F49" i="7"/>
  <c r="F138" i="7"/>
  <c r="H138" i="7" s="1"/>
  <c r="F67" i="7"/>
  <c r="H67" i="7" s="1"/>
  <c r="R67" i="7" s="1"/>
  <c r="S67" i="7" s="1"/>
  <c r="F27" i="7"/>
  <c r="H27" i="7" s="1"/>
  <c r="F95" i="7"/>
  <c r="H95" i="7" s="1"/>
  <c r="F88" i="7"/>
  <c r="H88" i="7" s="1"/>
  <c r="F31" i="7"/>
  <c r="H31" i="7" s="1"/>
  <c r="F39" i="7"/>
  <c r="H39" i="7" s="1"/>
  <c r="F47" i="7"/>
  <c r="F56" i="7"/>
  <c r="H56" i="7" s="1"/>
  <c r="R56" i="7" s="1"/>
  <c r="S56" i="7" s="1"/>
  <c r="F86" i="7"/>
  <c r="H86" i="7" s="1"/>
  <c r="R86" i="7" s="1"/>
  <c r="S86" i="7" s="1"/>
  <c r="F9" i="7"/>
  <c r="H9" i="7" s="1"/>
  <c r="F73" i="7"/>
  <c r="H73" i="7" s="1"/>
  <c r="F4" i="7"/>
  <c r="F74" i="7"/>
  <c r="H74" i="7" s="1"/>
  <c r="F119" i="7"/>
  <c r="H119" i="7" s="1"/>
  <c r="F36" i="7"/>
  <c r="F134" i="7"/>
  <c r="H134" i="7" s="1"/>
  <c r="R134" i="7" s="1"/>
  <c r="S134" i="7" s="1"/>
  <c r="F61" i="7"/>
  <c r="H61" i="7" s="1"/>
  <c r="R61" i="7" s="1"/>
  <c r="S61" i="7" s="1"/>
  <c r="F44" i="7"/>
  <c r="H44" i="7" s="1"/>
  <c r="F146" i="7"/>
  <c r="H146" i="7" s="1"/>
  <c r="F123" i="7"/>
  <c r="F150" i="7"/>
  <c r="F140" i="7"/>
  <c r="H140" i="7" s="1"/>
  <c r="F139" i="7"/>
  <c r="F15" i="7"/>
  <c r="H15" i="7" s="1"/>
  <c r="F128" i="7"/>
  <c r="H128" i="7" s="1"/>
  <c r="R128" i="7" s="1"/>
  <c r="S128" i="7" s="1"/>
  <c r="F82" i="7"/>
  <c r="H82" i="7" s="1"/>
  <c r="R82" i="7" s="1"/>
  <c r="S82" i="7" s="1"/>
  <c r="F131" i="7"/>
  <c r="H131" i="7" s="1"/>
  <c r="F137" i="7"/>
  <c r="H137" i="7" s="1"/>
  <c r="F114" i="7"/>
  <c r="F69" i="7"/>
  <c r="H69" i="7" s="1"/>
  <c r="F148" i="7"/>
  <c r="F8" i="7"/>
  <c r="H8" i="7" s="1"/>
  <c r="F25" i="7"/>
  <c r="H25" i="7" s="1"/>
  <c r="F33" i="7"/>
  <c r="H33" i="7" s="1"/>
  <c r="F7" i="7"/>
  <c r="H7" i="7" s="1"/>
  <c r="F122" i="7"/>
  <c r="H122" i="7" s="1"/>
  <c r="F92" i="7"/>
  <c r="F83" i="7"/>
  <c r="H83" i="7" s="1"/>
  <c r="F81" i="7"/>
  <c r="H81" i="7" s="1"/>
  <c r="F116" i="7"/>
  <c r="H116" i="7" s="1"/>
  <c r="R116" i="7" s="1"/>
  <c r="S116" i="7" s="1"/>
  <c r="F34" i="7"/>
  <c r="H34" i="7" s="1"/>
  <c r="F46" i="7"/>
  <c r="H46" i="7" s="1"/>
  <c r="F6" i="7"/>
  <c r="H6" i="7" s="1"/>
  <c r="F112" i="7"/>
  <c r="F37" i="7"/>
  <c r="F19" i="7"/>
  <c r="H19" i="7" s="1"/>
  <c r="R19" i="7" s="1"/>
  <c r="S19" i="7" s="1"/>
  <c r="F53" i="7"/>
  <c r="F48" i="7"/>
  <c r="H48" i="7" s="1"/>
  <c r="F135" i="7"/>
  <c r="H135" i="7" s="1"/>
  <c r="F147" i="7"/>
  <c r="H147" i="7" s="1"/>
  <c r="R147" i="7" s="1"/>
  <c r="S147" i="7" s="1"/>
  <c r="F43" i="7"/>
  <c r="H43" i="7" s="1"/>
  <c r="R43" i="7" s="1"/>
  <c r="S43" i="7" s="1"/>
  <c r="F12" i="7"/>
  <c r="F62" i="7"/>
  <c r="F102" i="7"/>
  <c r="H102" i="7" s="1"/>
  <c r="F142" i="7"/>
  <c r="F96" i="7"/>
  <c r="H96" i="7" s="1"/>
  <c r="F59" i="7"/>
  <c r="H59" i="7" s="1"/>
  <c r="F13" i="7"/>
  <c r="H13" i="7" s="1"/>
  <c r="R13" i="7" s="1"/>
  <c r="S13" i="7" s="1"/>
  <c r="F45" i="7"/>
  <c r="H45" i="7" s="1"/>
  <c r="R45" i="7" s="1"/>
  <c r="S45" i="7" s="1"/>
  <c r="F111" i="7"/>
  <c r="F100" i="7"/>
  <c r="H100" i="7" s="1"/>
  <c r="F89" i="7"/>
  <c r="H89" i="7" s="1"/>
  <c r="R89" i="7" s="1"/>
  <c r="S89" i="7" s="1"/>
  <c r="F117" i="7"/>
  <c r="F113" i="7"/>
  <c r="H113" i="7" s="1"/>
  <c r="R113" i="7" s="1"/>
  <c r="S113" i="7" s="1"/>
  <c r="F5" i="7"/>
  <c r="H5" i="7" s="1"/>
  <c r="F35" i="7"/>
  <c r="H35" i="7" s="1"/>
  <c r="F76" i="7"/>
  <c r="H76" i="7" s="1"/>
  <c r="R76" i="7" s="1"/>
  <c r="S76" i="7" s="1"/>
  <c r="F109" i="7"/>
  <c r="H109" i="7" s="1"/>
  <c r="F97" i="7"/>
  <c r="H97" i="7" s="1"/>
  <c r="F23" i="7"/>
  <c r="F57" i="7"/>
  <c r="F51" i="7"/>
  <c r="H51" i="7" s="1"/>
  <c r="F24" i="7"/>
  <c r="H24" i="7" s="1"/>
  <c r="F126" i="7"/>
  <c r="H126" i="7" s="1"/>
  <c r="R126" i="7" s="1"/>
  <c r="S126" i="7" s="1"/>
  <c r="F50" i="7"/>
  <c r="H50" i="7" s="1"/>
  <c r="F29" i="7"/>
  <c r="F16" i="7"/>
  <c r="F58" i="7"/>
  <c r="H58" i="7" s="1"/>
  <c r="F17" i="7"/>
  <c r="F125" i="7"/>
  <c r="H125" i="7" s="1"/>
  <c r="R125" i="7" s="1"/>
  <c r="S125" i="7" s="1"/>
  <c r="F130" i="7"/>
  <c r="H130" i="7" s="1"/>
  <c r="F103" i="7"/>
  <c r="H103" i="7" s="1"/>
  <c r="R103" i="7" s="1"/>
  <c r="S103" i="7" s="1"/>
  <c r="F32" i="7"/>
  <c r="H32" i="7" s="1"/>
  <c r="F129" i="7"/>
  <c r="F144" i="7"/>
  <c r="H144" i="7" s="1"/>
  <c r="F101" i="7"/>
  <c r="H101" i="7" s="1"/>
  <c r="F93" i="7"/>
  <c r="F84" i="7"/>
  <c r="H84" i="7" s="1"/>
  <c r="F40" i="7"/>
  <c r="H40" i="7" s="1"/>
  <c r="F21" i="7"/>
  <c r="H21" i="7" s="1"/>
  <c r="R21" i="7" s="1"/>
  <c r="S21" i="7" s="1"/>
  <c r="AA7" i="8"/>
  <c r="AA8" i="8"/>
  <c r="AA6" i="8"/>
  <c r="AA10" i="8"/>
  <c r="AA11" i="8"/>
  <c r="AA9" i="8"/>
  <c r="AA5" i="8"/>
  <c r="AA12" i="8"/>
  <c r="AD11" i="4"/>
  <c r="AE11" i="4" s="1"/>
  <c r="AD18" i="4"/>
  <c r="AE18" i="4" s="1"/>
  <c r="AD24" i="4"/>
  <c r="AE24" i="4" s="1"/>
  <c r="AD9" i="4"/>
  <c r="AE9" i="4" s="1"/>
  <c r="AD49" i="4"/>
  <c r="AE49" i="4" s="1"/>
  <c r="AD47" i="4"/>
  <c r="AE47" i="4" s="1"/>
  <c r="AD50" i="4"/>
  <c r="AE50" i="4" s="1"/>
  <c r="AD51" i="4"/>
  <c r="AE51" i="4" s="1"/>
  <c r="AD19" i="4"/>
  <c r="AE19" i="4" s="1"/>
  <c r="AD22" i="4"/>
  <c r="AE22" i="4" s="1"/>
  <c r="AD23" i="4"/>
  <c r="AE23" i="4" s="1"/>
  <c r="AD35" i="4"/>
  <c r="AE35" i="4" s="1"/>
  <c r="AD37" i="4"/>
  <c r="AE37" i="4" s="1"/>
  <c r="AD6" i="4"/>
  <c r="AE6" i="4" s="1"/>
  <c r="AD20" i="4"/>
  <c r="AE20" i="4" s="1"/>
  <c r="AD38" i="4"/>
  <c r="AE38" i="4" s="1"/>
  <c r="AD12" i="4"/>
  <c r="AE12" i="4" s="1"/>
  <c r="AD4" i="4"/>
  <c r="AE4" i="4" s="1"/>
  <c r="AD2" i="4"/>
  <c r="AE2" i="4" s="1"/>
  <c r="AD52" i="4"/>
  <c r="AE52" i="4" s="1"/>
  <c r="AD53" i="4"/>
  <c r="AE53" i="4" s="1"/>
  <c r="AD33" i="4"/>
  <c r="AE33" i="4" s="1"/>
  <c r="AD30" i="4"/>
  <c r="AE30" i="4" s="1"/>
  <c r="AD34" i="4"/>
  <c r="AE34" i="4" s="1"/>
  <c r="AD10" i="4"/>
  <c r="AE10" i="4" s="1"/>
  <c r="AD44" i="4"/>
  <c r="AE44" i="4" s="1"/>
  <c r="AD54" i="4"/>
  <c r="AE54" i="4" s="1"/>
  <c r="AD43" i="4"/>
  <c r="AE43" i="4" s="1"/>
  <c r="AD46" i="4"/>
  <c r="AE46" i="4" s="1"/>
  <c r="AD16" i="4"/>
  <c r="AE16" i="4" s="1"/>
  <c r="AD17" i="4"/>
  <c r="AE17" i="4" s="1"/>
  <c r="AD36" i="4"/>
  <c r="AE36" i="4" s="1"/>
  <c r="AD29" i="4"/>
  <c r="AE29" i="4" s="1"/>
  <c r="AD41" i="4"/>
  <c r="AE41" i="4" s="1"/>
  <c r="AD3" i="4"/>
  <c r="AE3" i="4" s="1"/>
  <c r="AD13" i="4"/>
  <c r="AE13" i="4" s="1"/>
  <c r="AD31" i="4"/>
  <c r="AE31" i="4" s="1"/>
  <c r="AD48" i="4"/>
  <c r="AE48" i="4" s="1"/>
  <c r="AD7" i="4"/>
  <c r="AE7" i="4" s="1"/>
  <c r="AD21" i="4"/>
  <c r="AE21" i="4" s="1"/>
  <c r="AD15" i="4"/>
  <c r="AE15" i="4" s="1"/>
  <c r="AD56" i="4"/>
  <c r="AE56" i="4" s="1"/>
  <c r="AD40" i="4"/>
  <c r="AE40" i="4" s="1"/>
  <c r="AD42" i="4"/>
  <c r="AE42" i="4" s="1"/>
  <c r="AD14" i="4"/>
  <c r="AE14" i="4" s="1"/>
  <c r="AD25" i="4"/>
  <c r="AE25" i="4" s="1"/>
  <c r="AD55" i="4"/>
  <c r="AE55" i="4" s="1"/>
  <c r="AD32" i="4"/>
  <c r="AE32" i="4" s="1"/>
  <c r="AD28" i="4"/>
  <c r="AE28" i="4" s="1"/>
  <c r="AD5" i="4"/>
  <c r="AE5" i="4" s="1"/>
  <c r="AD26" i="4"/>
  <c r="AE26" i="4" s="1"/>
  <c r="AD8" i="4"/>
  <c r="AE8" i="4" s="1"/>
  <c r="AD45" i="4"/>
  <c r="AE45" i="4" s="1"/>
  <c r="AD39" i="4"/>
  <c r="AE39" i="4" s="1"/>
  <c r="AD27" i="4"/>
  <c r="AE27" i="4" s="1"/>
  <c r="V1" i="8"/>
  <c r="V2" i="8" s="1"/>
  <c r="X4" i="8"/>
  <c r="AD51" i="7"/>
  <c r="AF51" i="7" s="1"/>
  <c r="AD39" i="7"/>
  <c r="AF39" i="7" s="1"/>
  <c r="AD80" i="7"/>
  <c r="AF80" i="7" s="1"/>
  <c r="AD70" i="7"/>
  <c r="AF70" i="7" s="1"/>
  <c r="AD144" i="7"/>
  <c r="AF144" i="7" s="1"/>
  <c r="AD141" i="7"/>
  <c r="AF141" i="7" s="1"/>
  <c r="AD82" i="7"/>
  <c r="AF82" i="7" s="1"/>
  <c r="AD107" i="7"/>
  <c r="AF107" i="7" s="1"/>
  <c r="AD49" i="7"/>
  <c r="AF49" i="7" s="1"/>
  <c r="AD52" i="7"/>
  <c r="AF52" i="7" s="1"/>
  <c r="AD121" i="7"/>
  <c r="AF121" i="7" s="1"/>
  <c r="AD20" i="7"/>
  <c r="AF20" i="7" s="1"/>
  <c r="AD69" i="7"/>
  <c r="AF69" i="7" s="1"/>
  <c r="AD111" i="7"/>
  <c r="AF111" i="7" s="1"/>
  <c r="AD41" i="7"/>
  <c r="AF41" i="7" s="1"/>
  <c r="R7" i="7"/>
  <c r="S7" i="7" s="1"/>
  <c r="AD25" i="7"/>
  <c r="AF25" i="7" s="1"/>
  <c r="AD150" i="7"/>
  <c r="AF150" i="7" s="1"/>
  <c r="AD92" i="7"/>
  <c r="AF92" i="7" s="1"/>
  <c r="AD32" i="7"/>
  <c r="AF32" i="7" s="1"/>
  <c r="AD68" i="7"/>
  <c r="AF68" i="7" s="1"/>
  <c r="AD79" i="7"/>
  <c r="AF79" i="7" s="1"/>
  <c r="AD57" i="7"/>
  <c r="AF57" i="7" s="1"/>
  <c r="AD34" i="7"/>
  <c r="AF34" i="7" s="1"/>
  <c r="AD101" i="7"/>
  <c r="AF101" i="7" s="1"/>
  <c r="R11" i="7"/>
  <c r="S11" i="7" s="1"/>
  <c r="AD22" i="7"/>
  <c r="AF22" i="7" s="1"/>
  <c r="AD126" i="7"/>
  <c r="AF126" i="7" s="1"/>
  <c r="AD127" i="7"/>
  <c r="AF127" i="7" s="1"/>
  <c r="AD61" i="7"/>
  <c r="AF61" i="7" s="1"/>
  <c r="AD31" i="7"/>
  <c r="AF31" i="7" s="1"/>
  <c r="AD27" i="7"/>
  <c r="AF27" i="7" s="1"/>
  <c r="AD146" i="7"/>
  <c r="AF146" i="7" s="1"/>
  <c r="AD139" i="7"/>
  <c r="AF139" i="7" s="1"/>
  <c r="AD120" i="7"/>
  <c r="AF120" i="7" s="1"/>
  <c r="AD65" i="7"/>
  <c r="AF65" i="7" s="1"/>
  <c r="AD124" i="7"/>
  <c r="AF124" i="7" s="1"/>
  <c r="AD102" i="7"/>
  <c r="AF102" i="7" s="1"/>
  <c r="AD122" i="7"/>
  <c r="AF122" i="7" s="1"/>
  <c r="R8" i="7"/>
  <c r="S8" i="7" s="1"/>
  <c r="AD37" i="7"/>
  <c r="AF37" i="7" s="1"/>
  <c r="AD75" i="7"/>
  <c r="AF75" i="7" s="1"/>
  <c r="AD43" i="7"/>
  <c r="AF43" i="7" s="1"/>
  <c r="AD128" i="7"/>
  <c r="AF128" i="7" s="1"/>
  <c r="AD104" i="7"/>
  <c r="AF104" i="7" s="1"/>
  <c r="AD138" i="7"/>
  <c r="AF138" i="7" s="1"/>
  <c r="AD72" i="7"/>
  <c r="AF72" i="7" s="1"/>
  <c r="AD143" i="7"/>
  <c r="AF143" i="7" s="1"/>
  <c r="AD86" i="7"/>
  <c r="AF86" i="7" s="1"/>
  <c r="AD142" i="7"/>
  <c r="AF142" i="7" s="1"/>
  <c r="AD90" i="7"/>
  <c r="AF90" i="7" s="1"/>
  <c r="AD93" i="7"/>
  <c r="AF93" i="7" s="1"/>
  <c r="AD46" i="7"/>
  <c r="AF46" i="7" s="1"/>
  <c r="AD129" i="7"/>
  <c r="AF129" i="7" s="1"/>
  <c r="AD94" i="7"/>
  <c r="AF94" i="7" s="1"/>
  <c r="AD134" i="7"/>
  <c r="AF134" i="7" s="1"/>
  <c r="AD116" i="7"/>
  <c r="AF116" i="7" s="1"/>
  <c r="AD30" i="7"/>
  <c r="AF30" i="7" s="1"/>
  <c r="AD89" i="7"/>
  <c r="AF89" i="7" s="1"/>
  <c r="AD50" i="7"/>
  <c r="AF50" i="7" s="1"/>
  <c r="AD88" i="7"/>
  <c r="AF88" i="7" s="1"/>
  <c r="AD45" i="7"/>
  <c r="AF45" i="7" s="1"/>
  <c r="AD58" i="7"/>
  <c r="AF58" i="7" s="1"/>
  <c r="AD113" i="7"/>
  <c r="AF113" i="7" s="1"/>
  <c r="AD95" i="7"/>
  <c r="AF95" i="7" s="1"/>
  <c r="AD109" i="7"/>
  <c r="AF109" i="7" s="1"/>
  <c r="AD21" i="7"/>
  <c r="AF21" i="7" s="1"/>
  <c r="AD78" i="7"/>
  <c r="AF78" i="7" s="1"/>
  <c r="AD76" i="7"/>
  <c r="AF76" i="7" s="1"/>
  <c r="AD55" i="7"/>
  <c r="AF55" i="7" s="1"/>
  <c r="AD106" i="7"/>
  <c r="AF106" i="7" s="1"/>
  <c r="AD71" i="7"/>
  <c r="AF71" i="7" s="1"/>
  <c r="AD91" i="7"/>
  <c r="AF91" i="7" s="1"/>
  <c r="AD118" i="7"/>
  <c r="AF118" i="7" s="1"/>
  <c r="AD114" i="7"/>
  <c r="AF114" i="7" s="1"/>
  <c r="AD103" i="7"/>
  <c r="AF103" i="7" s="1"/>
  <c r="AD38" i="7"/>
  <c r="AF38" i="7" s="1"/>
  <c r="AD136" i="7"/>
  <c r="AF136" i="7" s="1"/>
  <c r="AD42" i="7"/>
  <c r="AF42" i="7" s="1"/>
  <c r="AD123" i="7"/>
  <c r="AF123" i="7" s="1"/>
  <c r="AD48" i="7"/>
  <c r="AF48" i="7" s="1"/>
  <c r="AD130" i="7"/>
  <c r="AF130" i="7" s="1"/>
  <c r="AD145" i="7"/>
  <c r="AF145" i="7" s="1"/>
  <c r="AD26" i="7"/>
  <c r="AF26" i="7" s="1"/>
  <c r="AD140" i="7"/>
  <c r="AF140" i="7" s="1"/>
  <c r="AD132" i="7"/>
  <c r="AF132" i="7" s="1"/>
  <c r="AD73" i="7"/>
  <c r="AF73" i="7" s="1"/>
  <c r="AD148" i="7"/>
  <c r="AF148" i="7" s="1"/>
  <c r="AD112" i="7"/>
  <c r="AF112" i="7" s="1"/>
  <c r="AD59" i="7"/>
  <c r="AF59" i="7" s="1"/>
  <c r="AD23" i="7"/>
  <c r="AF23" i="7" s="1"/>
  <c r="AD105" i="7"/>
  <c r="AF105" i="7" s="1"/>
  <c r="AD53" i="7"/>
  <c r="AF53" i="7" s="1"/>
  <c r="AD110" i="7"/>
  <c r="AF110" i="7" s="1"/>
  <c r="R5" i="7"/>
  <c r="S5" i="7" s="1"/>
  <c r="AD24" i="7"/>
  <c r="AF24" i="7" s="1"/>
  <c r="AD117" i="7"/>
  <c r="AF117" i="7" s="1"/>
  <c r="AD108" i="7"/>
  <c r="AF108" i="7" s="1"/>
  <c r="AD149" i="7"/>
  <c r="AF149" i="7" s="1"/>
  <c r="R4" i="7"/>
  <c r="S4" i="7" s="1"/>
  <c r="AD44" i="7"/>
  <c r="AF44" i="7" s="1"/>
  <c r="AD100" i="7"/>
  <c r="AF100" i="7" s="1"/>
  <c r="AD66" i="7"/>
  <c r="AF66" i="7" s="1"/>
  <c r="AD87" i="7"/>
  <c r="AF87" i="7" s="1"/>
  <c r="AD147" i="7"/>
  <c r="AF147" i="7" s="1"/>
  <c r="AD83" i="7"/>
  <c r="AF83" i="7" s="1"/>
  <c r="AD18" i="7"/>
  <c r="AF18" i="7" s="1"/>
  <c r="AD74" i="7"/>
  <c r="AF74" i="7" s="1"/>
  <c r="AD131" i="7"/>
  <c r="AF131" i="7" s="1"/>
  <c r="AD97" i="7"/>
  <c r="AF97" i="7" s="1"/>
  <c r="AD81" i="7"/>
  <c r="AF81" i="7" s="1"/>
  <c r="AD60" i="7"/>
  <c r="AF60" i="7" s="1"/>
  <c r="AD67" i="7"/>
  <c r="AF67" i="7" s="1"/>
  <c r="AD133" i="7"/>
  <c r="AF133" i="7" s="1"/>
  <c r="AD137" i="7"/>
  <c r="AF137" i="7" s="1"/>
  <c r="AD63" i="7"/>
  <c r="AF63" i="7" s="1"/>
  <c r="AD98" i="7"/>
  <c r="AF98" i="7" s="1"/>
  <c r="AD125" i="7"/>
  <c r="AF125" i="7" s="1"/>
  <c r="R6" i="7"/>
  <c r="S6" i="7" s="1"/>
  <c r="AD62" i="7"/>
  <c r="AF62" i="7" s="1"/>
  <c r="AD96" i="7"/>
  <c r="AF96" i="7" s="1"/>
  <c r="AD77" i="7"/>
  <c r="AF77" i="7" s="1"/>
  <c r="AD40" i="7"/>
  <c r="AF40" i="7" s="1"/>
  <c r="AD115" i="7"/>
  <c r="AF115" i="7" s="1"/>
  <c r="AD84" i="7"/>
  <c r="AF84" i="7" s="1"/>
  <c r="AD36" i="7"/>
  <c r="AF36" i="7" s="1"/>
  <c r="AD28" i="7"/>
  <c r="AF28" i="7" s="1"/>
  <c r="R10" i="7"/>
  <c r="S10" i="7" s="1"/>
  <c r="AD17" i="7"/>
  <c r="AF17" i="7" s="1"/>
  <c r="AD135" i="7"/>
  <c r="AF135" i="7" s="1"/>
  <c r="AD64" i="7"/>
  <c r="AF64" i="7" s="1"/>
  <c r="R9" i="7"/>
  <c r="S9" i="7" s="1"/>
  <c r="AD35" i="7"/>
  <c r="AF35" i="7" s="1"/>
  <c r="AD99" i="7"/>
  <c r="AF99" i="7" s="1"/>
  <c r="AD33" i="7"/>
  <c r="AF33" i="7" s="1"/>
  <c r="AD54" i="7"/>
  <c r="AF54" i="7" s="1"/>
  <c r="AD119" i="7"/>
  <c r="AF119" i="7" s="1"/>
  <c r="AD19" i="7"/>
  <c r="AF19" i="7" s="1"/>
  <c r="AD47" i="7"/>
  <c r="AF47" i="7" s="1"/>
  <c r="AD56" i="7"/>
  <c r="AF56" i="7" s="1"/>
  <c r="AD29" i="7"/>
  <c r="AF29" i="7" s="1"/>
  <c r="AD85" i="7"/>
  <c r="AF85" i="7" s="1"/>
  <c r="AB41" i="8"/>
  <c r="AB49" i="8"/>
  <c r="AB58" i="8"/>
  <c r="AB53" i="8"/>
  <c r="AB48" i="8"/>
  <c r="AB36" i="8"/>
  <c r="AB44" i="8"/>
  <c r="AB47" i="8"/>
  <c r="AB61" i="8"/>
  <c r="AB40" i="8"/>
  <c r="AB52" i="8"/>
  <c r="AB38" i="8"/>
  <c r="AB42" i="8"/>
  <c r="AB55" i="8"/>
  <c r="AB35" i="8"/>
  <c r="AB54" i="8"/>
  <c r="AB45" i="8"/>
  <c r="AB59" i="8"/>
  <c r="AB39" i="8"/>
  <c r="AB60" i="8"/>
  <c r="AB37" i="8"/>
  <c r="AB56" i="8"/>
  <c r="AB50" i="8"/>
  <c r="AB43" i="8"/>
  <c r="AB46" i="8"/>
  <c r="AB51" i="8"/>
  <c r="AB57" i="8"/>
  <c r="AB33" i="8"/>
  <c r="AB28" i="8"/>
  <c r="AB16" i="8"/>
  <c r="AB26" i="8"/>
  <c r="AB18" i="8"/>
  <c r="AB21" i="8"/>
  <c r="AB14" i="8"/>
  <c r="AB20" i="8"/>
  <c r="AB31" i="8"/>
  <c r="AB15" i="8"/>
  <c r="AB19" i="8"/>
  <c r="AB29" i="8"/>
  <c r="AB17" i="8"/>
  <c r="AB27" i="8"/>
  <c r="AB24" i="8"/>
  <c r="AG32" i="8"/>
  <c r="AB30" i="8"/>
  <c r="AB23" i="8"/>
  <c r="AB22" i="8"/>
  <c r="AB34" i="8"/>
  <c r="AB13" i="8"/>
  <c r="AB25" i="8"/>
  <c r="I72" i="7"/>
  <c r="I60" i="7"/>
  <c r="I127" i="7"/>
  <c r="I121" i="7"/>
  <c r="I63" i="7"/>
  <c r="I41" i="7"/>
  <c r="I91" i="7"/>
  <c r="I138" i="7"/>
  <c r="I56" i="7"/>
  <c r="I134" i="7"/>
  <c r="X15" i="7"/>
  <c r="I15" i="7"/>
  <c r="X8" i="7"/>
  <c r="I8" i="7"/>
  <c r="I116" i="7"/>
  <c r="I48" i="7"/>
  <c r="I96" i="7"/>
  <c r="I113" i="7"/>
  <c r="I51" i="7"/>
  <c r="I125" i="7"/>
  <c r="I84" i="7"/>
  <c r="K76" i="7"/>
  <c r="K78" i="7"/>
  <c r="K90" i="7"/>
  <c r="K147" i="7"/>
  <c r="AB6" i="8"/>
  <c r="M144" i="7"/>
  <c r="M104" i="7"/>
  <c r="L73" i="7"/>
  <c r="Y34" i="4"/>
  <c r="K28" i="7"/>
  <c r="M51" i="7"/>
  <c r="Y45" i="4"/>
  <c r="M123" i="7"/>
  <c r="M77" i="7"/>
  <c r="K15" i="7"/>
  <c r="K109" i="7"/>
  <c r="M142" i="7"/>
  <c r="M97" i="7"/>
  <c r="M7" i="7"/>
  <c r="M60" i="7"/>
  <c r="M18" i="7"/>
  <c r="Y42" i="4"/>
  <c r="Y51" i="4"/>
  <c r="M131" i="7"/>
  <c r="K65" i="7"/>
  <c r="K103" i="7"/>
  <c r="M30" i="7"/>
  <c r="K74" i="7"/>
  <c r="K135" i="7"/>
  <c r="K67" i="7"/>
  <c r="M127" i="7"/>
  <c r="M76" i="7"/>
  <c r="Y20" i="4"/>
  <c r="K5" i="7"/>
  <c r="M49" i="7"/>
  <c r="M138" i="7"/>
  <c r="M59" i="7"/>
  <c r="M36" i="7"/>
  <c r="K44" i="7"/>
  <c r="K59" i="7"/>
  <c r="M44" i="7"/>
  <c r="K52" i="7"/>
  <c r="L117" i="7"/>
  <c r="K85" i="7"/>
  <c r="M121" i="7"/>
  <c r="M23" i="7"/>
  <c r="L17" i="7"/>
  <c r="M141" i="7"/>
  <c r="Y50" i="4"/>
  <c r="Y23" i="4"/>
  <c r="K86" i="7"/>
  <c r="K40" i="7"/>
  <c r="M45" i="7"/>
  <c r="M98" i="7"/>
  <c r="Y41" i="4"/>
  <c r="Y49" i="4"/>
  <c r="M70" i="7"/>
  <c r="Y43" i="4"/>
  <c r="M37" i="7"/>
  <c r="M48" i="7"/>
  <c r="M63" i="7"/>
  <c r="K119" i="7"/>
  <c r="M114" i="7"/>
  <c r="K81" i="7"/>
  <c r="K140" i="7"/>
  <c r="L124" i="7"/>
  <c r="L81" i="7"/>
  <c r="K27" i="7"/>
  <c r="M41" i="7"/>
  <c r="M93" i="7"/>
  <c r="M5" i="7"/>
  <c r="L52" i="7"/>
  <c r="M14" i="7"/>
  <c r="K58" i="7"/>
  <c r="L100" i="7"/>
  <c r="K89" i="7"/>
  <c r="AB7" i="8"/>
  <c r="M147" i="7"/>
  <c r="K130" i="7"/>
  <c r="M66" i="7"/>
  <c r="K71" i="7"/>
  <c r="K69" i="7"/>
  <c r="K122" i="7"/>
  <c r="M116" i="7"/>
  <c r="K87" i="7"/>
  <c r="Y37" i="4"/>
  <c r="M107" i="7"/>
  <c r="M84" i="7"/>
  <c r="K134" i="7"/>
  <c r="M15" i="7"/>
  <c r="M62" i="7"/>
  <c r="I118" i="7"/>
  <c r="K13" i="7"/>
  <c r="AB5" i="8"/>
  <c r="K7" i="7"/>
  <c r="L21" i="7"/>
  <c r="K21" i="7"/>
  <c r="M126" i="7"/>
  <c r="K50" i="7"/>
  <c r="K137" i="7"/>
  <c r="M68" i="7"/>
  <c r="M119" i="7"/>
  <c r="K9" i="7"/>
  <c r="M136" i="7"/>
  <c r="M90" i="7"/>
  <c r="M9" i="7"/>
  <c r="M124" i="7"/>
  <c r="M81" i="7"/>
  <c r="K141" i="7"/>
  <c r="I143" i="7"/>
  <c r="I75" i="7"/>
  <c r="I94" i="7"/>
  <c r="I77" i="7"/>
  <c r="I39" i="7"/>
  <c r="I119" i="7"/>
  <c r="I140" i="7"/>
  <c r="I69" i="7"/>
  <c r="I83" i="7"/>
  <c r="I19" i="7"/>
  <c r="I102" i="7"/>
  <c r="I89" i="7"/>
  <c r="I23" i="7"/>
  <c r="I58" i="7"/>
  <c r="I101" i="7"/>
  <c r="K45" i="7"/>
  <c r="I120" i="7"/>
  <c r="I149" i="7"/>
  <c r="I124" i="7"/>
  <c r="I26" i="7"/>
  <c r="I85" i="7"/>
  <c r="I70" i="7"/>
  <c r="X14" i="7"/>
  <c r="I14" i="7"/>
  <c r="I67" i="7"/>
  <c r="I86" i="7"/>
  <c r="I61" i="7"/>
  <c r="I128" i="7"/>
  <c r="I25" i="7"/>
  <c r="I34" i="7"/>
  <c r="I135" i="7"/>
  <c r="I59" i="7"/>
  <c r="X5" i="7"/>
  <c r="I5" i="7"/>
  <c r="I24" i="7"/>
  <c r="I130" i="7"/>
  <c r="I40" i="7"/>
  <c r="K116" i="7"/>
  <c r="M143" i="7"/>
  <c r="M73" i="7"/>
  <c r="M39" i="7"/>
  <c r="K96" i="7"/>
  <c r="Y13" i="4"/>
  <c r="M35" i="7"/>
  <c r="AB9" i="8"/>
  <c r="M112" i="7"/>
  <c r="L107" i="7"/>
  <c r="M55" i="7"/>
  <c r="I54" i="7"/>
  <c r="M71" i="7"/>
  <c r="L71" i="7"/>
  <c r="I145" i="7"/>
  <c r="I28" i="7"/>
  <c r="I78" i="7"/>
  <c r="I141" i="7"/>
  <c r="I52" i="7"/>
  <c r="I106" i="7"/>
  <c r="I66" i="7"/>
  <c r="I115" i="7"/>
  <c r="I27" i="7"/>
  <c r="X9" i="7"/>
  <c r="I9" i="7"/>
  <c r="I44" i="7"/>
  <c r="I82" i="7"/>
  <c r="I33" i="7"/>
  <c r="I46" i="7"/>
  <c r="I147" i="7"/>
  <c r="X13" i="7"/>
  <c r="I13" i="7"/>
  <c r="I35" i="7"/>
  <c r="I126" i="7"/>
  <c r="I103" i="7"/>
  <c r="I21" i="7"/>
  <c r="K133" i="7"/>
  <c r="K106" i="7"/>
  <c r="AB10" i="8"/>
  <c r="M150" i="7"/>
  <c r="M94" i="7"/>
  <c r="M117" i="7"/>
  <c r="M54" i="7"/>
  <c r="M13" i="7"/>
  <c r="M16" i="7"/>
  <c r="M105" i="7"/>
  <c r="M17" i="7"/>
  <c r="K72" i="7"/>
  <c r="Y54" i="4"/>
  <c r="M78" i="7"/>
  <c r="M115" i="7"/>
  <c r="M34" i="7"/>
  <c r="M29" i="7"/>
  <c r="Y9" i="4"/>
  <c r="M85" i="7"/>
  <c r="M82" i="7"/>
  <c r="Y40" i="4"/>
  <c r="M148" i="7"/>
  <c r="M40" i="7"/>
  <c r="K51" i="7"/>
  <c r="M130" i="7"/>
  <c r="L70" i="7"/>
  <c r="M52" i="7"/>
  <c r="K100" i="7"/>
  <c r="Y38" i="4"/>
  <c r="L38" i="7"/>
  <c r="L125" i="7"/>
  <c r="K73" i="7"/>
  <c r="Y47" i="4"/>
  <c r="Y36" i="4"/>
  <c r="L44" i="7"/>
  <c r="M56" i="7"/>
  <c r="M102" i="7"/>
  <c r="M6" i="7"/>
  <c r="M25" i="7"/>
  <c r="M87" i="7"/>
  <c r="I110" i="7"/>
  <c r="I99" i="7"/>
  <c r="I107" i="7"/>
  <c r="I87" i="7"/>
  <c r="I133" i="7"/>
  <c r="X4" i="7"/>
  <c r="I4" i="7"/>
  <c r="I137" i="7"/>
  <c r="X12" i="7"/>
  <c r="I12" i="7"/>
  <c r="I109" i="7"/>
  <c r="M109" i="7"/>
  <c r="Y46" i="4"/>
  <c r="Y4" i="4"/>
  <c r="M64" i="7"/>
  <c r="M128" i="7"/>
  <c r="L149" i="7"/>
  <c r="L143" i="7"/>
  <c r="L59" i="7"/>
  <c r="M61" i="7"/>
  <c r="K138" i="7"/>
  <c r="M8" i="7"/>
  <c r="I136" i="7"/>
  <c r="I100" i="7"/>
  <c r="K95" i="7"/>
  <c r="K80" i="7"/>
  <c r="M146" i="7"/>
  <c r="L83" i="7"/>
  <c r="M53" i="7"/>
  <c r="M46" i="7"/>
  <c r="M88" i="7"/>
  <c r="K124" i="7"/>
  <c r="M110" i="7"/>
  <c r="K43" i="7"/>
  <c r="K68" i="7"/>
  <c r="M129" i="7"/>
  <c r="I90" i="7"/>
  <c r="I79" i="7"/>
  <c r="I104" i="7"/>
  <c r="I68" i="7"/>
  <c r="I98" i="7"/>
  <c r="X10" i="7"/>
  <c r="I10" i="7"/>
  <c r="I55" i="7"/>
  <c r="I80" i="7"/>
  <c r="I95" i="7"/>
  <c r="I73" i="7"/>
  <c r="I146" i="7"/>
  <c r="I131" i="7"/>
  <c r="X7" i="7"/>
  <c r="I7" i="7"/>
  <c r="X6" i="7"/>
  <c r="I6" i="7"/>
  <c r="I43" i="7"/>
  <c r="I45" i="7"/>
  <c r="I76" i="7"/>
  <c r="I50" i="7"/>
  <c r="I32" i="7"/>
  <c r="K61" i="7"/>
  <c r="K126" i="7"/>
  <c r="K66" i="7"/>
  <c r="K82" i="7"/>
  <c r="AB11" i="8"/>
  <c r="Y15" i="4"/>
  <c r="M89" i="7"/>
  <c r="M100" i="7"/>
  <c r="Y25" i="4"/>
  <c r="K88" i="7"/>
  <c r="M92" i="7"/>
  <c r="M134" i="7"/>
  <c r="M108" i="7"/>
  <c r="M12" i="7"/>
  <c r="K55" i="7"/>
  <c r="M69" i="7"/>
  <c r="M103" i="7"/>
  <c r="Y6" i="4"/>
  <c r="K127" i="7"/>
  <c r="M31" i="7"/>
  <c r="M27" i="7"/>
  <c r="K121" i="7"/>
  <c r="M20" i="7"/>
  <c r="M86" i="7"/>
  <c r="L53" i="7"/>
  <c r="Y29" i="4"/>
  <c r="K39" i="7"/>
  <c r="K25" i="7"/>
  <c r="M149" i="7"/>
  <c r="M122" i="7"/>
  <c r="Y7" i="4"/>
  <c r="L80" i="7"/>
  <c r="L43" i="7"/>
  <c r="M145" i="7"/>
  <c r="Y35" i="4"/>
  <c r="K33" i="7"/>
  <c r="K34" i="7"/>
  <c r="M57" i="7"/>
  <c r="M113" i="7"/>
  <c r="L14" i="7"/>
  <c r="Y52" i="4"/>
  <c r="K104" i="7"/>
  <c r="M72" i="7"/>
  <c r="M28" i="7"/>
  <c r="M101" i="7"/>
  <c r="M67" i="7"/>
  <c r="I132" i="7"/>
  <c r="I20" i="7"/>
  <c r="I88" i="7"/>
  <c r="I123" i="7"/>
  <c r="I122" i="7"/>
  <c r="I112" i="7"/>
  <c r="I111" i="7"/>
  <c r="I29" i="7"/>
  <c r="I129" i="7"/>
  <c r="K125" i="7"/>
  <c r="K128" i="7"/>
  <c r="L11" i="7"/>
  <c r="M50" i="7"/>
  <c r="Y16" i="4"/>
  <c r="L128" i="7"/>
  <c r="M32" i="7"/>
  <c r="M135" i="7"/>
  <c r="Y53" i="4"/>
  <c r="Y33" i="4"/>
  <c r="K146" i="7"/>
  <c r="Y48" i="4"/>
  <c r="Y21" i="4"/>
  <c r="I18" i="7"/>
  <c r="I71" i="7"/>
  <c r="I38" i="7"/>
  <c r="I30" i="7"/>
  <c r="I31" i="7"/>
  <c r="I74" i="7"/>
  <c r="I150" i="7"/>
  <c r="I114" i="7"/>
  <c r="I92" i="7"/>
  <c r="I37" i="7"/>
  <c r="I62" i="7"/>
  <c r="I97" i="7"/>
  <c r="X16" i="7"/>
  <c r="I16" i="7"/>
  <c r="I144" i="7"/>
  <c r="K120" i="7"/>
  <c r="K113" i="7"/>
  <c r="M74" i="7"/>
  <c r="M11" i="7"/>
  <c r="K97" i="7"/>
  <c r="M19" i="7"/>
  <c r="Y19" i="4"/>
  <c r="M4" i="7"/>
  <c r="M79" i="7"/>
  <c r="M111" i="7"/>
  <c r="K91" i="7"/>
  <c r="Y3" i="4"/>
  <c r="Y28" i="4"/>
  <c r="M33" i="7"/>
  <c r="I65" i="7"/>
  <c r="K10" i="7"/>
  <c r="M96" i="7"/>
  <c r="Y27" i="4"/>
  <c r="M75" i="7"/>
  <c r="M140" i="7"/>
  <c r="M120" i="7"/>
  <c r="K41" i="7"/>
  <c r="M10" i="7"/>
  <c r="Y8" i="4"/>
  <c r="M26" i="7"/>
  <c r="M24" i="7"/>
  <c r="K79" i="7"/>
  <c r="AB12" i="8"/>
  <c r="K131" i="7"/>
  <c r="L131" i="7"/>
  <c r="Y24" i="4"/>
  <c r="K14" i="7"/>
  <c r="M21" i="7"/>
  <c r="M65" i="7"/>
  <c r="Y17" i="4"/>
  <c r="M125" i="7"/>
  <c r="M139" i="7"/>
  <c r="K32" i="7"/>
  <c r="L18" i="7"/>
  <c r="Y44" i="4"/>
  <c r="K56" i="7"/>
  <c r="Y30" i="4"/>
  <c r="K115" i="7"/>
  <c r="M99" i="7"/>
  <c r="M43" i="7"/>
  <c r="I42" i="7"/>
  <c r="I142" i="7"/>
  <c r="AB8" i="8"/>
  <c r="M91" i="7"/>
  <c r="M106" i="7"/>
  <c r="M47" i="7"/>
  <c r="K60" i="7"/>
  <c r="L51" i="7"/>
  <c r="K63" i="7"/>
  <c r="M137" i="7"/>
  <c r="Y10" i="4"/>
  <c r="M118" i="7"/>
  <c r="Y2" i="4"/>
  <c r="L57" i="7"/>
  <c r="K70" i="7"/>
  <c r="Y22" i="4"/>
  <c r="K24" i="7"/>
  <c r="Y14" i="4"/>
  <c r="M38" i="7"/>
  <c r="K149" i="7"/>
  <c r="Y12" i="4"/>
  <c r="K46" i="7"/>
  <c r="K48" i="7"/>
  <c r="K98" i="7"/>
  <c r="Y11" i="4"/>
  <c r="Y31" i="4"/>
  <c r="Y26" i="4"/>
  <c r="K84" i="7"/>
  <c r="K83" i="7"/>
  <c r="M95" i="7"/>
  <c r="K19" i="7"/>
  <c r="Y56" i="4"/>
  <c r="K101" i="7"/>
  <c r="K26" i="7"/>
  <c r="M132" i="7"/>
  <c r="M83" i="7"/>
  <c r="K31" i="7"/>
  <c r="M58" i="7"/>
  <c r="M80" i="7"/>
  <c r="K8" i="7"/>
  <c r="M42" i="7"/>
  <c r="Y32" i="4"/>
  <c r="L4" i="7"/>
  <c r="L123" i="7"/>
  <c r="K6" i="7"/>
  <c r="K35" i="7"/>
  <c r="K144" i="7"/>
  <c r="Y55" i="4"/>
  <c r="K102" i="7"/>
  <c r="I105" i="7"/>
  <c r="I22" i="7"/>
  <c r="I108" i="7"/>
  <c r="I64" i="7"/>
  <c r="X11" i="7"/>
  <c r="I11" i="7"/>
  <c r="I49" i="7"/>
  <c r="I47" i="7"/>
  <c r="I36" i="7"/>
  <c r="I139" i="7"/>
  <c r="I148" i="7"/>
  <c r="I81" i="7"/>
  <c r="I53" i="7"/>
  <c r="I117" i="7"/>
  <c r="I57" i="7"/>
  <c r="I17" i="7"/>
  <c r="I93" i="7"/>
  <c r="M133" i="7"/>
  <c r="Y18" i="4"/>
  <c r="M22" i="7"/>
  <c r="Y39" i="4"/>
  <c r="Y5" i="4"/>
  <c r="X61" i="7"/>
  <c r="X126" i="7"/>
  <c r="X66" i="7"/>
  <c r="X82" i="7"/>
  <c r="X88" i="7"/>
  <c r="X55" i="7"/>
  <c r="X127" i="7"/>
  <c r="X121" i="7"/>
  <c r="X39" i="7"/>
  <c r="X25" i="7"/>
  <c r="X33" i="7"/>
  <c r="X34" i="7"/>
  <c r="X104" i="7"/>
  <c r="X125" i="7"/>
  <c r="X89" i="7"/>
  <c r="X128" i="7"/>
  <c r="X130" i="7"/>
  <c r="X71" i="7"/>
  <c r="X69" i="7"/>
  <c r="X122" i="7"/>
  <c r="X87" i="7"/>
  <c r="X146" i="7"/>
  <c r="X134" i="7"/>
  <c r="X138" i="7"/>
  <c r="X90" i="7"/>
  <c r="X28" i="7"/>
  <c r="X65" i="7"/>
  <c r="X135" i="7"/>
  <c r="X44" i="7"/>
  <c r="X52" i="7"/>
  <c r="X86" i="7"/>
  <c r="X119" i="7"/>
  <c r="X140" i="7"/>
  <c r="X72" i="7"/>
  <c r="X100" i="7"/>
  <c r="X73" i="7"/>
  <c r="X95" i="7"/>
  <c r="X120" i="7"/>
  <c r="X80" i="7"/>
  <c r="X113" i="7"/>
  <c r="X21" i="7"/>
  <c r="X97" i="7"/>
  <c r="X50" i="7"/>
  <c r="X137" i="7"/>
  <c r="X124" i="7"/>
  <c r="X91" i="7"/>
  <c r="X43" i="7"/>
  <c r="X68" i="7"/>
  <c r="X141" i="7"/>
  <c r="X60" i="7"/>
  <c r="X56" i="7"/>
  <c r="X101" i="7"/>
  <c r="X144" i="7"/>
  <c r="X31" i="7"/>
  <c r="X76" i="7"/>
  <c r="X109" i="7"/>
  <c r="X74" i="7"/>
  <c r="X81" i="7"/>
  <c r="X58" i="7"/>
  <c r="X45" i="7"/>
  <c r="X149" i="7"/>
  <c r="X131" i="7"/>
  <c r="X46" i="7"/>
  <c r="X48" i="7"/>
  <c r="X24" i="7"/>
  <c r="X98" i="7"/>
  <c r="X32" i="7"/>
  <c r="X84" i="7"/>
  <c r="X83" i="7"/>
  <c r="X79" i="7"/>
  <c r="X19" i="7"/>
  <c r="X63" i="7"/>
  <c r="X26" i="7"/>
  <c r="X35" i="7"/>
  <c r="X115" i="7"/>
  <c r="X41" i="7"/>
  <c r="X70" i="7"/>
  <c r="X102" i="7"/>
  <c r="X78" i="7"/>
  <c r="X147" i="7"/>
  <c r="X103" i="7"/>
  <c r="X67" i="7"/>
  <c r="X59" i="7"/>
  <c r="X116" i="7"/>
  <c r="X85" i="7"/>
  <c r="X40" i="7"/>
  <c r="X96" i="7"/>
  <c r="X27" i="7"/>
  <c r="X133" i="7"/>
  <c r="X51" i="7"/>
  <c r="X106" i="7"/>
  <c r="AD57" i="8" l="1"/>
  <c r="AF57" i="8" s="1"/>
  <c r="AD51" i="8"/>
  <c r="AF51" i="8" s="1"/>
  <c r="AD46" i="8"/>
  <c r="AF46" i="8" s="1"/>
  <c r="AD43" i="8"/>
  <c r="AF43" i="8" s="1"/>
  <c r="AD50" i="8"/>
  <c r="AF50" i="8" s="1"/>
  <c r="AD56" i="8"/>
  <c r="AF56" i="8" s="1"/>
  <c r="AD37" i="8"/>
  <c r="AF37" i="8" s="1"/>
  <c r="AD60" i="8"/>
  <c r="AF60" i="8" s="1"/>
  <c r="AD39" i="8"/>
  <c r="AF39" i="8" s="1"/>
  <c r="AD59" i="8"/>
  <c r="AF59" i="8" s="1"/>
  <c r="AD45" i="8"/>
  <c r="AF45" i="8" s="1"/>
  <c r="AD54" i="8"/>
  <c r="AF54" i="8" s="1"/>
  <c r="AD35" i="8"/>
  <c r="AF35" i="8" s="1"/>
  <c r="AD55" i="8"/>
  <c r="AF55" i="8" s="1"/>
  <c r="AD42" i="8"/>
  <c r="AF42" i="8" s="1"/>
  <c r="AD38" i="8"/>
  <c r="AF38" i="8" s="1"/>
  <c r="AD52" i="8"/>
  <c r="AF52" i="8" s="1"/>
  <c r="AD40" i="8"/>
  <c r="AF40" i="8" s="1"/>
  <c r="AD61" i="8"/>
  <c r="AF61" i="8" s="1"/>
  <c r="AD47" i="8"/>
  <c r="AF47" i="8" s="1"/>
  <c r="AD44" i="8"/>
  <c r="AF44" i="8" s="1"/>
  <c r="AD36" i="8"/>
  <c r="AF36" i="8" s="1"/>
  <c r="AD48" i="8"/>
  <c r="AF48" i="8" s="1"/>
  <c r="AD53" i="8"/>
  <c r="AF53" i="8" s="1"/>
  <c r="AD58" i="8"/>
  <c r="AF58" i="8" s="1"/>
  <c r="AD49" i="8"/>
  <c r="AF49" i="8" s="1"/>
  <c r="AD41" i="8"/>
  <c r="AF41" i="8" s="1"/>
  <c r="AD25" i="8"/>
  <c r="AF25" i="8" s="1"/>
  <c r="AD13" i="8"/>
  <c r="AF13" i="8" s="1"/>
  <c r="AD34" i="8"/>
  <c r="AF34" i="8" s="1"/>
  <c r="AD22" i="8"/>
  <c r="AF22" i="8" s="1"/>
  <c r="AD23" i="8"/>
  <c r="AF23" i="8" s="1"/>
  <c r="AD30" i="8"/>
  <c r="AF30" i="8" s="1"/>
  <c r="AD24" i="8"/>
  <c r="AF24" i="8" s="1"/>
  <c r="AD27" i="8"/>
  <c r="AF27" i="8" s="1"/>
  <c r="AD17" i="8"/>
  <c r="AF17" i="8" s="1"/>
  <c r="AD29" i="8"/>
  <c r="AF29" i="8" s="1"/>
  <c r="AD19" i="8"/>
  <c r="AF19" i="8" s="1"/>
  <c r="AD15" i="8"/>
  <c r="AF15" i="8" s="1"/>
  <c r="AD31" i="8"/>
  <c r="AF31" i="8" s="1"/>
  <c r="AD20" i="8"/>
  <c r="AF20" i="8" s="1"/>
  <c r="AD14" i="8"/>
  <c r="AF14" i="8" s="1"/>
  <c r="AD21" i="8"/>
  <c r="AF21" i="8" s="1"/>
  <c r="AD18" i="8"/>
  <c r="AF18" i="8" s="1"/>
  <c r="AD26" i="8"/>
  <c r="AF26" i="8" s="1"/>
  <c r="AD16" i="8"/>
  <c r="AF16" i="8" s="1"/>
  <c r="AD28" i="8"/>
  <c r="AF28" i="8" s="1"/>
  <c r="AD33" i="8"/>
  <c r="AF33" i="8" s="1"/>
  <c r="AE32" i="8"/>
  <c r="H93" i="7"/>
  <c r="R93" i="7" s="1"/>
  <c r="S93" i="7" s="1"/>
  <c r="H17" i="7"/>
  <c r="R17" i="7" s="1"/>
  <c r="S17" i="7" s="1"/>
  <c r="H57" i="7"/>
  <c r="H117" i="7"/>
  <c r="R117" i="7" s="1"/>
  <c r="S117" i="7" s="1"/>
  <c r="H53" i="7"/>
  <c r="H148" i="7"/>
  <c r="H36" i="7"/>
  <c r="H47" i="7"/>
  <c r="R47" i="7" s="1"/>
  <c r="S47" i="7" s="1"/>
  <c r="H49" i="7"/>
  <c r="R49" i="7" s="1"/>
  <c r="S49" i="7" s="1"/>
  <c r="H11" i="7"/>
  <c r="H64" i="7"/>
  <c r="H22" i="7"/>
  <c r="R22" i="7" s="1"/>
  <c r="S22" i="7" s="1"/>
  <c r="H105" i="7"/>
  <c r="R105" i="7" s="1"/>
  <c r="S105" i="7" s="1"/>
  <c r="H142" i="7"/>
  <c r="H42" i="7"/>
  <c r="H108" i="7"/>
  <c r="H139" i="7"/>
  <c r="R139" i="7" s="1"/>
  <c r="S139" i="7" s="1"/>
  <c r="H29" i="7"/>
  <c r="R29" i="7" s="1"/>
  <c r="S29" i="7" s="1"/>
  <c r="H112" i="7"/>
  <c r="R112" i="7" s="1"/>
  <c r="S112" i="7" s="1"/>
  <c r="H132" i="7"/>
  <c r="R132" i="7" s="1"/>
  <c r="S132" i="7" s="1"/>
  <c r="H92" i="7"/>
  <c r="R92" i="7" s="1"/>
  <c r="S92" i="7" s="1"/>
  <c r="H30" i="7"/>
  <c r="H62" i="7"/>
  <c r="H38" i="7"/>
  <c r="R38" i="7" s="1"/>
  <c r="S38" i="7" s="1"/>
  <c r="H111" i="7"/>
  <c r="R111" i="7" s="1"/>
  <c r="S111" i="7" s="1"/>
  <c r="H129" i="7"/>
  <c r="H150" i="7"/>
  <c r="R150" i="7" s="1"/>
  <c r="S150" i="7" s="1"/>
  <c r="H20" i="7"/>
  <c r="H107" i="7"/>
  <c r="R107" i="7" s="1"/>
  <c r="S107" i="7" s="1"/>
  <c r="H114" i="7"/>
  <c r="H110" i="7"/>
  <c r="R110" i="7" s="1"/>
  <c r="S110" i="7" s="1"/>
  <c r="H16" i="7"/>
  <c r="H145" i="7"/>
  <c r="R145" i="7" s="1"/>
  <c r="S145" i="7" s="1"/>
  <c r="H99" i="7"/>
  <c r="R99" i="7" s="1"/>
  <c r="S99" i="7" s="1"/>
  <c r="H37" i="7"/>
  <c r="R37" i="7" s="1"/>
  <c r="S37" i="7" s="1"/>
  <c r="H18" i="7"/>
  <c r="H143" i="7"/>
  <c r="R143" i="7" s="1"/>
  <c r="S143" i="7" s="1"/>
  <c r="H94" i="7"/>
  <c r="H12" i="7"/>
  <c r="R12" i="7" s="1"/>
  <c r="S12" i="7" s="1"/>
  <c r="H54" i="7"/>
  <c r="H118" i="7"/>
  <c r="R118" i="7" s="1"/>
  <c r="S118" i="7" s="1"/>
  <c r="H75" i="7"/>
  <c r="R75" i="7" s="1"/>
  <c r="S75" i="7" s="1"/>
  <c r="H77" i="7"/>
  <c r="R77" i="7" s="1"/>
  <c r="S77" i="7" s="1"/>
  <c r="H123" i="7"/>
  <c r="R123" i="7" s="1"/>
  <c r="S123" i="7" s="1"/>
  <c r="H4" i="7"/>
  <c r="H136" i="7"/>
  <c r="H23" i="7"/>
  <c r="AF16" i="7"/>
  <c r="R95" i="7"/>
  <c r="S95" i="7" s="1"/>
  <c r="R60" i="7"/>
  <c r="S60" i="7" s="1"/>
  <c r="AD12" i="8"/>
  <c r="AF12" i="8" s="1"/>
  <c r="AD5" i="8"/>
  <c r="AF5" i="8" s="1"/>
  <c r="AD9" i="8"/>
  <c r="AF9" i="8" s="1"/>
  <c r="AD11" i="8"/>
  <c r="AF11" i="8" s="1"/>
  <c r="AD10" i="8"/>
  <c r="AF10" i="8" s="1"/>
  <c r="AD6" i="8"/>
  <c r="AF6" i="8" s="1"/>
  <c r="AD8" i="8"/>
  <c r="AF8" i="8" s="1"/>
  <c r="AD7" i="8"/>
  <c r="AF7" i="8" s="1"/>
  <c r="R34" i="7"/>
  <c r="S34" i="7" s="1"/>
  <c r="R25" i="7"/>
  <c r="S25" i="7" s="1"/>
  <c r="R46" i="7"/>
  <c r="S46" i="7" s="1"/>
  <c r="R88" i="7"/>
  <c r="S88" i="7" s="1"/>
  <c r="X1" i="8"/>
  <c r="X2" i="8" s="1"/>
  <c r="R70" i="7"/>
  <c r="S70" i="7" s="1"/>
  <c r="R58" i="7"/>
  <c r="S58" i="7" s="1"/>
  <c r="R141" i="7"/>
  <c r="S141" i="7" s="1"/>
  <c r="R52" i="7"/>
  <c r="S52" i="7" s="1"/>
  <c r="R59" i="7"/>
  <c r="S59" i="7" s="1"/>
  <c r="R102" i="7"/>
  <c r="S102" i="7" s="1"/>
  <c r="R138" i="7"/>
  <c r="S138" i="7" s="1"/>
  <c r="R104" i="7"/>
  <c r="S104" i="7" s="1"/>
  <c r="R44" i="7"/>
  <c r="S44" i="7" s="1"/>
  <c r="R83" i="7"/>
  <c r="S83" i="7" s="1"/>
  <c r="R84" i="7"/>
  <c r="S84" i="7" s="1"/>
  <c r="R27" i="7"/>
  <c r="S27" i="7" s="1"/>
  <c r="R91" i="7"/>
  <c r="S91" i="7" s="1"/>
  <c r="R146" i="7"/>
  <c r="S146" i="7" s="1"/>
  <c r="R33" i="7"/>
  <c r="S33" i="7" s="1"/>
  <c r="R73" i="7"/>
  <c r="S73" i="7" s="1"/>
  <c r="R100" i="7"/>
  <c r="S100" i="7" s="1"/>
  <c r="R135" i="7"/>
  <c r="S135" i="7" s="1"/>
  <c r="R81" i="7"/>
  <c r="S81" i="7" s="1"/>
  <c r="R74" i="7"/>
  <c r="S74" i="7" s="1"/>
  <c r="R31" i="7"/>
  <c r="S31" i="7" s="1"/>
  <c r="R68" i="7"/>
  <c r="S68" i="7" s="1"/>
  <c r="R51" i="7"/>
  <c r="S51" i="7" s="1"/>
  <c r="R96" i="7"/>
  <c r="S96" i="7" s="1"/>
  <c r="R41" i="7"/>
  <c r="S41" i="7" s="1"/>
  <c r="R124" i="7"/>
  <c r="S124" i="7" s="1"/>
  <c r="R87" i="7"/>
  <c r="S87" i="7" s="1"/>
  <c r="R39" i="7"/>
  <c r="S39" i="7" s="1"/>
  <c r="R119" i="7"/>
  <c r="S119" i="7" s="1"/>
  <c r="R65" i="7"/>
  <c r="S65" i="7" s="1"/>
  <c r="R144" i="7"/>
  <c r="S144" i="7" s="1"/>
  <c r="R115" i="7"/>
  <c r="S115" i="7" s="1"/>
  <c r="R137" i="7"/>
  <c r="S137" i="7" s="1"/>
  <c r="R122" i="7"/>
  <c r="S122" i="7" s="1"/>
  <c r="R121" i="7"/>
  <c r="S121" i="7" s="1"/>
  <c r="R140" i="7"/>
  <c r="S140" i="7" s="1"/>
  <c r="R69" i="7"/>
  <c r="S69" i="7" s="1"/>
  <c r="R35" i="7"/>
  <c r="S35" i="7" s="1"/>
  <c r="R32" i="7"/>
  <c r="S32" i="7" s="1"/>
  <c r="R50" i="7"/>
  <c r="S50" i="7" s="1"/>
  <c r="R127" i="7"/>
  <c r="S127" i="7" s="1"/>
  <c r="R98" i="7"/>
  <c r="S98" i="7" s="1"/>
  <c r="R40" i="7"/>
  <c r="S40" i="7" s="1"/>
  <c r="R109" i="7"/>
  <c r="S109" i="7" s="1"/>
  <c r="R24" i="7"/>
  <c r="S24" i="7" s="1"/>
  <c r="R97" i="7"/>
  <c r="S97" i="7" s="1"/>
  <c r="R55" i="7"/>
  <c r="S55" i="7" s="1"/>
  <c r="R72" i="7"/>
  <c r="S72" i="7" s="1"/>
  <c r="R15" i="7"/>
  <c r="S15" i="7" s="1"/>
  <c r="R26" i="7"/>
  <c r="S26" i="7" s="1"/>
  <c r="R48" i="7"/>
  <c r="S48" i="7" s="1"/>
  <c r="R101" i="7"/>
  <c r="S101" i="7" s="1"/>
  <c r="R130" i="7"/>
  <c r="S130" i="7" s="1"/>
  <c r="R28" i="7"/>
  <c r="S28" i="7" s="1"/>
  <c r="R63" i="7"/>
  <c r="S63" i="7" s="1"/>
  <c r="R131" i="7"/>
  <c r="S131" i="7" s="1"/>
  <c r="AG57" i="8"/>
  <c r="AG39" i="8"/>
  <c r="AG52" i="8"/>
  <c r="AG58" i="8"/>
  <c r="AG43" i="8"/>
  <c r="AG35" i="8"/>
  <c r="AG55" i="8"/>
  <c r="AG42" i="8"/>
  <c r="AG38" i="8"/>
  <c r="AG51" i="8"/>
  <c r="AG59" i="8"/>
  <c r="AG40" i="8"/>
  <c r="AG49" i="8"/>
  <c r="AG46" i="8"/>
  <c r="AG45" i="8"/>
  <c r="AG61" i="8"/>
  <c r="AG41" i="8"/>
  <c r="AG54" i="8"/>
  <c r="AG47" i="8"/>
  <c r="AG50" i="8"/>
  <c r="AG44" i="8"/>
  <c r="AG56" i="8"/>
  <c r="AG36" i="8"/>
  <c r="AG37" i="8"/>
  <c r="AG48" i="8"/>
  <c r="AG60" i="8"/>
  <c r="AG53" i="8"/>
  <c r="AG25" i="8"/>
  <c r="AG17" i="8"/>
  <c r="AG18" i="8"/>
  <c r="AG13" i="8"/>
  <c r="AG34" i="8"/>
  <c r="AG14" i="8"/>
  <c r="AG22" i="8"/>
  <c r="AG15" i="8"/>
  <c r="AG28" i="8"/>
  <c r="AG23" i="8"/>
  <c r="AG31" i="8"/>
  <c r="AG33" i="8"/>
  <c r="AG30" i="8"/>
  <c r="AG20" i="8"/>
  <c r="AG24" i="8"/>
  <c r="AG27" i="8"/>
  <c r="AG21" i="8"/>
  <c r="AG29" i="8"/>
  <c r="AG26" i="8"/>
  <c r="AG19" i="8"/>
  <c r="AG16" i="8"/>
  <c r="K93" i="7"/>
  <c r="X93" i="7" s="1"/>
  <c r="K49" i="7"/>
  <c r="X49" i="7" s="1"/>
  <c r="K139" i="7"/>
  <c r="X139" i="7" s="1"/>
  <c r="K111" i="7"/>
  <c r="X111" i="7" s="1"/>
  <c r="K145" i="7"/>
  <c r="X145" i="7" s="1"/>
  <c r="K118" i="7"/>
  <c r="X118" i="7" s="1"/>
  <c r="AG12" i="8"/>
  <c r="AG7" i="8"/>
  <c r="K17" i="7"/>
  <c r="X17" i="7" s="1"/>
  <c r="K11" i="7"/>
  <c r="K29" i="7"/>
  <c r="X29" i="7" s="1"/>
  <c r="K129" i="7"/>
  <c r="X129" i="7" s="1"/>
  <c r="K99" i="7"/>
  <c r="X99" i="7" s="1"/>
  <c r="K75" i="7"/>
  <c r="X75" i="7" s="1"/>
  <c r="AG5" i="8"/>
  <c r="K57" i="7"/>
  <c r="X57" i="7" s="1"/>
  <c r="K64" i="7"/>
  <c r="X64" i="7" s="1"/>
  <c r="K112" i="7"/>
  <c r="X112" i="7" s="1"/>
  <c r="K150" i="7"/>
  <c r="X150" i="7" s="1"/>
  <c r="K37" i="7"/>
  <c r="X37" i="7" s="1"/>
  <c r="K77" i="7"/>
  <c r="X77" i="7" s="1"/>
  <c r="AG10" i="8"/>
  <c r="AG9" i="8"/>
  <c r="K42" i="7"/>
  <c r="X42" i="7" s="1"/>
  <c r="K12" i="7"/>
  <c r="K47" i="7"/>
  <c r="X47" i="7" s="1"/>
  <c r="K38" i="7"/>
  <c r="X38" i="7" s="1"/>
  <c r="K54" i="7"/>
  <c r="X54" i="7" s="1"/>
  <c r="K117" i="7"/>
  <c r="X117" i="7" s="1"/>
  <c r="K22" i="7"/>
  <c r="X22" i="7" s="1"/>
  <c r="K132" i="7"/>
  <c r="X132" i="7" s="1"/>
  <c r="K20" i="7"/>
  <c r="X20" i="7" s="1"/>
  <c r="K18" i="7"/>
  <c r="X18" i="7" s="1"/>
  <c r="K123" i="7"/>
  <c r="X123" i="7" s="1"/>
  <c r="AG6" i="8"/>
  <c r="K53" i="7"/>
  <c r="X53" i="7" s="1"/>
  <c r="K105" i="7"/>
  <c r="X105" i="7" s="1"/>
  <c r="K92" i="7"/>
  <c r="X92" i="7" s="1"/>
  <c r="K107" i="7"/>
  <c r="X107" i="7" s="1"/>
  <c r="K143" i="7"/>
  <c r="X143" i="7" s="1"/>
  <c r="K4" i="7"/>
  <c r="Y4" i="8"/>
  <c r="K148" i="7"/>
  <c r="X148" i="7" s="1"/>
  <c r="K142" i="7"/>
  <c r="X142" i="7" s="1"/>
  <c r="K30" i="7"/>
  <c r="X30" i="7" s="1"/>
  <c r="K114" i="7"/>
  <c r="X114" i="7" s="1"/>
  <c r="K94" i="7"/>
  <c r="X94" i="7" s="1"/>
  <c r="K136" i="7"/>
  <c r="X136" i="7" s="1"/>
  <c r="K36" i="7"/>
  <c r="X36" i="7" s="1"/>
  <c r="K62" i="7"/>
  <c r="X62" i="7" s="1"/>
  <c r="K110" i="7"/>
  <c r="X110" i="7" s="1"/>
  <c r="K23" i="7"/>
  <c r="X23" i="7" s="1"/>
  <c r="AG11" i="8"/>
  <c r="K108" i="7"/>
  <c r="X108" i="7" s="1"/>
  <c r="K16" i="7"/>
  <c r="AG8" i="8"/>
  <c r="AE53" i="8" l="1"/>
  <c r="AE60" i="8"/>
  <c r="AE48" i="8"/>
  <c r="AE37" i="8"/>
  <c r="AE36" i="8"/>
  <c r="AE56" i="8"/>
  <c r="AE44" i="8"/>
  <c r="AE50" i="8"/>
  <c r="AE47" i="8"/>
  <c r="AE54" i="8"/>
  <c r="AE41" i="8"/>
  <c r="AE61" i="8"/>
  <c r="AE45" i="8"/>
  <c r="AE46" i="8"/>
  <c r="AE49" i="8"/>
  <c r="AE40" i="8"/>
  <c r="AE59" i="8"/>
  <c r="AE51" i="8"/>
  <c r="AE38" i="8"/>
  <c r="AE42" i="8"/>
  <c r="AE55" i="8"/>
  <c r="AE35" i="8"/>
  <c r="AE43" i="8"/>
  <c r="AE58" i="8"/>
  <c r="AE52" i="8"/>
  <c r="AE39" i="8"/>
  <c r="AE57" i="8"/>
  <c r="AE16" i="8"/>
  <c r="AE19" i="8"/>
  <c r="AE26" i="8"/>
  <c r="AE29" i="8"/>
  <c r="AE21" i="8"/>
  <c r="AE27" i="8"/>
  <c r="AE24" i="8"/>
  <c r="AE20" i="8"/>
  <c r="AE30" i="8"/>
  <c r="AE33" i="8"/>
  <c r="AE31" i="8"/>
  <c r="AE23" i="8"/>
  <c r="AE28" i="8"/>
  <c r="AE15" i="8"/>
  <c r="AE22" i="8"/>
  <c r="AE14" i="8"/>
  <c r="AE34" i="8"/>
  <c r="AE13" i="8"/>
  <c r="AE18" i="8"/>
  <c r="AE17" i="8"/>
  <c r="AE25" i="8"/>
  <c r="R16" i="7"/>
  <c r="S16" i="7" s="1"/>
  <c r="R23" i="7"/>
  <c r="S23" i="7" s="1"/>
  <c r="R36" i="7"/>
  <c r="S36" i="7" s="1"/>
  <c r="R94" i="7"/>
  <c r="S94" i="7" s="1"/>
  <c r="R30" i="7"/>
  <c r="S30" i="7" s="1"/>
  <c r="R148" i="7"/>
  <c r="S148" i="7" s="1"/>
  <c r="R136" i="7"/>
  <c r="S136" i="7" s="1"/>
  <c r="R114" i="7"/>
  <c r="S114" i="7" s="1"/>
  <c r="R53" i="7"/>
  <c r="S53" i="7" s="1"/>
  <c r="R18" i="7"/>
  <c r="S18" i="7" s="1"/>
  <c r="R20" i="7"/>
  <c r="S20" i="7" s="1"/>
  <c r="R42" i="7"/>
  <c r="S42" i="7" s="1"/>
  <c r="R62" i="7"/>
  <c r="S62" i="7" s="1"/>
  <c r="R64" i="7"/>
  <c r="S64" i="7" s="1"/>
  <c r="R57" i="7"/>
  <c r="S57" i="7" s="1"/>
  <c r="R142" i="7"/>
  <c r="S142" i="7" s="1"/>
  <c r="R108" i="7"/>
  <c r="S108" i="7" s="1"/>
  <c r="R54" i="7"/>
  <c r="S54" i="7" s="1"/>
  <c r="R129" i="7"/>
  <c r="S129" i="7" s="1"/>
  <c r="AA4" i="8"/>
  <c r="AE7" i="8"/>
  <c r="AE8" i="8"/>
  <c r="AE11" i="8"/>
  <c r="AE9" i="8"/>
  <c r="AE6" i="8"/>
  <c r="AE10" i="8"/>
  <c r="AE5" i="8"/>
  <c r="AE12" i="8"/>
  <c r="T7" i="7"/>
  <c r="T8" i="7"/>
  <c r="T15" i="7"/>
  <c r="T16" i="7"/>
  <c r="T12" i="7"/>
  <c r="AB4" i="8"/>
  <c r="T10" i="7"/>
  <c r="T13" i="7"/>
  <c r="T6" i="7"/>
  <c r="T14" i="7"/>
  <c r="AB1" i="8"/>
  <c r="T5" i="7"/>
  <c r="T9" i="7"/>
  <c r="T11" i="7"/>
  <c r="T4" i="7"/>
  <c r="T131" i="7"/>
  <c r="T95" i="7"/>
  <c r="T53" i="7"/>
  <c r="T68" i="7"/>
  <c r="T135" i="7"/>
  <c r="T83" i="7"/>
  <c r="T147" i="7"/>
  <c r="T122" i="7"/>
  <c r="T76" i="7"/>
  <c r="T47" i="7"/>
  <c r="T19" i="7"/>
  <c r="T88" i="7"/>
  <c r="T71" i="7"/>
  <c r="T43" i="7"/>
  <c r="T74" i="7"/>
  <c r="T44" i="7"/>
  <c r="T35" i="7"/>
  <c r="T146" i="7"/>
  <c r="T89" i="7"/>
  <c r="T93" i="7"/>
  <c r="T105" i="7"/>
  <c r="T36" i="7"/>
  <c r="T61" i="7"/>
  <c r="T118" i="7"/>
  <c r="T97" i="7"/>
  <c r="T37" i="7"/>
  <c r="T111" i="7"/>
  <c r="T59" i="7"/>
  <c r="T94" i="7"/>
  <c r="T23" i="7"/>
  <c r="T62" i="7"/>
  <c r="T144" i="7"/>
  <c r="T138" i="7"/>
  <c r="T125" i="7"/>
  <c r="T117" i="7"/>
  <c r="T34" i="7"/>
  <c r="T103" i="7"/>
  <c r="T55" i="7"/>
  <c r="T32" i="7"/>
  <c r="T52" i="7"/>
  <c r="T51" i="7"/>
  <c r="T150" i="7"/>
  <c r="T22" i="7"/>
  <c r="T77" i="7"/>
  <c r="T108" i="7"/>
  <c r="T128" i="7"/>
  <c r="T30" i="7"/>
  <c r="T69" i="7"/>
  <c r="T64" i="7"/>
  <c r="T80" i="7"/>
  <c r="T67" i="7"/>
  <c r="T126" i="7"/>
  <c r="T106" i="7"/>
  <c r="T98" i="7"/>
  <c r="T24" i="7"/>
  <c r="T66" i="7"/>
  <c r="T136" i="7"/>
  <c r="T109" i="7"/>
  <c r="T91" i="7"/>
  <c r="T65" i="7"/>
  <c r="T134" i="7"/>
  <c r="T90" i="7"/>
  <c r="T139" i="7"/>
  <c r="T75" i="7"/>
  <c r="T70" i="7"/>
  <c r="T56" i="7"/>
  <c r="T81" i="7"/>
  <c r="T20" i="7"/>
  <c r="T33" i="7"/>
  <c r="T120" i="7"/>
  <c r="T85" i="7"/>
  <c r="T84" i="7"/>
  <c r="T124" i="7"/>
  <c r="T140" i="7"/>
  <c r="T104" i="7"/>
  <c r="T57" i="7"/>
  <c r="T73" i="7"/>
  <c r="T79" i="7"/>
  <c r="T49" i="7"/>
  <c r="T129" i="7"/>
  <c r="T99" i="7"/>
  <c r="T123" i="7"/>
  <c r="T46" i="7"/>
  <c r="T100" i="7"/>
  <c r="T25" i="7"/>
  <c r="T58" i="7"/>
  <c r="T121" i="7"/>
  <c r="T145" i="7"/>
  <c r="T48" i="7"/>
  <c r="T72" i="7"/>
  <c r="T45" i="7"/>
  <c r="T50" i="7"/>
  <c r="T31" i="7"/>
  <c r="T113" i="7"/>
  <c r="T116" i="7"/>
  <c r="T29" i="7"/>
  <c r="T142" i="7"/>
  <c r="T38" i="7"/>
  <c r="T82" i="7"/>
  <c r="T42" i="7"/>
  <c r="T130" i="7"/>
  <c r="T148" i="7"/>
  <c r="T39" i="7"/>
  <c r="T149" i="7"/>
  <c r="T21" i="7"/>
  <c r="T60" i="7"/>
  <c r="T143" i="7"/>
  <c r="T127" i="7"/>
  <c r="T119" i="7"/>
  <c r="T96" i="7"/>
  <c r="T133" i="7"/>
  <c r="T78" i="7"/>
  <c r="T137" i="7"/>
  <c r="T110" i="7"/>
  <c r="T86" i="7"/>
  <c r="T102" i="7"/>
  <c r="T112" i="7"/>
  <c r="T92" i="7"/>
  <c r="AB2" i="8" l="1"/>
  <c r="AD4" i="8"/>
  <c r="U150" i="7"/>
  <c r="U128" i="7"/>
  <c r="U122" i="7"/>
  <c r="U100" i="7"/>
  <c r="U125" i="7"/>
  <c r="U83" i="7"/>
  <c r="U69" i="7"/>
  <c r="U16" i="7"/>
  <c r="U48" i="7"/>
  <c r="U146" i="7"/>
  <c r="U113" i="7"/>
  <c r="U43" i="7"/>
  <c r="U124" i="7"/>
  <c r="U94" i="7"/>
  <c r="U108" i="7"/>
  <c r="U79" i="7"/>
  <c r="U117" i="7"/>
  <c r="U60" i="7"/>
  <c r="U74" i="7"/>
  <c r="U119" i="7"/>
  <c r="U92" i="7"/>
  <c r="U129" i="7"/>
  <c r="U34" i="7"/>
  <c r="U25" i="7"/>
  <c r="U72" i="7"/>
  <c r="U91" i="7"/>
  <c r="U84" i="7"/>
  <c r="U5" i="7"/>
  <c r="U42" i="7"/>
  <c r="U106" i="7"/>
  <c r="U133" i="7"/>
  <c r="U73" i="7"/>
  <c r="U96" i="7"/>
  <c r="U55" i="7"/>
  <c r="U4" i="7"/>
  <c r="U32" i="7"/>
  <c r="U19" i="7"/>
  <c r="U112" i="7"/>
  <c r="U78" i="7"/>
  <c r="U93" i="7"/>
  <c r="U77" i="7"/>
  <c r="U136" i="7"/>
  <c r="U64" i="7"/>
  <c r="U50" i="7"/>
  <c r="U24" i="7"/>
  <c r="U99" i="7"/>
  <c r="U7" i="7"/>
  <c r="U135" i="7"/>
  <c r="U33" i="7"/>
  <c r="U82" i="7"/>
  <c r="U46" i="7"/>
  <c r="U68" i="7"/>
  <c r="U45" i="7"/>
  <c r="U37" i="7"/>
  <c r="U145" i="7"/>
  <c r="U131" i="7"/>
  <c r="U51" i="7"/>
  <c r="U47" i="7"/>
  <c r="U142" i="7"/>
  <c r="U111" i="7"/>
  <c r="U126" i="7"/>
  <c r="U57" i="7"/>
  <c r="U105" i="7"/>
  <c r="U89" i="7"/>
  <c r="U90" i="7"/>
  <c r="U144" i="7"/>
  <c r="U44" i="7"/>
  <c r="U139" i="7"/>
  <c r="U35" i="7"/>
  <c r="U31" i="7"/>
  <c r="U52" i="7"/>
  <c r="U29" i="7"/>
  <c r="U20" i="7"/>
  <c r="U65" i="7"/>
  <c r="U62" i="7"/>
  <c r="U67" i="7"/>
  <c r="U109" i="7"/>
  <c r="U39" i="7"/>
  <c r="U81" i="7"/>
  <c r="U13" i="7"/>
  <c r="U130" i="7"/>
  <c r="U147" i="7"/>
  <c r="U12" i="7"/>
  <c r="U148" i="7"/>
  <c r="U97" i="7"/>
  <c r="U85" i="7"/>
  <c r="U14" i="7"/>
  <c r="U11" i="7"/>
  <c r="U58" i="7"/>
  <c r="U23" i="7"/>
  <c r="U6" i="7"/>
  <c r="U71" i="7"/>
  <c r="U8" i="7"/>
  <c r="U49" i="7"/>
  <c r="U103" i="7"/>
  <c r="U116" i="7"/>
  <c r="U88" i="7"/>
  <c r="U80" i="7"/>
  <c r="U102" i="7"/>
  <c r="U127" i="7"/>
  <c r="U121" i="7"/>
  <c r="U118" i="7"/>
  <c r="U36" i="7"/>
  <c r="U134" i="7"/>
  <c r="U66" i="7"/>
  <c r="U110" i="7"/>
  <c r="U95" i="7"/>
  <c r="U137" i="7"/>
  <c r="U15" i="7"/>
  <c r="U56" i="7"/>
  <c r="U75" i="7"/>
  <c r="U30" i="7"/>
  <c r="U138" i="7"/>
  <c r="U59" i="7"/>
  <c r="U22" i="7"/>
  <c r="U123" i="7"/>
  <c r="U38" i="7"/>
  <c r="U70" i="7"/>
  <c r="U104" i="7"/>
  <c r="U140" i="7"/>
  <c r="U143" i="7"/>
  <c r="U21" i="7"/>
  <c r="U120" i="7"/>
  <c r="U53" i="7"/>
  <c r="U10" i="7"/>
  <c r="U98" i="7"/>
  <c r="U86" i="7"/>
  <c r="U61" i="7"/>
  <c r="U149" i="7"/>
  <c r="U76" i="7"/>
  <c r="U9" i="7"/>
  <c r="AD1" i="8"/>
  <c r="AD2" i="8" l="1"/>
  <c r="AF4" i="8"/>
  <c r="AG4" i="8"/>
  <c r="AF1" i="8"/>
  <c r="AF2" i="8" l="1"/>
  <c r="AE4" i="8"/>
  <c r="AE1" i="8"/>
  <c r="T114" i="7"/>
  <c r="T18" i="7"/>
  <c r="T141" i="7"/>
  <c r="T27" i="7"/>
  <c r="T41" i="7"/>
  <c r="T17" i="7"/>
  <c r="T87" i="7"/>
  <c r="T40" i="7"/>
  <c r="T101" i="7"/>
  <c r="T54" i="7"/>
  <c r="T132" i="7"/>
  <c r="T107" i="7"/>
  <c r="T115" i="7"/>
  <c r="T26" i="7"/>
  <c r="T63" i="7"/>
  <c r="T28" i="7"/>
  <c r="AE2" i="8" l="1"/>
  <c r="U27" i="7"/>
  <c r="U18" i="7"/>
  <c r="U132" i="7"/>
  <c r="U54" i="7"/>
  <c r="U101" i="7"/>
  <c r="U26" i="7"/>
  <c r="U107" i="7"/>
  <c r="U41" i="7"/>
  <c r="U141" i="7"/>
  <c r="U114" i="7"/>
  <c r="U28" i="7"/>
  <c r="U63" i="7"/>
  <c r="U40" i="7"/>
  <c r="U87" i="7"/>
  <c r="U17" i="7"/>
  <c r="U115" i="7"/>
</calcChain>
</file>

<file path=xl/comments1.xml><?xml version="1.0" encoding="utf-8"?>
<comments xmlns="http://schemas.openxmlformats.org/spreadsheetml/2006/main">
  <authors>
    <author>AMETRANO FERDINANDO MARIA</author>
  </authors>
  <commentList>
    <comment ref="B12" authorId="0">
      <text>
        <r>
          <rPr>
            <b/>
            <sz val="8"/>
            <color indexed="81"/>
            <rFont val="Tahoma"/>
            <family val="2"/>
          </rPr>
          <t>bond for repring column</t>
        </r>
      </text>
    </comment>
  </commentList>
</comments>
</file>

<file path=xl/comments2.xml><?xml version="1.0" encoding="utf-8"?>
<comments xmlns="http://schemas.openxmlformats.org/spreadsheetml/2006/main">
  <authors>
    <author>AMETRANO FERDINANDO MARIA</author>
  </authors>
  <commentList>
    <comment ref="U1" authorId="0">
      <text>
        <r>
          <rPr>
            <b/>
            <sz val="8"/>
            <color indexed="81"/>
            <rFont val="Tahoma"/>
            <family val="2"/>
          </rPr>
          <t>insert DTSIMI2 / Mx contribution password here</t>
        </r>
      </text>
    </comment>
    <comment ref="X1" authorId="0">
      <text>
        <r>
          <rPr>
            <b/>
            <sz val="8"/>
            <color indexed="81"/>
            <rFont val="Tahoma"/>
            <family val="2"/>
          </rPr>
          <t>insert ION / Bloomberg contribution password here</t>
        </r>
      </text>
    </comment>
  </commentList>
</comments>
</file>

<file path=xl/comments3.xml><?xml version="1.0" encoding="utf-8"?>
<comments xmlns="http://schemas.openxmlformats.org/spreadsheetml/2006/main">
  <authors>
    <author>AMETRANO FERDINANDO MARIA</author>
  </authors>
  <commentList>
    <comment ref="C7" authorId="0">
      <text>
        <r>
          <rPr>
            <sz val="8"/>
            <color indexed="81"/>
            <rFont val="Tahoma"/>
            <family val="2"/>
          </rPr>
          <t>Bond description string. Autogenerated if null</t>
        </r>
      </text>
    </comment>
    <comment ref="C8" authorId="0">
      <text>
        <r>
          <rPr>
            <sz val="8"/>
            <color indexed="81"/>
            <rFont val="Tahoma"/>
            <family val="2"/>
          </rPr>
          <t>bond Currency.</t>
        </r>
      </text>
    </comment>
    <comment ref="C9" authorId="0">
      <text>
        <r>
          <rPr>
            <sz val="8"/>
            <color indexed="81"/>
            <rFont val="Tahoma"/>
            <family val="2"/>
          </rPr>
          <t>settlement days.</t>
        </r>
      </text>
    </comment>
    <comment ref="C10" authorId="0">
      <text>
        <r>
          <rPr>
            <sz val="8"/>
            <color indexed="81"/>
            <rFont val="Tahoma"/>
            <family val="2"/>
          </rPr>
          <t>payment business day convention.</t>
        </r>
      </text>
    </comment>
    <comment ref="C11" authorId="0">
      <text>
        <r>
          <rPr>
            <sz val="8"/>
            <color indexed="81"/>
            <rFont val="Tahoma"/>
            <family val="2"/>
          </rPr>
          <t>Face nominal amount.</t>
        </r>
      </text>
    </comment>
    <comment ref="C13" authorId="0">
      <text>
        <r>
          <rPr>
            <sz val="8"/>
            <color indexed="81"/>
            <rFont val="Tahoma"/>
            <family val="2"/>
          </rPr>
          <t>fixing days (e.g. 2).</t>
        </r>
      </text>
    </comment>
    <comment ref="C14" authorId="0">
      <text>
        <r>
          <rPr>
            <sz val="8"/>
            <color indexed="81"/>
            <rFont val="Tahoma"/>
            <family val="2"/>
          </rPr>
          <t>TRUE if the fixing is in arrears.</t>
        </r>
      </text>
    </comment>
    <comment ref="C15" authorId="0">
      <text>
        <r>
          <rPr>
            <sz val="8"/>
            <color indexed="81"/>
            <rFont val="Tahoma"/>
            <family val="2"/>
          </rPr>
          <t>Payment DayCounter ID.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floating rate index.</t>
        </r>
      </text>
    </comment>
    <comment ref="C18" authorId="0">
      <text>
        <r>
          <rPr>
            <sz val="8"/>
            <color indexed="81"/>
            <rFont val="Tahoma"/>
            <family val="2"/>
          </rPr>
          <t>Redemption value.</t>
        </r>
      </text>
    </comment>
  </commentList>
</comments>
</file>

<file path=xl/sharedStrings.xml><?xml version="1.0" encoding="utf-8"?>
<sst xmlns="http://schemas.openxmlformats.org/spreadsheetml/2006/main" count="695" uniqueCount="549">
  <si>
    <t>BID</t>
  </si>
  <si>
    <t>ASK</t>
  </si>
  <si>
    <t>DESCRIZIONE</t>
  </si>
  <si>
    <t>Maturity Date</t>
  </si>
  <si>
    <t>Coupon</t>
  </si>
  <si>
    <t>Redemption</t>
  </si>
  <si>
    <t>yield</t>
  </si>
  <si>
    <t>o/w</t>
  </si>
  <si>
    <t>zc price</t>
  </si>
  <si>
    <t>eff zc price</t>
  </si>
  <si>
    <t>eff yield</t>
  </si>
  <si>
    <t>zero bond</t>
  </si>
  <si>
    <t>Bond Helpers</t>
  </si>
  <si>
    <t>Compounded</t>
  </si>
  <si>
    <t>YieldFrequency</t>
  </si>
  <si>
    <t>YieldCompounding</t>
  </si>
  <si>
    <t>YieldDayCounter</t>
  </si>
  <si>
    <t>Trigger</t>
  </si>
  <si>
    <t>Curve Repricing</t>
  </si>
  <si>
    <t>Used Price</t>
  </si>
  <si>
    <t>AswIndex</t>
  </si>
  <si>
    <t>Euribor6M</t>
  </si>
  <si>
    <t>ParAsw</t>
  </si>
  <si>
    <t>DiscountingCurve</t>
  </si>
  <si>
    <t>Bid Ask Spread</t>
  </si>
  <si>
    <t>Error Check</t>
  </si>
  <si>
    <t>Price</t>
  </si>
  <si>
    <t>Discount Factor</t>
  </si>
  <si>
    <t>DESCRIPTION</t>
  </si>
  <si>
    <t>IT0001247136</t>
  </si>
  <si>
    <t>IT0001247144</t>
  </si>
  <si>
    <t>IT0001247151</t>
  </si>
  <si>
    <t>IT0003246318</t>
  </si>
  <si>
    <t>IT0001247177</t>
  </si>
  <si>
    <t>IT0001247185</t>
  </si>
  <si>
    <t>IT0001247219</t>
  </si>
  <si>
    <t>IT0001247227</t>
  </si>
  <si>
    <t>IT0001247235</t>
  </si>
  <si>
    <t>IT0003268585</t>
  </si>
  <si>
    <t>IT0001247243</t>
  </si>
  <si>
    <t>IT0001247250</t>
  </si>
  <si>
    <t>IT0003268635</t>
  </si>
  <si>
    <t>IT0001247268</t>
  </si>
  <si>
    <t>IT0003268676</t>
  </si>
  <si>
    <t>IT0001247276</t>
  </si>
  <si>
    <t>IT0001247284</t>
  </si>
  <si>
    <t>IT0003268726</t>
  </si>
  <si>
    <t>IT0001247292</t>
  </si>
  <si>
    <t>IT0003268742</t>
  </si>
  <si>
    <t>IT0003268775</t>
  </si>
  <si>
    <t>IT0001247318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</si>
  <si>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</si>
  <si>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</si>
  <si>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</si>
  <si>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</si>
  <si>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</si>
  <si>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</si>
  <si>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</si>
  <si>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</si>
  <si>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</si>
  <si>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</si>
  <si>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</si>
  <si>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IT0003268874</t>
  </si>
  <si>
    <t>IT0001247391</t>
  </si>
  <si>
    <t>IT0003268882</t>
  </si>
  <si>
    <t>IT0003268890</t>
  </si>
  <si>
    <t>IT0001312781</t>
  </si>
  <si>
    <t>IT0003268908</t>
  </si>
  <si>
    <t>IT0001312799</t>
  </si>
  <si>
    <t>IT0003268924</t>
  </si>
  <si>
    <t>IT0001312807</t>
  </si>
  <si>
    <t>IT0003268932</t>
  </si>
  <si>
    <t>IT0003268957</t>
  </si>
  <si>
    <t>IT0001464194</t>
  </si>
  <si>
    <t>IT0003268973</t>
  </si>
  <si>
    <t>IT0001464202</t>
  </si>
  <si>
    <t>IT0003268999</t>
  </si>
  <si>
    <t>IT0003269013</t>
  </si>
  <si>
    <t>IT0003269021</t>
  </si>
  <si>
    <t>IT0003269039</t>
  </si>
  <si>
    <t>IT0003540389</t>
  </si>
  <si>
    <t>IT0003540397</t>
  </si>
  <si>
    <t>IT0004002819</t>
  </si>
  <si>
    <t>IT0004002827</t>
  </si>
  <si>
    <t>IT0004002835</t>
  </si>
  <si>
    <t>IT0004002843</t>
  </si>
  <si>
    <t>IT0004288590</t>
  </si>
  <si>
    <t>IT0004288608</t>
  </si>
  <si>
    <t>IT0004288616</t>
  </si>
  <si>
    <t>IT0004288624</t>
  </si>
  <si>
    <t>MATURITY</t>
  </si>
  <si>
    <t>Discount</t>
  </si>
  <si>
    <t>MonotonicLogCubicNaturalSpline</t>
  </si>
  <si>
    <t>YieldCurveTraits</t>
  </si>
  <si>
    <t>YieldCurveInterpolation</t>
  </si>
  <si>
    <t>dirty price</t>
  </si>
  <si>
    <t>eff dirty price</t>
  </si>
  <si>
    <t>BondSettlementDate</t>
  </si>
  <si>
    <t>BTP Quote</t>
  </si>
  <si>
    <t>BTP Set Value</t>
  </si>
  <si>
    <t>Helper Quote</t>
  </si>
  <si>
    <t>BTP ISIN</t>
  </si>
  <si>
    <t>EvaluationDate</t>
  </si>
  <si>
    <t>Bond for BondHelper</t>
  </si>
  <si>
    <t>Bond for repricing</t>
  </si>
  <si>
    <t>BtpCurve</t>
  </si>
  <si>
    <t>Effective Filter</t>
  </si>
  <si>
    <t>Include</t>
  </si>
  <si>
    <t>ReferenceBond</t>
  </si>
  <si>
    <t>MID</t>
  </si>
  <si>
    <t>IgnoreResiduePremium</t>
  </si>
  <si>
    <t>Accrued Amount</t>
  </si>
  <si>
    <t>Exclude March, September</t>
  </si>
  <si>
    <t>IT0004957756</t>
  </si>
  <si>
    <t>BTPSS 0 09/01/14</t>
  </si>
  <si>
    <t>STRIP.IT0004957756</t>
  </si>
  <si>
    <t>IT0004957764</t>
  </si>
  <si>
    <t>BTPSS 0 03/01/15</t>
  </si>
  <si>
    <t>STRIP.IT0004957764</t>
  </si>
  <si>
    <t>IT0004957772</t>
  </si>
  <si>
    <t>BTPSS 0 09/01/15</t>
  </si>
  <si>
    <t>STRIP.IT0004957772</t>
  </si>
  <si>
    <t>IT0004957780</t>
  </si>
  <si>
    <t>BTPSS 0 03/01/16</t>
  </si>
  <si>
    <t>STRIP.IT0004957780</t>
  </si>
  <si>
    <t>IT0004957798</t>
  </si>
  <si>
    <t>BTPSS 0 09/01/16</t>
  </si>
  <si>
    <t>STRIP.IT0004957798</t>
  </si>
  <si>
    <t>IT0004957806</t>
  </si>
  <si>
    <t>BTPSS 0 03/01/17</t>
  </si>
  <si>
    <t>STRIP.IT0004957806</t>
  </si>
  <si>
    <t>IT0004957814</t>
  </si>
  <si>
    <t>BTPSS 0 09/01/17</t>
  </si>
  <si>
    <t>STRIP.IT0004957814</t>
  </si>
  <si>
    <t>IT0004957822</t>
  </si>
  <si>
    <t>BTPSS 0 03/01/18</t>
  </si>
  <si>
    <t>STRIP.IT0004957822</t>
  </si>
  <si>
    <t>IT0004957830</t>
  </si>
  <si>
    <t>BTPSS 0 09/01/18</t>
  </si>
  <si>
    <t>STRIP.IT0004957830</t>
  </si>
  <si>
    <t>IT0004957848</t>
  </si>
  <si>
    <t>BTPSS 0 03/01/19</t>
  </si>
  <si>
    <t>STRIP.IT0004957848</t>
  </si>
  <si>
    <t>IT0004957855</t>
  </si>
  <si>
    <t>BTPSS 0 09/01/19</t>
  </si>
  <si>
    <t>STRIP.IT0004957855</t>
  </si>
  <si>
    <t>IT0004957863</t>
  </si>
  <si>
    <t>BTPSS 0 03/01/20</t>
  </si>
  <si>
    <t>STRIP.IT0004957863</t>
  </si>
  <si>
    <t>IT0004957871</t>
  </si>
  <si>
    <t>BTPSS 0 09/01/20</t>
  </si>
  <si>
    <t>STRIP.IT0004957871</t>
  </si>
  <si>
    <t>IT0004957889</t>
  </si>
  <si>
    <t>BTPSS 0 03/01/21</t>
  </si>
  <si>
    <t>STRIP.IT0004957889</t>
  </si>
  <si>
    <t>IT0004957897</t>
  </si>
  <si>
    <t>BTPSS 0 09/01/21</t>
  </si>
  <si>
    <t>STRIP.IT0004957897</t>
  </si>
  <si>
    <t>IT0004957905</t>
  </si>
  <si>
    <t>BTPSS 0 03/01/22</t>
  </si>
  <si>
    <t>STRIP.IT0004957905</t>
  </si>
  <si>
    <t>IT0004957913</t>
  </si>
  <si>
    <t>BTPSS 0 09/01/22</t>
  </si>
  <si>
    <t>STRIP.IT0004957913</t>
  </si>
  <si>
    <t>IT0004957921</t>
  </si>
  <si>
    <t>BTPSS 0 03/01/23</t>
  </si>
  <si>
    <t>STRIP.IT0004957921</t>
  </si>
  <si>
    <t>IT0004957939</t>
  </si>
  <si>
    <t>BTPSS 0 09/01/23</t>
  </si>
  <si>
    <t>STRIP.IT0004957939</t>
  </si>
  <si>
    <t>IT0004957947</t>
  </si>
  <si>
    <t>BTPSH 0 03/01/24</t>
  </si>
  <si>
    <t>STRIP.IT0004957947</t>
  </si>
  <si>
    <t>IT0004976442</t>
  </si>
  <si>
    <t>BTPSS 0 09/01/24</t>
  </si>
  <si>
    <t>STRIP.IT0004976442</t>
  </si>
  <si>
    <t>IT0004976459</t>
  </si>
  <si>
    <t>BTPSS 0 03/01/25</t>
  </si>
  <si>
    <t>STRIP.IT0004976459</t>
  </si>
  <si>
    <t>IT0004976467</t>
  </si>
  <si>
    <t>BTPSS 0 09/01/25</t>
  </si>
  <si>
    <t>STRIP.IT0004976467</t>
  </si>
  <si>
    <t>IT0004976475</t>
  </si>
  <si>
    <t>BTPSS 0 03/01/26</t>
  </si>
  <si>
    <t>STRIP.IT0004976475</t>
  </si>
  <si>
    <t>IT0004976483</t>
  </si>
  <si>
    <t>BTPSS 0 09/01/26</t>
  </si>
  <si>
    <t>STRIP.IT0004976483</t>
  </si>
  <si>
    <t>IT0004976491</t>
  </si>
  <si>
    <t>BTPSS 0 03/01/27</t>
  </si>
  <si>
    <t>STRIP.IT0004976491</t>
  </si>
  <si>
    <t>IT0004976509</t>
  </si>
  <si>
    <t>BTPSS 0 09/01/27</t>
  </si>
  <si>
    <t>STRIP.IT0004976509</t>
  </si>
  <si>
    <t>IT0004976517</t>
  </si>
  <si>
    <t>BTPSS 0 03/01/28</t>
  </si>
  <si>
    <t>STRIP.IT0004976517</t>
  </si>
  <si>
    <t>IT0004976525</t>
  </si>
  <si>
    <t>BTPSH 0 09/01/28</t>
  </si>
  <si>
    <t>STRIP.IT0004976525</t>
  </si>
  <si>
    <t>IT0004976533</t>
  </si>
  <si>
    <t>BTPSS 0 03/01/29</t>
  </si>
  <si>
    <t>STRIP.IT0004976533</t>
  </si>
  <si>
    <t>IT0004976541</t>
  </si>
  <si>
    <t>BTPSS 0 09/01/29</t>
  </si>
  <si>
    <t>STRIP.IT0004976541</t>
  </si>
  <si>
    <t>IT0004976558</t>
  </si>
  <si>
    <t>BTPSS 0 03/01/30</t>
  </si>
  <si>
    <t>STRIP.IT0004976558</t>
  </si>
  <si>
    <t>IT0004976566</t>
  </si>
  <si>
    <t>BTPSS 0 09/01/30</t>
  </si>
  <si>
    <t>STRIP.IT0004976566</t>
  </si>
  <si>
    <t>IT0004976574</t>
  </si>
  <si>
    <t>BTPSS 0 03/01/31</t>
  </si>
  <si>
    <t>STRIP.IT0004976574</t>
  </si>
  <si>
    <t>IT0004976582</t>
  </si>
  <si>
    <t>BTPSS 0 09/01/31</t>
  </si>
  <si>
    <t>STRIP.IT0004976582</t>
  </si>
  <si>
    <t>IT0004976590</t>
  </si>
  <si>
    <t>BTPSS 0 03/01/32</t>
  </si>
  <si>
    <t>STRIP.IT0004976590</t>
  </si>
  <si>
    <t>IT0004976608</t>
  </si>
  <si>
    <t>BTPSS 0 09/01/32</t>
  </si>
  <si>
    <t>STRIP.IT0004976608</t>
  </si>
  <si>
    <t>IT0004976616</t>
  </si>
  <si>
    <t>BTPSS 0 03/01/33</t>
  </si>
  <si>
    <t>STRIP.IT0004976616</t>
  </si>
  <si>
    <t>IT0004976624</t>
  </si>
  <si>
    <t>BTPSS 0 09/01/33</t>
  </si>
  <si>
    <t>STRIP.IT0004976624</t>
  </si>
  <si>
    <t>IT0004976632</t>
  </si>
  <si>
    <t>BTPSS 0 03/01/34</t>
  </si>
  <si>
    <t>STRIP.IT0004976632</t>
  </si>
  <si>
    <t>IT0004976640</t>
  </si>
  <si>
    <t>BTPSS 0 09/01/34</t>
  </si>
  <si>
    <t>STRIP.IT0004976640</t>
  </si>
  <si>
    <t>IT0004976657</t>
  </si>
  <si>
    <t>BTPSS 0 03/01/35</t>
  </si>
  <si>
    <t>STRIP.IT0004976657</t>
  </si>
  <si>
    <t>IT0004976665</t>
  </si>
  <si>
    <t>BTPSS 0 09/01/35</t>
  </si>
  <si>
    <t>STRIP.IT0004976665</t>
  </si>
  <si>
    <t>IT0004976673</t>
  </si>
  <si>
    <t>BTPSS 0 03/01/36</t>
  </si>
  <si>
    <t>STRIP.IT0004976673</t>
  </si>
  <si>
    <t>IT0004976681</t>
  </si>
  <si>
    <t>BTPSS 0 09/01/36</t>
  </si>
  <si>
    <t>STRIP.IT0004976681</t>
  </si>
  <si>
    <t>IT0004976699</t>
  </si>
  <si>
    <t>BTPSS 0 03/01/37</t>
  </si>
  <si>
    <t>STRIP.IT0004976699</t>
  </si>
  <si>
    <t>IT0004976707</t>
  </si>
  <si>
    <t>BTPSS 0 09/01/37</t>
  </si>
  <si>
    <t>STRIP.IT0004976707</t>
  </si>
  <si>
    <t>IT0004976715</t>
  </si>
  <si>
    <t>BTPSS 0 03/01/38</t>
  </si>
  <si>
    <t>STRIP.IT0004976715</t>
  </si>
  <si>
    <t>IT0004976723</t>
  </si>
  <si>
    <t>BTPSS 0 09/01/38</t>
  </si>
  <si>
    <t>STRIP.IT0004976723</t>
  </si>
  <si>
    <t>IT0004976731</t>
  </si>
  <si>
    <t>BTPSS 0 03/01/39</t>
  </si>
  <si>
    <t>STRIP.IT0004976731</t>
  </si>
  <si>
    <t>IT0004976749</t>
  </si>
  <si>
    <t>BTPSS 0 09/01/39</t>
  </si>
  <si>
    <t>STRIP.IT0004976749</t>
  </si>
  <si>
    <t>IT0004976756</t>
  </si>
  <si>
    <t>BTPSS 0 03/01/40</t>
  </si>
  <si>
    <t>STRIP.IT0004976756</t>
  </si>
  <si>
    <t>IT0004976764</t>
  </si>
  <si>
    <t>BTPSS 0 09/01/40</t>
  </si>
  <si>
    <t>STRIP.IT0004976764</t>
  </si>
  <si>
    <t>IT0004976772</t>
  </si>
  <si>
    <t>BTPSS 0 03/01/41</t>
  </si>
  <si>
    <t>STRIP.IT0004976772</t>
  </si>
  <si>
    <t>IT0004976780</t>
  </si>
  <si>
    <t>BTPSS 0 09/01/41</t>
  </si>
  <si>
    <t>STRIP.IT0004976780</t>
  </si>
  <si>
    <t>IT0004976798</t>
  </si>
  <si>
    <t>BTPSS 0 03/01/42</t>
  </si>
  <si>
    <t>STRIP.IT0004976798</t>
  </si>
  <si>
    <t>IT0004976806</t>
  </si>
  <si>
    <t>BTPSS 0 09/01/42</t>
  </si>
  <si>
    <t>STRIP.IT0004976806</t>
  </si>
  <si>
    <t>IT0004976814</t>
  </si>
  <si>
    <t>BTPSS 0 03/01/43</t>
  </si>
  <si>
    <t>STRIP.IT0004976814</t>
  </si>
  <si>
    <t>IT0004976822</t>
  </si>
  <si>
    <t>BTPSS 0 09/01/43</t>
  </si>
  <si>
    <t>STRIP.IT0004976822</t>
  </si>
  <si>
    <t>IT0004976830</t>
  </si>
  <si>
    <t>BTPSS 0 03/01/44</t>
  </si>
  <si>
    <t>STRIP.IT0004976830</t>
  </si>
  <si>
    <t>IT0004976848</t>
  </si>
  <si>
    <t>BTPSH 0 09/01/44</t>
  </si>
  <si>
    <t>STRIP.IT0004976848</t>
  </si>
  <si>
    <t>BTPSS 0 05/01/14</t>
  </si>
  <si>
    <t>STRIP.IT0001247136</t>
  </si>
  <si>
    <t>IT0004848609</t>
  </si>
  <si>
    <t>BTPSH 0 08/01/14</t>
  </si>
  <si>
    <t>STRIP.IT0004848609</t>
  </si>
  <si>
    <t>BTPSS 0 11/01/14</t>
  </si>
  <si>
    <t>STRIP.IT0001247144</t>
  </si>
  <si>
    <t>IT0004848625</t>
  </si>
  <si>
    <t>BTPSH 0 02/01/15</t>
  </si>
  <si>
    <t>STRIP.IT0004848625</t>
  </si>
  <si>
    <t>BTPSS 0 05/01/15</t>
  </si>
  <si>
    <t>STRIP.IT0001247151</t>
  </si>
  <si>
    <t>IT0004848633</t>
  </si>
  <si>
    <t>BTPSH 0 08/01/15</t>
  </si>
  <si>
    <t>STRIP.IT0004848633</t>
  </si>
  <si>
    <t>IT0004871353</t>
  </si>
  <si>
    <t>BTPSH 0 11/01/15</t>
  </si>
  <si>
    <t>STRIP.IT0004871353</t>
  </si>
  <si>
    <t>BTPSS 0 02/01/16</t>
  </si>
  <si>
    <t>STRIP.IT0003246318</t>
  </si>
  <si>
    <t>BTPSS 0 05/01/16</t>
  </si>
  <si>
    <t>STRIP.IT0001247177</t>
  </si>
  <si>
    <t>IT0004848666</t>
  </si>
  <si>
    <t>BTPSH 0 08/01/16</t>
  </si>
  <si>
    <t>STRIP.IT0004848666</t>
  </si>
  <si>
    <t>BTPSS 0 11/01/16</t>
  </si>
  <si>
    <t>STRIP.IT0001247185</t>
  </si>
  <si>
    <t>IT0004848674</t>
  </si>
  <si>
    <t>BTPSH 0 02/01/17</t>
  </si>
  <si>
    <t>STRIP.IT0004848674</t>
  </si>
  <si>
    <t>IT0004848807</t>
  </si>
  <si>
    <t>BTPSH 0 05/01/17</t>
  </si>
  <si>
    <t>STRIP.IT0004848807</t>
  </si>
  <si>
    <t>IT0004848500</t>
  </si>
  <si>
    <t>BTPSH 0 08/01/17</t>
  </si>
  <si>
    <t>STRIP.IT0004848500</t>
  </si>
  <si>
    <t>IT0004869316</t>
  </si>
  <si>
    <t>BTPSH 0 11/01/17</t>
  </si>
  <si>
    <t>STRIP.IT0004869316</t>
  </si>
  <si>
    <t>IT0004848682</t>
  </si>
  <si>
    <t>BTPSH 0 02/01/18</t>
  </si>
  <si>
    <t>STRIP.IT0004848682</t>
  </si>
  <si>
    <t>BTPSS 0 05/01/18</t>
  </si>
  <si>
    <t>STRIP.IT0001247219</t>
  </si>
  <si>
    <t>IT0004848716</t>
  </si>
  <si>
    <t>BTPSH 0 08/01/18</t>
  </si>
  <si>
    <t>STRIP.IT0004848716</t>
  </si>
  <si>
    <t>BTPSS 0 11/01/18</t>
  </si>
  <si>
    <t>STRIP.IT0001247227</t>
  </si>
  <si>
    <t>IT0004848583</t>
  </si>
  <si>
    <t>BTPSH 0 02/01/19</t>
  </si>
  <si>
    <t>STRIP.IT0004848583</t>
  </si>
  <si>
    <t>BTPSS 0 05/01/19</t>
  </si>
  <si>
    <t>STRIP.IT0001247235</t>
  </si>
  <si>
    <t>BTPSS 0 08/01/19</t>
  </si>
  <si>
    <t>STRIP.IT0003268585</t>
  </si>
  <si>
    <t>BTPSS 0 11/01/19</t>
  </si>
  <si>
    <t>STRIP.IT0001247243</t>
  </si>
  <si>
    <t>IT0004848617</t>
  </si>
  <si>
    <t>BTPSH 0 02/01/20</t>
  </si>
  <si>
    <t>STRIP.IT0004848617</t>
  </si>
  <si>
    <t>BTPSS 0 05/01/20</t>
  </si>
  <si>
    <t>STRIP.IT0001247250</t>
  </si>
  <si>
    <t>BTPSS 0 08/01/20</t>
  </si>
  <si>
    <t>STRIP.IT0003268635</t>
  </si>
  <si>
    <t>BTPSS 0 11/01/20</t>
  </si>
  <si>
    <t>STRIP.IT0001247268</t>
  </si>
  <si>
    <t>BTPSS 0 02/01/21</t>
  </si>
  <si>
    <t>STRIP.IT0003268676</t>
  </si>
  <si>
    <t>BTPSS 0 05/01/21</t>
  </si>
  <si>
    <t>STRIP.IT0001247276</t>
  </si>
  <si>
    <t>IT0004848658</t>
  </si>
  <si>
    <t>BTPSH 0 08/01/21</t>
  </si>
  <si>
    <t>STRIP.IT0004848658</t>
  </si>
  <si>
    <t>BTPSS 0 11/01/21</t>
  </si>
  <si>
    <t>STRIP.IT0001247284</t>
  </si>
  <si>
    <t>BTPSS 0 02/01/22</t>
  </si>
  <si>
    <t>STRIP.IT0003268726</t>
  </si>
  <si>
    <t>BTPSS 0 05/01/22</t>
  </si>
  <si>
    <t>STRIP.IT0001247292</t>
  </si>
  <si>
    <t>BTPSS 0 08/01/22</t>
  </si>
  <si>
    <t>STRIP.IT0003268742</t>
  </si>
  <si>
    <t>IT0004869324</t>
  </si>
  <si>
    <t>BTPSH 0 11/01/22</t>
  </si>
  <si>
    <t>STRIP.IT0004869324</t>
  </si>
  <si>
    <t>BTPSS 0 02/01/23</t>
  </si>
  <si>
    <t>STRIP.IT0003268775</t>
  </si>
  <si>
    <t>BTPSS 0 05/01/23</t>
  </si>
  <si>
    <t>STRIP.IT0001247318</t>
  </si>
  <si>
    <t>IT0004848708</t>
  </si>
  <si>
    <t>BTPSH 0 08/01/23</t>
  </si>
  <si>
    <t>STRIP.IT0004848708</t>
  </si>
  <si>
    <t>IT0004848435</t>
  </si>
  <si>
    <t>BTPSH 0 11/01/23</t>
  </si>
  <si>
    <t>STRIP.IT0004848435</t>
  </si>
  <si>
    <t>BTPSS 0 02/01/24</t>
  </si>
  <si>
    <t>STRIP.IT0003268809</t>
  </si>
  <si>
    <t>BTPSS 0 05/01/24</t>
  </si>
  <si>
    <t>STRIP.IT0001247334</t>
  </si>
  <si>
    <t>BTPSS 0 08/01/24</t>
  </si>
  <si>
    <t>STRIP.IT0003268817</t>
  </si>
  <si>
    <t>BTPSS 0 11/01/24</t>
  </si>
  <si>
    <t>STRIP.IT0001247342</t>
  </si>
  <si>
    <t>BTPSS 0 02/01/25</t>
  </si>
  <si>
    <t>STRIP.IT0003268825</t>
  </si>
  <si>
    <t>BTPSS 0 05/01/25</t>
  </si>
  <si>
    <t>STRIP.IT0001247359</t>
  </si>
  <si>
    <t>BTPSS 0 08/01/25</t>
  </si>
  <si>
    <t>STRIP.IT0003268833</t>
  </si>
  <si>
    <t>BTPSS 0 11/01/25</t>
  </si>
  <si>
    <t>STRIP.IT0001247367</t>
  </si>
  <si>
    <t>BTPSS 0 02/01/26</t>
  </si>
  <si>
    <t>STRIP.IT0003268841</t>
  </si>
  <si>
    <t>BTPSS 0 05/01/26</t>
  </si>
  <si>
    <t>STRIP.IT0001247375</t>
  </si>
  <si>
    <t>BTPSS 0 08/01/26</t>
  </si>
  <si>
    <t>STRIP.IT0003268858</t>
  </si>
  <si>
    <t>IT0004848443</t>
  </si>
  <si>
    <t>BTPSH 0 11/01/26</t>
  </si>
  <si>
    <t>STRIP.IT0004848443</t>
  </si>
  <si>
    <t>BTPSS 0 02/01/27</t>
  </si>
  <si>
    <t>STRIP.IT0003268874</t>
  </si>
  <si>
    <t>BTPSS 0 05/01/27</t>
  </si>
  <si>
    <t>STRIP.IT0001247391</t>
  </si>
  <si>
    <t>BTPSS 0 08/01/27</t>
  </si>
  <si>
    <t>STRIP.IT0003268882</t>
  </si>
  <si>
    <t>IT0004848476</t>
  </si>
  <si>
    <t>BTPSH 0 11/01/27</t>
  </si>
  <si>
    <t>STRIP.IT0004848476</t>
  </si>
  <si>
    <t>BTPSS 0 02/01/28</t>
  </si>
  <si>
    <t>STRIP.IT0003268890</t>
  </si>
  <si>
    <t>BTPSS 0 05/01/28</t>
  </si>
  <si>
    <t>STRIP.IT0001312781</t>
  </si>
  <si>
    <t>BTPSS 0 08/01/28</t>
  </si>
  <si>
    <t>STRIP.IT0003268908</t>
  </si>
  <si>
    <t>BTPSS 0 11/01/28</t>
  </si>
  <si>
    <t>STRIP.IT0001312799</t>
  </si>
  <si>
    <t>BTPSS 0 02/01/29</t>
  </si>
  <si>
    <t>STRIP.IT0003268924</t>
  </si>
  <si>
    <t>BTPSS 0 05/01/29</t>
  </si>
  <si>
    <t>STRIP.IT0001312807</t>
  </si>
  <si>
    <t>BTPSS 0 08/01/29</t>
  </si>
  <si>
    <t>STRIP.IT0003268932</t>
  </si>
  <si>
    <t>IT0004848484</t>
  </si>
  <si>
    <t>BTPSH 0 11/01/29</t>
  </si>
  <si>
    <t>STRIP.IT0004848484</t>
  </si>
  <si>
    <t>BTPSS 0 02/01/30</t>
  </si>
  <si>
    <t>STRIP.IT0003268957</t>
  </si>
  <si>
    <t>BTPSS 0 05/01/30</t>
  </si>
  <si>
    <t>STRIP.IT0001464194</t>
  </si>
  <si>
    <t>BTPSS 0 08/01/30</t>
  </si>
  <si>
    <t>STRIP.IT0003268973</t>
  </si>
  <si>
    <t>BTPSS 0 11/01/30</t>
  </si>
  <si>
    <t>STRIP.IT0001464202</t>
  </si>
  <si>
    <t>BTPSS 0 02/01/31</t>
  </si>
  <si>
    <t>STRIP.IT0003268999</t>
  </si>
  <si>
    <t>IT0004848492</t>
  </si>
  <si>
    <t>BTPSH 0 05/01/31</t>
  </si>
  <si>
    <t>STRIP.IT0004848492</t>
  </si>
  <si>
    <t>BTPSS 0 08/01/31</t>
  </si>
  <si>
    <t>STRIP.IT0003269013</t>
  </si>
  <si>
    <t>BTPSS 0 02/01/32</t>
  </si>
  <si>
    <t>STRIP.IT0003269021</t>
  </si>
  <si>
    <t>BTPSS 0 08/01/32</t>
  </si>
  <si>
    <t>STRIP.IT0003269039</t>
  </si>
  <si>
    <t>IT0004848534</t>
  </si>
  <si>
    <t>BTPSH 0 02/01/33</t>
  </si>
  <si>
    <t>STRIP.IT0004848534</t>
  </si>
  <si>
    <t>BTPSS 0 08/01/33</t>
  </si>
  <si>
    <t>STRIP.IT0003540389</t>
  </si>
  <si>
    <t>BTPSS 0 02/01/34</t>
  </si>
  <si>
    <t>STRIP.IT0003540397</t>
  </si>
  <si>
    <t>IT0004848591</t>
  </si>
  <si>
    <t>BTPSH 0 08/01/34</t>
  </si>
  <si>
    <t>STRIP.IT0004848591</t>
  </si>
  <si>
    <t>BTPSS 0 02/01/35</t>
  </si>
  <si>
    <t>STRIP.IT0004002819</t>
  </si>
  <si>
    <t>BTPSS 0 08/01/35</t>
  </si>
  <si>
    <t>STRIP.IT0004002827</t>
  </si>
  <si>
    <t>BTPSS 0 02/01/36</t>
  </si>
  <si>
    <t>STRIP.IT0004002835</t>
  </si>
  <si>
    <t>BTPSS 0 08/01/36</t>
  </si>
  <si>
    <t>STRIP.IT0004002843</t>
  </si>
  <si>
    <t>IT0004848641</t>
  </si>
  <si>
    <t>BTPSH 0 02/01/37</t>
  </si>
  <si>
    <t>STRIP.IT0004848641</t>
  </si>
  <si>
    <t>BTPSS 0 08/01/37</t>
  </si>
  <si>
    <t>STRIP.IT0004288590</t>
  </si>
  <si>
    <t>BTPSS 0 02/01/38</t>
  </si>
  <si>
    <t>STRIP.IT0004288608</t>
  </si>
  <si>
    <t>BTPSS 0 08/01/38</t>
  </si>
  <si>
    <t>STRIP.IT0004288616</t>
  </si>
  <si>
    <t>BTPSS 0 02/01/39</t>
  </si>
  <si>
    <t>STRIP.IT0004288624</t>
  </si>
  <si>
    <t>IT0004848690</t>
  </si>
  <si>
    <t>BTPSH 0 08/01/39</t>
  </si>
  <si>
    <t>STRIP.IT0004848690</t>
  </si>
  <si>
    <t>Bid</t>
  </si>
  <si>
    <t>Ask</t>
  </si>
  <si>
    <t>Spread</t>
  </si>
  <si>
    <t>DTSIMI2</t>
  </si>
  <si>
    <t>Mx</t>
  </si>
  <si>
    <t>ISIN</t>
  </si>
  <si>
    <t>EUR.PRICING.XLS_STRIPS.</t>
  </si>
  <si>
    <t>BIDYIELD</t>
  </si>
  <si>
    <t>BID BOND</t>
  </si>
  <si>
    <t>MIDYIELD</t>
  </si>
  <si>
    <t>MID BOND</t>
  </si>
  <si>
    <t>ASKYIELD</t>
  </si>
  <si>
    <t>ASK BOND</t>
  </si>
  <si>
    <t>DV01</t>
  </si>
  <si>
    <t>Modified</t>
  </si>
  <si>
    <t>Duration</t>
  </si>
  <si>
    <t>Convexity</t>
  </si>
  <si>
    <t>EUR</t>
  </si>
  <si>
    <t>Following</t>
  </si>
  <si>
    <t>ScheduleID</t>
  </si>
  <si>
    <t>Description</t>
  </si>
  <si>
    <t>Currency</t>
  </si>
  <si>
    <t>SettlementDays</t>
  </si>
  <si>
    <t>PaymentBDC</t>
  </si>
  <si>
    <t>FaceAmount</t>
  </si>
  <si>
    <t>FixingDays</t>
  </si>
  <si>
    <t>IsInArrears</t>
  </si>
  <si>
    <t>DayCounter</t>
  </si>
  <si>
    <t>IborIndex</t>
  </si>
  <si>
    <t>FloatingRateBond</t>
  </si>
  <si>
    <t>Actual/360</t>
  </si>
  <si>
    <t>new CCT</t>
  </si>
  <si>
    <t>RedemptionDate</t>
  </si>
  <si>
    <t>Actual/Actual (ISMA)</t>
  </si>
  <si>
    <t>Annual</t>
  </si>
  <si>
    <t>ION</t>
  </si>
  <si>
    <t>5y</t>
  </si>
  <si>
    <t>EURON</t>
  </si>
  <si>
    <t>abcd</t>
  </si>
  <si>
    <t>The record could not be found</t>
  </si>
  <si>
    <t>rbsm</t>
  </si>
  <si>
    <t>IT0004987191</t>
  </si>
  <si>
    <t>IT0003242747</t>
  </si>
  <si>
    <t>IT0004867070</t>
  </si>
  <si>
    <t>IT0004423957</t>
  </si>
  <si>
    <t>IT0004536949</t>
  </si>
  <si>
    <t>IT0004695075</t>
  </si>
  <si>
    <t>IT0004898034</t>
  </si>
  <si>
    <t>IT0004644735</t>
  </si>
  <si>
    <t>IT0001086567</t>
  </si>
  <si>
    <t>IT0004889033</t>
  </si>
  <si>
    <t>IT0003535157</t>
  </si>
  <si>
    <t>IT0003934657</t>
  </si>
  <si>
    <t>IT0004532559</t>
  </si>
  <si>
    <t>IT0004923998</t>
  </si>
  <si>
    <t>BTP 2044-09-01 4.75%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</si>
</sst>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0.000%"/>
    <numFmt numFmtId="165" formatCode="0.000"/>
    <numFmt numFmtId="166" formatCode="0.0000%"/>
    <numFmt numFmtId="167" formatCode="0.0000"/>
    <numFmt numFmtId="168" formatCode="ddd\,\ d\-mmm\-yyyy"/>
    <numFmt numFmtId="169" formatCode="ddd\,\ dd\-mmm\-yyyy"/>
    <numFmt numFmtId="170" formatCode="0.000000000"/>
    <numFmt numFmtId="171" formatCode="ddd\,\ dd\-mmm\-yyyy\,\ hh:mm:ss"/>
    <numFmt numFmtId="172" formatCode="[$-409]d\-mmm\-yyyy;@"/>
    <numFmt numFmtId="173" formatCode="0.0"/>
    <numFmt numFmtId="17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Courier New"/>
      <family val="3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54">
    <xf numFmtId="0" fontId="0" fillId="0" borderId="0" xfId="0"/>
    <xf numFmtId="165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vertical="center"/>
    </xf>
    <xf numFmtId="165" fontId="3" fillId="0" borderId="0" xfId="1" applyNumberFormat="1" applyFont="1" applyFill="1" applyBorder="1" applyAlignment="1" applyProtection="1">
      <alignment vertical="center"/>
      <protection locked="0"/>
    </xf>
    <xf numFmtId="168" fontId="3" fillId="0" borderId="0" xfId="1" applyNumberFormat="1" applyFont="1" applyFill="1" applyBorder="1" applyAlignment="1">
      <alignment vertical="center"/>
    </xf>
    <xf numFmtId="10" fontId="3" fillId="0" borderId="0" xfId="1" applyNumberFormat="1" applyFont="1" applyFill="1" applyBorder="1" applyAlignment="1">
      <alignment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9" xfId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5" fontId="3" fillId="0" borderId="10" xfId="1" applyNumberFormat="1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165" fontId="3" fillId="0" borderId="9" xfId="1" applyNumberFormat="1" applyFont="1" applyFill="1" applyBorder="1" applyAlignment="1" applyProtection="1">
      <alignment vertical="center"/>
      <protection locked="0"/>
    </xf>
    <xf numFmtId="2" fontId="3" fillId="0" borderId="10" xfId="1" applyNumberFormat="1" applyFont="1" applyFill="1" applyBorder="1" applyAlignment="1" applyProtection="1">
      <alignment vertical="center"/>
    </xf>
    <xf numFmtId="0" fontId="3" fillId="0" borderId="10" xfId="2" applyFont="1" applyFill="1" applyBorder="1" applyAlignment="1">
      <alignment vertical="center"/>
    </xf>
    <xf numFmtId="16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9" fontId="3" fillId="0" borderId="0" xfId="0" applyNumberFormat="1" applyFont="1" applyBorder="1" applyAlignment="1">
      <alignment horizontal="center" vertical="center" wrapText="1"/>
    </xf>
    <xf numFmtId="43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center" vertical="center" wrapText="1"/>
    </xf>
    <xf numFmtId="166" fontId="3" fillId="0" borderId="0" xfId="0" applyNumberFormat="1" applyFont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/>
    <xf numFmtId="164" fontId="3" fillId="0" borderId="0" xfId="3" applyNumberFormat="1" applyFont="1" applyBorder="1"/>
    <xf numFmtId="0" fontId="3" fillId="0" borderId="0" xfId="0" applyFont="1" applyBorder="1"/>
    <xf numFmtId="170" fontId="3" fillId="0" borderId="9" xfId="0" applyNumberFormat="1" applyFont="1" applyBorder="1"/>
    <xf numFmtId="0" fontId="3" fillId="0" borderId="10" xfId="0" applyFont="1" applyBorder="1"/>
    <xf numFmtId="169" fontId="3" fillId="0" borderId="11" xfId="0" applyNumberFormat="1" applyFont="1" applyBorder="1" applyAlignment="1">
      <alignment horizontal="center" vertical="center" wrapText="1"/>
    </xf>
    <xf numFmtId="43" fontId="3" fillId="0" borderId="11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167" fontId="3" fillId="0" borderId="11" xfId="0" applyNumberFormat="1" applyFont="1" applyBorder="1" applyAlignment="1">
      <alignment horizontal="center" vertical="center" wrapText="1"/>
    </xf>
    <xf numFmtId="166" fontId="3" fillId="0" borderId="11" xfId="0" applyNumberFormat="1" applyFont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/>
    <xf numFmtId="164" fontId="3" fillId="0" borderId="11" xfId="3" applyNumberFormat="1" applyFont="1" applyBorder="1"/>
    <xf numFmtId="0" fontId="3" fillId="0" borderId="12" xfId="0" applyFont="1" applyBorder="1"/>
    <xf numFmtId="43" fontId="3" fillId="0" borderId="9" xfId="0" applyNumberFormat="1" applyFont="1" applyBorder="1" applyAlignment="1">
      <alignment horizontal="center" vertical="center" wrapText="1"/>
    </xf>
    <xf numFmtId="43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/>
    <xf numFmtId="0" fontId="3" fillId="0" borderId="15" xfId="0" applyFont="1" applyBorder="1"/>
    <xf numFmtId="165" fontId="3" fillId="0" borderId="15" xfId="0" applyNumberFormat="1" applyFont="1" applyBorder="1"/>
    <xf numFmtId="165" fontId="3" fillId="0" borderId="16" xfId="0" applyNumberFormat="1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165" fontId="3" fillId="0" borderId="13" xfId="0" applyNumberFormat="1" applyFont="1" applyBorder="1"/>
    <xf numFmtId="165" fontId="3" fillId="0" borderId="12" xfId="0" applyNumberFormat="1" applyFont="1" applyBorder="1"/>
    <xf numFmtId="0" fontId="3" fillId="0" borderId="14" xfId="0" applyFont="1" applyBorder="1"/>
    <xf numFmtId="0" fontId="3" fillId="0" borderId="16" xfId="0" applyFont="1" applyBorder="1"/>
    <xf numFmtId="0" fontId="3" fillId="0" borderId="9" xfId="0" applyFont="1" applyBorder="1"/>
    <xf numFmtId="164" fontId="3" fillId="0" borderId="9" xfId="3" applyNumberFormat="1" applyFont="1" applyBorder="1"/>
    <xf numFmtId="164" fontId="3" fillId="0" borderId="10" xfId="3" applyNumberFormat="1" applyFont="1" applyBorder="1"/>
    <xf numFmtId="164" fontId="3" fillId="0" borderId="13" xfId="3" applyNumberFormat="1" applyFont="1" applyBorder="1"/>
    <xf numFmtId="164" fontId="3" fillId="0" borderId="12" xfId="3" applyNumberFormat="1" applyFont="1" applyBorder="1"/>
    <xf numFmtId="165" fontId="3" fillId="3" borderId="0" xfId="0" applyNumberFormat="1" applyFont="1" applyFill="1" applyBorder="1"/>
    <xf numFmtId="0" fontId="3" fillId="0" borderId="9" xfId="0" applyNumberFormat="1" applyFont="1" applyBorder="1"/>
    <xf numFmtId="0" fontId="3" fillId="0" borderId="13" xfId="0" applyNumberFormat="1" applyFont="1" applyBorder="1"/>
    <xf numFmtId="169" fontId="3" fillId="0" borderId="15" xfId="0" applyNumberFormat="1" applyFont="1" applyBorder="1"/>
    <xf numFmtId="43" fontId="3" fillId="0" borderId="15" xfId="0" applyNumberFormat="1" applyFont="1" applyBorder="1"/>
    <xf numFmtId="3" fontId="3" fillId="0" borderId="15" xfId="0" applyNumberFormat="1" applyFont="1" applyBorder="1"/>
    <xf numFmtId="0" fontId="3" fillId="0" borderId="15" xfId="0" applyNumberFormat="1" applyFont="1" applyBorder="1"/>
    <xf numFmtId="167" fontId="3" fillId="0" borderId="15" xfId="0" applyNumberFormat="1" applyFont="1" applyBorder="1"/>
    <xf numFmtId="166" fontId="3" fillId="0" borderId="15" xfId="0" applyNumberFormat="1" applyFont="1" applyBorder="1"/>
    <xf numFmtId="9" fontId="3" fillId="0" borderId="15" xfId="0" applyNumberFormat="1" applyFont="1" applyBorder="1"/>
    <xf numFmtId="165" fontId="3" fillId="3" borderId="9" xfId="0" applyNumberFormat="1" applyFont="1" applyFill="1" applyBorder="1"/>
    <xf numFmtId="0" fontId="3" fillId="0" borderId="0" xfId="0" applyFont="1" applyAlignment="1">
      <alignment horizontal="center"/>
    </xf>
    <xf numFmtId="169" fontId="3" fillId="0" borderId="0" xfId="0" applyNumberFormat="1" applyFont="1" applyBorder="1"/>
    <xf numFmtId="0" fontId="3" fillId="0" borderId="13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0" fontId="3" fillId="0" borderId="6" xfId="0" applyFont="1" applyBorder="1"/>
    <xf numFmtId="165" fontId="3" fillId="0" borderId="0" xfId="0" applyNumberFormat="1" applyFont="1" applyAlignment="1">
      <alignment horizontal="center"/>
    </xf>
    <xf numFmtId="0" fontId="3" fillId="0" borderId="2" xfId="2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171" fontId="3" fillId="0" borderId="16" xfId="0" applyNumberFormat="1" applyFont="1" applyBorder="1"/>
    <xf numFmtId="169" fontId="3" fillId="0" borderId="12" xfId="0" applyNumberFormat="1" applyFont="1" applyBorder="1"/>
    <xf numFmtId="169" fontId="3" fillId="0" borderId="16" xfId="0" applyNumberFormat="1" applyFont="1" applyBorder="1"/>
    <xf numFmtId="0" fontId="3" fillId="0" borderId="8" xfId="0" applyFont="1" applyBorder="1"/>
    <xf numFmtId="170" fontId="3" fillId="0" borderId="18" xfId="1" applyNumberFormat="1" applyFont="1" applyBorder="1" applyAlignment="1">
      <alignment horizontal="center" vertical="center"/>
    </xf>
    <xf numFmtId="0" fontId="3" fillId="0" borderId="19" xfId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72" fontId="3" fillId="0" borderId="0" xfId="0" applyNumberFormat="1" applyFont="1"/>
    <xf numFmtId="167" fontId="3" fillId="0" borderId="0" xfId="0" applyNumberFormat="1" applyFont="1"/>
    <xf numFmtId="0" fontId="3" fillId="0" borderId="17" xfId="0" applyFont="1" applyBorder="1"/>
    <xf numFmtId="10" fontId="3" fillId="0" borderId="0" xfId="0" applyNumberFormat="1" applyFont="1" applyAlignment="1">
      <alignment horizontal="center"/>
    </xf>
    <xf numFmtId="0" fontId="6" fillId="4" borderId="20" xfId="0" applyFont="1" applyFill="1" applyBorder="1" applyAlignment="1">
      <alignment horizontal="right"/>
    </xf>
    <xf numFmtId="0" fontId="6" fillId="4" borderId="21" xfId="0" applyFont="1" applyFill="1" applyBorder="1" applyAlignment="1">
      <alignment horizontal="right"/>
    </xf>
    <xf numFmtId="0" fontId="6" fillId="4" borderId="22" xfId="0" applyFont="1" applyFill="1" applyBorder="1" applyAlignment="1">
      <alignment horizontal="right"/>
    </xf>
    <xf numFmtId="0" fontId="2" fillId="5" borderId="21" xfId="0" applyFont="1" applyFill="1" applyBorder="1" applyAlignment="1">
      <alignment horizontal="center"/>
    </xf>
    <xf numFmtId="3" fontId="2" fillId="5" borderId="21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166" fontId="7" fillId="5" borderId="21" xfId="0" applyNumberFormat="1" applyFont="1" applyFill="1" applyBorder="1" applyAlignment="1">
      <alignment horizontal="center"/>
    </xf>
    <xf numFmtId="2" fontId="3" fillId="0" borderId="0" xfId="0" applyNumberFormat="1" applyFont="1"/>
    <xf numFmtId="173" fontId="3" fillId="0" borderId="0" xfId="0" applyNumberFormat="1" applyFont="1"/>
    <xf numFmtId="2" fontId="3" fillId="7" borderId="14" xfId="0" applyNumberFormat="1" applyFont="1" applyFill="1" applyBorder="1"/>
    <xf numFmtId="2" fontId="3" fillId="7" borderId="9" xfId="0" applyNumberFormat="1" applyFont="1" applyFill="1" applyBorder="1"/>
    <xf numFmtId="0" fontId="3" fillId="7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8" fillId="8" borderId="17" xfId="0" applyFont="1" applyFill="1" applyBorder="1"/>
    <xf numFmtId="2" fontId="3" fillId="7" borderId="16" xfId="0" applyNumberFormat="1" applyFont="1" applyFill="1" applyBorder="1"/>
    <xf numFmtId="2" fontId="3" fillId="7" borderId="10" xfId="0" applyNumberFormat="1" applyFont="1" applyFill="1" applyBorder="1"/>
    <xf numFmtId="2" fontId="3" fillId="7" borderId="12" xfId="0" applyNumberFormat="1" applyFont="1" applyFill="1" applyBorder="1"/>
    <xf numFmtId="0" fontId="3" fillId="8" borderId="15" xfId="0" applyFont="1" applyFill="1" applyBorder="1"/>
    <xf numFmtId="0" fontId="3" fillId="8" borderId="16" xfId="0" applyFont="1" applyFill="1" applyBorder="1"/>
    <xf numFmtId="0" fontId="3" fillId="8" borderId="0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8" borderId="12" xfId="0" applyFont="1" applyFill="1" applyBorder="1"/>
    <xf numFmtId="2" fontId="3" fillId="8" borderId="17" xfId="0" applyNumberFormat="1" applyFont="1" applyFill="1" applyBorder="1"/>
    <xf numFmtId="1" fontId="3" fillId="0" borderId="0" xfId="0" applyNumberFormat="1" applyFont="1" applyBorder="1"/>
    <xf numFmtId="1" fontId="3" fillId="0" borderId="15" xfId="0" applyNumberFormat="1" applyFont="1" applyBorder="1"/>
    <xf numFmtId="173" fontId="3" fillId="0" borderId="16" xfId="0" applyNumberFormat="1" applyFont="1" applyBorder="1"/>
    <xf numFmtId="173" fontId="3" fillId="0" borderId="10" xfId="0" applyNumberFormat="1" applyFont="1" applyBorder="1"/>
    <xf numFmtId="2" fontId="3" fillId="0" borderId="15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0" fontId="3" fillId="7" borderId="15" xfId="0" applyFont="1" applyFill="1" applyBorder="1"/>
    <xf numFmtId="0" fontId="3" fillId="7" borderId="0" xfId="0" applyFont="1" applyFill="1" applyBorder="1"/>
    <xf numFmtId="0" fontId="3" fillId="7" borderId="11" xfId="0" applyFont="1" applyFill="1" applyBorder="1"/>
    <xf numFmtId="0" fontId="3" fillId="7" borderId="15" xfId="0" applyFont="1" applyFill="1" applyBorder="1" applyAlignment="1">
      <alignment horizontal="center" vertical="center"/>
    </xf>
    <xf numFmtId="0" fontId="3" fillId="7" borderId="18" xfId="0" applyFont="1" applyFill="1" applyBorder="1"/>
    <xf numFmtId="0" fontId="3" fillId="7" borderId="23" xfId="0" applyFont="1" applyFill="1" applyBorder="1"/>
    <xf numFmtId="0" fontId="3" fillId="7" borderId="19" xfId="0" applyFont="1" applyFill="1" applyBorder="1"/>
    <xf numFmtId="165" fontId="3" fillId="0" borderId="0" xfId="0" quotePrefix="1" applyNumberFormat="1" applyFont="1"/>
    <xf numFmtId="173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74" fontId="1" fillId="0" borderId="0" xfId="4" applyNumberFormat="1" applyFont="1" applyAlignment="1">
      <alignment vertical="center"/>
    </xf>
    <xf numFmtId="0" fontId="3" fillId="0" borderId="18" xfId="0" applyFont="1" applyBorder="1" applyAlignment="1">
      <alignment horizontal="center" vertical="center"/>
    </xf>
    <xf numFmtId="2" fontId="3" fillId="9" borderId="17" xfId="0" applyNumberFormat="1" applyFont="1" applyFill="1" applyBorder="1"/>
    <xf numFmtId="1" fontId="3" fillId="0" borderId="0" xfId="0" applyNumberFormat="1" applyFont="1"/>
    <xf numFmtId="3" fontId="3" fillId="0" borderId="0" xfId="0" applyNumberFormat="1" applyFont="1"/>
  </cellXfs>
  <cellStyles count="5">
    <cellStyle name="Comma" xfId="4" builtinId="3"/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00"/>
      <rgbColor rgb="00000000"/>
      <rgbColor rgb="00000000"/>
      <rgbColor rgb="00000000"/>
      <rgbColor rgb="00000000"/>
      <rgbColor rgb="00008000"/>
      <rgbColor rgb="00000000"/>
      <rgbColor rgb="00808000"/>
      <rgbColor rgb="00000000"/>
      <rgbColor rgb="00000000"/>
      <rgbColor rgb="00C0C0C0"/>
      <rgbColor rgb="00808080"/>
      <rgbColor rgb="009999FF"/>
      <rgbColor rgb="00000000"/>
      <rgbColor rgb="00FFFFCC"/>
      <rgbColor rgb="0000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86.38</v>
        <stp/>
        <stp>##V3_BDPV12</stp>
        <stp>IT0003268833@rbsm Corp</stp>
        <stp>ask</stp>
        <stp>[BTP Stripping-contributor.xlsx]Contribution!R71C28</stp>
        <tr r="AB71" s="7"/>
      </tp>
      <tp>
        <v>81.894000000000005</v>
        <stp/>
        <stp>##V3_BDPV12</stp>
        <stp>IT0001247391@rbsm Corp</stp>
        <stp>ask</stp>
        <stp>[BTP Stripping-contributor.xlsx]Contribution!R82C28</stp>
        <tr r="AB82" s="7"/>
      </tp>
      <tp>
        <v>99.828000000000003</v>
        <stp/>
        <stp>##V3_BDPV12</stp>
        <stp>IT0004957830@rbsm Corp</stp>
        <stp>ask</stp>
        <stp>[BTP Stripping-contributor.xlsx]Contribution!R30C28</stp>
        <tr r="AB30" s="7"/>
      </tp>
      <tp>
        <v>90.363</v>
        <stp/>
        <stp>##V3_BDPV12</stp>
        <stp>IT0004976442@rbsm Corp</stp>
        <stp>ask</stp>
        <stp>[BTP Stripping-contributor.xlsx]Contribution!R66C28</stp>
        <tr r="AB66" s="7"/>
      </tp>
      <tp>
        <v>87.472999999999999</v>
        <stp/>
        <stp>##V3_BDPV12</stp>
        <stp>IT0001247342@rbsm Corp</stp>
        <stp>bid</stp>
        <stp>[BTP Stripping-contributor.xlsx]Contribution!R67C27</stp>
        <tr r="AA67" s="7"/>
      </tp>
      <tp>
        <v>94.876999999999995</v>
        <stp/>
        <stp>##V3_BDPV12</stp>
        <stp>IT0001247292@rbsm Corp</stp>
        <stp>bid</stp>
        <stp>[BTP Stripping-contributor.xlsx]Contribution!R52C27</stp>
        <tr r="AA52" s="7"/>
      </tp>
      <tp>
        <v>93.206999999999994</v>
        <stp/>
        <stp>##V3_BDPV12</stp>
        <stp>IT0004957913@rbsm Corp</stp>
        <stp>bid</stp>
        <stp>[BTP Stripping-contributor.xlsx]Contribution!R54C27</stp>
        <tr r="AA54" s="7"/>
      </tp>
      <tp>
        <v>98.162999999999997</v>
        <stp/>
        <stp>##V3_BDPV12</stp>
        <stp>IT0004957863@rbsm Corp</stp>
        <stp>bid</stp>
        <stp>[BTP Stripping-contributor.xlsx]Contribution!R39C27</stp>
        <tr r="AA39" s="7"/>
      </tp>
      <tp>
        <v>80.611999999999995</v>
        <stp/>
        <stp>##V3_BDPV12</stp>
        <stp>IT0004976491@rbsm Corp</stp>
        <stp>bid</stp>
        <stp>[BTP Stripping-contributor.xlsx]Contribution!R81C27</stp>
        <tr r="AA81" s="7"/>
      </tp>
      <tp>
        <v>73.930000000000007</v>
        <stp/>
        <stp>##V3_BDPV12</stp>
        <stp>IT0004976541@rbsm Corp</stp>
        <stp>bid</stp>
        <stp>[BTP Stripping-contributor.xlsx]Contribution!R96C27</stp>
        <tr r="AA96" s="7"/>
      </tp>
      <tp>
        <v>75.495000000000005</v>
        <stp/>
        <stp>##V3_BDPV12</stp>
        <stp>IT0001312807@rbsm Corp</stp>
        <stp>bid</stp>
        <stp>[BTP Stripping-contributor.xlsx]Contribution!R94C27</stp>
        <tr r="AA94" s="7"/>
      </tp>
      <tp>
        <v>100.045</v>
        <stp/>
        <stp>##V3_BDPV12</stp>
        <stp>IT0004848682@rbsm Corp</stp>
        <stp>bid</stp>
        <stp>[BTP Stripping-contributor.xlsx]Contribution!R26C27</stp>
        <tr r="AA26" s="7"/>
      </tp>
      <tp>
        <v>78.314999999999998</v>
        <stp/>
        <stp>##V3_BDPV12</stp>
        <stp>IT0003268890@rbsm Corp</stp>
        <stp>bid</stp>
        <stp>[BTP Stripping-contributor.xlsx]Contribution!R86C27</stp>
        <tr r="AA86" s="7"/>
      </tp>
    </main>
    <main first="bloomberg.rtd">
      <tp t="s">
        <v>#N/A N/A</v>
        <stp/>
        <stp>##V3_BDPV12</stp>
        <stp>IT0004848609 Corp</stp>
        <stp>risk mid</stp>
        <stp>[BTP Stripping-contributor.xlsx]Contribution!R5C14</stp>
        <tr r="N5" s="7"/>
      </tp>
      <tp>
        <v>94.819000000000003</v>
        <stp/>
        <stp>##V3_BDPV12</stp>
        <stp>IT0003268742@rbsm Corp</stp>
        <stp>ask</stp>
        <stp>[BTP Stripping-contributor.xlsx]Contribution!R53C28</stp>
        <tr r="AB53" s="7"/>
      </tp>
      <tp>
        <v>76.209999999999994</v>
        <stp/>
        <stp>##V3_BDPV12</stp>
        <stp>IT0003268932@rbsm Corp</stp>
        <stp>ask</stp>
        <stp>[BTP Stripping-contributor.xlsx]Contribution!R95C28</stp>
        <tr r="AB95" s="7"/>
      </tp>
      <tp>
        <v>80.703000000000003</v>
        <stp/>
        <stp>##V3_BDPV12</stp>
        <stp>IT0003268882@rbsm Corp</stp>
        <stp>ask</stp>
        <stp>[BTP Stripping-contributor.xlsx]Contribution!R83C28</stp>
        <tr r="AB83" s="7"/>
      </tp>
      <tp>
        <v>100.151</v>
        <stp/>
        <stp>##V3_BDPV12</stp>
        <stp>IT0004848500@rbsm Corp</stp>
        <stp>ask</stp>
        <stp>[BTP Stripping-contributor.xlsx]Contribution!R23C28</stp>
        <tr r="AB23" s="7"/>
      </tp>
      <tp>
        <v>98.792000000000002</v>
        <stp/>
        <stp>##V3_BDPV12</stp>
        <stp>IT0001247250@rbsm Corp</stp>
        <stp>ask</stp>
        <stp>[BTP Stripping-contributor.xlsx]Contribution!R40C28</stp>
        <tr r="AB40" s="7"/>
      </tp>
      <tp>
        <v>98.265000000000001</v>
        <stp/>
        <stp>##V3_BDPV12</stp>
        <stp>IT0004957871@rbsm Corp</stp>
        <stp>ask</stp>
        <stp>[BTP Stripping-contributor.xlsx]Contribution!R42C28</stp>
        <tr r="AB42" s="7"/>
      </tp>
      <tp>
        <v>93.275999999999996</v>
        <stp/>
        <stp>##V3_BDPV12</stp>
        <stp>IT0004957921@rbsm Corp</stp>
        <stp>ask</stp>
        <stp>[BTP Stripping-contributor.xlsx]Contribution!R57C28</stp>
        <tr r="AB57" s="7"/>
      </tp>
      <tp>
        <v>83.727999999999994</v>
        <stp/>
        <stp>##V3_BDPV12</stp>
        <stp>IT0004976483@rbsm Corp</stp>
        <stp>ask</stp>
        <stp>[BTP Stripping-contributor.xlsx]Contribution!R78C28</stp>
        <tr r="AB78" s="7"/>
      </tp>
      <tp>
        <v>76.888000000000005</v>
        <stp/>
        <stp>##V3_BDPV12</stp>
        <stp>IT0004976533@rbsm Corp</stp>
        <stp>ask</stp>
        <stp>[BTP Stripping-contributor.xlsx]Contribution!R93C28</stp>
        <tr r="AB93" s="7"/>
      </tp>
      <tp>
        <v>98.837999999999994</v>
        <stp/>
        <stp>##V3_BDPV12</stp>
        <stp>IT0001247243@rbsm Corp</stp>
        <stp>bid</stp>
        <stp>[BTP Stripping-contributor.xlsx]Contribution!R37C27</stp>
        <tr r="AA37" s="7"/>
      </tp>
      <tp>
        <v>99.578999999999994</v>
        <stp/>
        <stp>##V3_BDPV12</stp>
        <stp>IT0004957822@rbsm Corp</stp>
        <stp>bid</stp>
        <stp>[BTP Stripping-contributor.xlsx]Contribution!R27C27</stp>
        <tr r="AA27" s="7"/>
      </tp>
      <tp>
        <v>99.885000000000005</v>
        <stp/>
        <stp>##V3_BDPV12</stp>
        <stp>IT0004848583@rbsm Corp</stp>
        <stp>bid</stp>
        <stp>[BTP Stripping-contributor.xlsx]Contribution!R32C27</stp>
        <tr r="AA32" s="7"/>
      </tp>
      <tp>
        <v>83.031000000000006</v>
        <stp/>
        <stp>##V3_BDPV12</stp>
        <stp>IT0004848443@rbsm Corp</stp>
        <stp>bid</stp>
        <stp>[BTP Stripping-contributor.xlsx]Contribution!R79C27</stp>
        <tr r="AA79" s="7"/>
      </tp>
      <tp>
        <v>84.018000000000001</v>
        <stp/>
        <stp>##V3_BDPV12</stp>
        <stp>IT0003268841@rbsm Corp</stp>
        <stp>bid</stp>
        <stp>[BTP Stripping-contributor.xlsx]Contribution!R74C27</stp>
        <tr r="AA74" s="7"/>
      </tp>
      <tp>
        <v>9.4089943185579727</v>
        <stp/>
        <stp>##V3_BDPV12</stp>
        <stp>IT0001312799 Corp</stp>
        <stp>risk mid</stp>
        <stp>[BTP Stripping-contributor.xlsx]Contribution!R91C14</stp>
        <tr r="N91" s="7"/>
      </tp>
      <tp>
        <v>99.992000000000004</v>
        <stp/>
        <stp>##V3_BDPV12</stp>
        <stp>IT0004848583@rbsm Corp</stp>
        <stp>ask</stp>
        <stp>[BTP Stripping-contributor.xlsx]Contribution!R32C28</stp>
        <tr r="AB32" s="7"/>
      </tp>
      <tp>
        <v>83.373000000000005</v>
        <stp/>
        <stp>##V3_BDPV12</stp>
        <stp>IT0004848443@rbsm Corp</stp>
        <stp>ask</stp>
        <stp>[BTP Stripping-contributor.xlsx]Contribution!R79C28</stp>
        <tr r="AB79" s="7"/>
      </tp>
      <tp>
        <v>84.983000000000004</v>
        <stp/>
        <stp>##V3_BDPV12</stp>
        <stp>IT0003268841@rbsm Corp</stp>
        <stp>ask</stp>
        <stp>[BTP Stripping-contributor.xlsx]Contribution!R74C28</stp>
        <tr r="AB74" s="7"/>
      </tp>
      <tp>
        <v>99.313000000000002</v>
        <stp/>
        <stp>##V3_BDPV12</stp>
        <stp>IT0001247243@rbsm Corp</stp>
        <stp>ask</stp>
        <stp>[BTP Stripping-contributor.xlsx]Contribution!R37C28</stp>
        <tr r="AB37" s="7"/>
      </tp>
      <tp>
        <v>99.930999999999997</v>
        <stp/>
        <stp>##V3_BDPV12</stp>
        <stp>IT0004957822@rbsm Corp</stp>
        <stp>ask</stp>
        <stp>[BTP Stripping-contributor.xlsx]Contribution!R27C28</stp>
        <tr r="AB27" s="7"/>
      </tp>
      <tp>
        <v>98.25</v>
        <stp/>
        <stp>##V3_BDPV12</stp>
        <stp>IT0001247250@rbsm Corp</stp>
        <stp>bid</stp>
        <stp>[BTP Stripping-contributor.xlsx]Contribution!R40C27</stp>
        <tr r="AA40" s="7"/>
      </tp>
      <tp>
        <v>97.435000000000002</v>
        <stp/>
        <stp>##V3_BDPV12</stp>
        <stp>IT0004957871@rbsm Corp</stp>
        <stp>bid</stp>
        <stp>[BTP Stripping-contributor.xlsx]Contribution!R42C27</stp>
        <tr r="AA42" s="7"/>
      </tp>
      <tp>
        <v>92.036000000000001</v>
        <stp/>
        <stp>##V3_BDPV12</stp>
        <stp>IT0004957921@rbsm Corp</stp>
        <stp>bid</stp>
        <stp>[BTP Stripping-contributor.xlsx]Contribution!R57C27</stp>
        <tr r="AA57" s="7"/>
      </tp>
      <tp>
        <v>82.055999999999997</v>
        <stp/>
        <stp>##V3_BDPV12</stp>
        <stp>IT0004976483@rbsm Corp</stp>
        <stp>bid</stp>
        <stp>[BTP Stripping-contributor.xlsx]Contribution!R78C27</stp>
        <tr r="AA78" s="7"/>
      </tp>
      <tp>
        <v>74.991</v>
        <stp/>
        <stp>##V3_BDPV12</stp>
        <stp>IT0004976533@rbsm Corp</stp>
        <stp>bid</stp>
        <stp>[BTP Stripping-contributor.xlsx]Contribution!R93C27</stp>
        <tr r="AA93" s="7"/>
      </tp>
      <tp>
        <v>94.24</v>
        <stp/>
        <stp>##V3_BDPV12</stp>
        <stp>IT0003268742@rbsm Corp</stp>
        <stp>bid</stp>
        <stp>[BTP Stripping-contributor.xlsx]Contribution!R53C27</stp>
        <tr r="AA53" s="7"/>
      </tp>
      <tp>
        <v>75.039000000000001</v>
        <stp/>
        <stp>##V3_BDPV12</stp>
        <stp>IT0003268932@rbsm Corp</stp>
        <stp>bid</stp>
        <stp>[BTP Stripping-contributor.xlsx]Contribution!R95C27</stp>
        <tr r="AA95" s="7"/>
      </tp>
      <tp>
        <v>79.647999999999996</v>
        <stp/>
        <stp>##V3_BDPV12</stp>
        <stp>IT0003268882@rbsm Corp</stp>
        <stp>bid</stp>
        <stp>[BTP Stripping-contributor.xlsx]Contribution!R83C27</stp>
        <tr r="AA83" s="7"/>
      </tp>
      <tp>
        <v>100.10299999999999</v>
        <stp/>
        <stp>##V3_BDPV12</stp>
        <stp>IT0004848500@rbsm Corp</stp>
        <stp>bid</stp>
        <stp>[BTP Stripping-contributor.xlsx]Contribution!R23C27</stp>
        <tr r="AA23" s="7"/>
      </tp>
      <tp t="s">
        <v>#N/A N/A</v>
        <stp/>
        <stp>##V3_BDPV12</stp>
        <stp>IT0004848625 Corp</stp>
        <stp>risk mid</stp>
        <stp>[BTP Stripping-contributor.xlsx]Contribution!R8C14</stp>
        <tr r="N8" s="7"/>
      </tp>
      <tp>
        <v>100.113</v>
        <stp/>
        <stp>##V3_BDPV12</stp>
        <stp>IT0004848682@rbsm Corp</stp>
        <stp>ask</stp>
        <stp>[BTP Stripping-contributor.xlsx]Contribution!R26C28</stp>
        <tr r="AB26" s="7"/>
      </tp>
      <tp>
        <v>79.399000000000001</v>
        <stp/>
        <stp>##V3_BDPV12</stp>
        <stp>IT0003268890@rbsm Corp</stp>
        <stp>ask</stp>
        <stp>[BTP Stripping-contributor.xlsx]Contribution!R86C28</stp>
        <tr r="AB86" s="7"/>
      </tp>
      <tp>
        <v>88.201999999999998</v>
        <stp/>
        <stp>##V3_BDPV12</stp>
        <stp>IT0001247342@rbsm Corp</stp>
        <stp>ask</stp>
        <stp>[BTP Stripping-contributor.xlsx]Contribution!R67C28</stp>
        <tr r="AB67" s="7"/>
      </tp>
      <tp>
        <v>95.325000000000003</v>
        <stp/>
        <stp>##V3_BDPV12</stp>
        <stp>IT0001247292@rbsm Corp</stp>
        <stp>ask</stp>
        <stp>[BTP Stripping-contributor.xlsx]Contribution!R52C28</stp>
        <tr r="AB52" s="7"/>
      </tp>
      <tp>
        <v>94.37</v>
        <stp/>
        <stp>##V3_BDPV12</stp>
        <stp>IT0004957913@rbsm Corp</stp>
        <stp>ask</stp>
        <stp>[BTP Stripping-contributor.xlsx]Contribution!R54C28</stp>
        <tr r="AB54" s="7"/>
      </tp>
      <tp>
        <v>98.903000000000006</v>
        <stp/>
        <stp>##V3_BDPV12</stp>
        <stp>IT0004957863@rbsm Corp</stp>
        <stp>ask</stp>
        <stp>[BTP Stripping-contributor.xlsx]Contribution!R39C28</stp>
        <tr r="AB39" s="7"/>
      </tp>
      <tp>
        <v>82.332999999999998</v>
        <stp/>
        <stp>##V3_BDPV12</stp>
        <stp>IT0004976491@rbsm Corp</stp>
        <stp>ask</stp>
        <stp>[BTP Stripping-contributor.xlsx]Contribution!R81C28</stp>
        <tr r="AB81" s="7"/>
      </tp>
      <tp>
        <v>75.875</v>
        <stp/>
        <stp>##V3_BDPV12</stp>
        <stp>IT0004976541@rbsm Corp</stp>
        <stp>ask</stp>
        <stp>[BTP Stripping-contributor.xlsx]Contribution!R96C28</stp>
        <tr r="AB96" s="7"/>
      </tp>
      <tp>
        <v>76.36</v>
        <stp/>
        <stp>##V3_BDPV12</stp>
        <stp>IT0001312807@rbsm Corp</stp>
        <stp>ask</stp>
        <stp>[BTP Stripping-contributor.xlsx]Contribution!R94C28</stp>
        <tr r="AB94" s="7"/>
      </tp>
      <tp>
        <v>80.759</v>
        <stp/>
        <stp>##V3_BDPV12</stp>
        <stp>IT0001247391@rbsm Corp</stp>
        <stp>bid</stp>
        <stp>[BTP Stripping-contributor.xlsx]Contribution!R82C27</stp>
        <tr r="AA82" s="7"/>
      </tp>
      <tp>
        <v>99.376000000000005</v>
        <stp/>
        <stp>##V3_BDPV12</stp>
        <stp>IT0004957830@rbsm Corp</stp>
        <stp>bid</stp>
        <stp>[BTP Stripping-contributor.xlsx]Contribution!R30C27</stp>
        <tr r="AA30" s="7"/>
      </tp>
      <tp>
        <v>88.9</v>
        <stp/>
        <stp>##V3_BDPV12</stp>
        <stp>IT0004976442@rbsm Corp</stp>
        <stp>bid</stp>
        <stp>[BTP Stripping-contributor.xlsx]Contribution!R66C27</stp>
        <tr r="AA66" s="7"/>
      </tp>
      <tp>
        <v>85.448999999999998</v>
        <stp/>
        <stp>##V3_BDPV12</stp>
        <stp>IT0003268833@rbsm Corp</stp>
        <stp>bid</stp>
        <stp>[BTP Stripping-contributor.xlsx]Contribution!R71C27</stp>
        <tr r="AA71" s="7"/>
      </tp>
      <tp>
        <v>74.986000000000004</v>
        <stp/>
        <stp>##V3_BDPV12</stp>
        <stp>IT0003268957@rbsm Corp</stp>
        <stp>ask</stp>
        <stp>[BTP Stripping-contributor.xlsx]Contribution!R98C28</stp>
        <tr r="AB98" s="7"/>
      </tp>
      <tp>
        <v>91.825999999999993</v>
        <stp/>
        <stp>##V3_BDPV12</stp>
        <stp>IT0004848435@rbsm Corp</stp>
        <stp>ask</stp>
        <stp>[BTP Stripping-contributor.xlsx]Contribution!R61C28</stp>
        <tr r="AB61" s="7"/>
      </tp>
      <tp>
        <v>89.224000000000004</v>
        <stp/>
        <stp>##V3_BDPV12</stp>
        <stp>IT0003268817@rbsm Corp</stp>
        <stp>ask</stp>
        <stp>[BTP Stripping-contributor.xlsx]Contribution!R65C28</stp>
        <tr r="AB65" s="7"/>
      </tp>
      <tp>
        <v>99.66</v>
        <stp/>
        <stp>##V3_BDPV12</stp>
        <stp>IT0001247235@rbsm Corp</stp>
        <stp>ask</stp>
        <stp>[BTP Stripping-contributor.xlsx]Contribution!R34C28</stp>
        <tr r="AB34" s="7"/>
      </tp>
      <tp>
        <v>100.075</v>
        <stp/>
        <stp>##V3_BDPV12</stp>
        <stp>IT0001247185@rbsm Corp</stp>
        <stp>ask</stp>
        <stp>[BTP Stripping-contributor.xlsx]Contribution!R19C28</stp>
        <tr r="AB19" s="7"/>
      </tp>
      <tp>
        <v>83.986999999999995</v>
        <stp/>
        <stp>##V3_BDPV12</stp>
        <stp>IT0001247375@rbsm Corp</stp>
        <stp>ask</stp>
        <stp>[BTP Stripping-contributor.xlsx]Contribution!R76C28</stp>
        <tr r="AB76" s="7"/>
      </tp>
      <tp>
        <v>100.02</v>
        <stp/>
        <stp>##V3_BDPV12</stp>
        <stp>IT0004957814@rbsm Corp</stp>
        <stp>ask</stp>
        <stp>[BTP Stripping-contributor.xlsx]Contribution!R24C28</stp>
        <tr r="AB24" s="7"/>
      </tp>
      <tp>
        <v>96.43</v>
        <stp/>
        <stp>##V3_BDPV12</stp>
        <stp>IT0001247276@rbsm Corp</stp>
        <stp>bid</stp>
        <stp>[BTP Stripping-contributor.xlsx]Contribution!R46C27</stp>
        <tr r="AA46" s="7"/>
      </tp>
      <tp>
        <v>95.65</v>
        <stp/>
        <stp>##V3_BDPV12</stp>
        <stp>IT0004957897@rbsm Corp</stp>
        <stp>bid</stp>
        <stp>[BTP Stripping-contributor.xlsx]Contribution!R48C27</stp>
        <tr r="AA48" s="7"/>
      </tp>
      <tp>
        <v>90.323999999999998</v>
        <stp/>
        <stp>##V3_BDPV12</stp>
        <stp>IT0004957947@rbsm Corp</stp>
        <stp>bid</stp>
        <stp>[BTP Stripping-contributor.xlsx]Contribution!R63C27</stp>
        <tr r="AA63" s="7"/>
      </tp>
      <tp>
        <v>83.475999999999999</v>
        <stp/>
        <stp>##V3_BDPV12</stp>
        <stp>IT0004976475@rbsm Corp</stp>
        <stp>bid</stp>
        <stp>[BTP Stripping-contributor.xlsx]Contribution!R75C27</stp>
        <tr r="AA75" s="7"/>
      </tp>
      <tp>
        <v>78.021000000000001</v>
        <stp/>
        <stp>##V3_BDPV12</stp>
        <stp>IT0004976525@rbsm Corp</stp>
        <stp>bid</stp>
        <stp>[BTP Stripping-contributor.xlsx]Contribution!R90C27</stp>
        <tr r="AA90" s="7"/>
      </tp>
      <tp>
        <v>94.406000000000006</v>
        <stp/>
        <stp>##V3_BDPV12</stp>
        <stp>IT0004869324@rbsm Corp</stp>
        <stp>bid</stp>
        <stp>[BTP Stripping-contributor.xlsx]Contribution!R55C27</stp>
        <tr r="AA55" s="7"/>
      </tp>
      <tp>
        <v>99.977999999999994</v>
        <stp/>
        <stp>##V3_BDPV12</stp>
        <stp>IT0004848716@rbsm Corp</stp>
        <stp>bid</stp>
        <stp>[BTP Stripping-contributor.xlsx]Contribution!R29C27</stp>
        <tr r="AA29" s="7"/>
      </tp>
      <tp>
        <v>81.16</v>
        <stp/>
        <stp>##V3_BDPV12</stp>
        <stp>IT0003268874@rbsm Corp</stp>
        <stp>bid</stp>
        <stp>[BTP Stripping-contributor.xlsx]Contribution!R80C27</stp>
        <tr r="AA80" s="7"/>
      </tp>
      <tp>
        <v>76.040000000000006</v>
        <stp/>
        <stp>##V3_BDPV12</stp>
        <stp>IT0003268924@rbsm Corp</stp>
        <stp>bid</stp>
        <stp>[BTP Stripping-contributor.xlsx]Contribution!R92C27</stp>
        <tr r="AA92" s="7"/>
      </tp>
      <tp>
        <v>100.05800000000001</v>
        <stp/>
        <stp>##V3_BDPV12</stp>
        <stp>IT0004848666@rbsm Corp</stp>
        <stp>bid</stp>
        <stp>[BTP Stripping-contributor.xlsx]Contribution!R17C27</stp>
        <tr r="AA17" s="7"/>
      </tp>
      <tp>
        <v>80.010000000000005</v>
        <stp/>
        <stp>##V3_BDPV12</stp>
        <stp>IT0004848476@rbsm Corp</stp>
        <stp>bid</stp>
        <stp>[BTP Stripping-contributor.xlsx]Contribution!R85C27</stp>
        <tr r="AA85" s="7"/>
      </tp>
      <tp>
        <v>1.9303821787474362</v>
        <stp/>
        <stp>##V3_BDPV12</stp>
        <stp>IT0001247219 Corp</stp>
        <stp>risk mid</stp>
        <stp>[BTP Stripping-contributor.xlsx]Contribution!R28C14</stp>
        <tr r="N28" s="7"/>
      </tp>
      <tp>
        <v>0.2683534922262254</v>
        <stp/>
        <stp>##V3_BDPV12</stp>
        <stp>IT0004957798 Corp</stp>
        <stp>risk mid</stp>
        <stp>[BTP Stripping-contributor.xlsx]Contribution!R18C14</stp>
        <tr r="N18" s="7"/>
      </tp>
      <tp>
        <v>7.6465882647255512</v>
        <stp/>
        <stp>##V3_BDPV12</stp>
        <stp>IT0001247359 Corp</stp>
        <stp>risk mid</stp>
        <stp>[BTP Stripping-contributor.xlsx]Contribution!R70C14</stp>
        <tr r="N70" s="7"/>
      </tp>
      <tp>
        <v>2.7519270890870473</v>
        <stp/>
        <stp>##V3_BDPV12</stp>
        <stp>IT0004957848 Corp</stp>
        <stp>risk mid</stp>
        <stp>[BTP Stripping-contributor.xlsx]Contribution!R33C14</stp>
        <tr r="N33" s="7"/>
      </tp>
      <tp t="s">
        <v>#N/A N/A</v>
        <stp/>
        <stp>##V3_BDPV12</stp>
        <stp>IT0004957756 Corp</stp>
        <stp>risk mid</stp>
        <stp>[BTP Stripping-contributor.xlsx]Contribution!R6C14</stp>
        <tr r="N6" s="7"/>
      </tp>
      <tp>
        <v>100.10599999999999</v>
        <stp/>
        <stp>##V3_BDPV12</stp>
        <stp>IT0004869316@rbsm Corp</stp>
        <stp>ask</stp>
        <stp>[BTP Stripping-contributor.xlsx]Contribution!R25C28</stp>
        <tr r="AB25" s="7"/>
      </tp>
      <tp>
        <v>100.137</v>
        <stp/>
        <stp>##V3_BDPV12</stp>
        <stp>IT0004848674@rbsm Corp</stp>
        <stp>ask</stp>
        <stp>[BTP Stripping-contributor.xlsx]Contribution!R20C28</stp>
        <tr r="AB20" s="7"/>
      </tp>
      <tp>
        <v>97.86</v>
        <stp/>
        <stp>##V3_BDPV12</stp>
        <stp>IT0003268676@rbsm Corp</stp>
        <stp>ask</stp>
        <stp>[BTP Stripping-contributor.xlsx]Contribution!R44C28</stp>
        <tr r="AB44" s="7"/>
      </tp>
      <tp>
        <v>95.61</v>
        <stp/>
        <stp>##V3_BDPV12</stp>
        <stp>IT0003268726@rbsm Corp</stp>
        <stp>ask</stp>
        <stp>[BTP Stripping-contributor.xlsx]Contribution!R50C28</stp>
        <tr r="AB50" s="7"/>
      </tp>
      <tp>
        <v>75.872</v>
        <stp/>
        <stp>##V3_BDPV12</stp>
        <stp>IT0004848484@rbsm Corp</stp>
        <stp>ask</stp>
        <stp>[BTP Stripping-contributor.xlsx]Contribution!R97C28</stp>
        <tr r="AB97" s="7"/>
      </tp>
      <tp>
        <v>89.674000000000007</v>
        <stp/>
        <stp>##V3_BDPV12</stp>
        <stp>IT0001247334@rbsm Corp</stp>
        <stp>ask</stp>
        <stp>[BTP Stripping-contributor.xlsx]Contribution!R64C28</stp>
        <tr r="AB64" s="7"/>
      </tp>
      <tp>
        <v>96.349000000000004</v>
        <stp/>
        <stp>##V3_BDPV12</stp>
        <stp>IT0001247284@rbsm Corp</stp>
        <stp>ask</stp>
        <stp>[BTP Stripping-contributor.xlsx]Contribution!R49C28</stp>
        <tr r="AB49" s="7"/>
      </tp>
      <tp>
        <v>95.58</v>
        <stp/>
        <stp>##V3_BDPV12</stp>
        <stp>IT0004957905@rbsm Corp</stp>
        <stp>ask</stp>
        <stp>[BTP Stripping-contributor.xlsx]Contribution!R51C28</stp>
        <tr r="AB51" s="7"/>
      </tp>
      <tp>
        <v>99.338999999999999</v>
        <stp/>
        <stp>##V3_BDPV12</stp>
        <stp>IT0004957855@rbsm Corp</stp>
        <stp>ask</stp>
        <stp>[BTP Stripping-contributor.xlsx]Contribution!R36C28</stp>
        <tr r="AB36" s="7"/>
      </tp>
      <tp>
        <v>86.400999999999996</v>
        <stp/>
        <stp>##V3_BDPV12</stp>
        <stp>IT0004976467@rbsm Corp</stp>
        <stp>ask</stp>
        <stp>[BTP Stripping-contributor.xlsx]Contribution!R72C28</stp>
        <tr r="AB72" s="7"/>
      </tp>
      <tp>
        <v>79.406999999999996</v>
        <stp/>
        <stp>##V3_BDPV12</stp>
        <stp>IT0004976517@rbsm Corp</stp>
        <stp>ask</stp>
        <stp>[BTP Stripping-contributor.xlsx]Contribution!R87C28</stp>
        <tr r="AB87" s="7"/>
      </tp>
      <tp>
        <v>78.849999999999994</v>
        <stp/>
        <stp>##V3_BDPV12</stp>
        <stp>IT0001312781@rbsm Corp</stp>
        <stp>ask</stp>
        <stp>[BTP Stripping-contributor.xlsx]Contribution!R88C28</stp>
        <tr r="AB88" s="7"/>
      </tp>
      <tp>
        <v>99.495999999999995</v>
        <stp/>
        <stp>##V3_BDPV12</stp>
        <stp>IT0001247227@rbsm Corp</stp>
        <stp>bid</stp>
        <stp>[BTP Stripping-contributor.xlsx]Contribution!R31C27</stp>
        <tr r="AA31" s="7"/>
      </tp>
      <tp>
        <v>84.811000000000007</v>
        <stp/>
        <stp>##V3_BDPV12</stp>
        <stp>IT0001247367@rbsm Corp</stp>
        <stp>bid</stp>
        <stp>[BTP Stripping-contributor.xlsx]Contribution!R73C27</stp>
        <tr r="AA73" s="7"/>
      </tp>
      <tp>
        <v>99.917000000000002</v>
        <stp/>
        <stp>##V3_BDPV12</stp>
        <stp>IT0004957806@rbsm Corp</stp>
        <stp>bid</stp>
        <stp>[BTP Stripping-contributor.xlsx]Contribution!R21C27</stp>
        <tr r="AA21" s="7"/>
      </tp>
      <tp>
        <v>99.177999999999997</v>
        <stp/>
        <stp>##V3_BDPV12</stp>
        <stp>IT0004848617@rbsm Corp</stp>
        <stp>bid</stp>
        <stp>[BTP Stripping-contributor.xlsx]Contribution!R38C27</stp>
        <tr r="AA38" s="7"/>
      </tp>
      <tp>
        <v>97.736000000000004</v>
        <stp/>
        <stp>##V3_BDPV12</stp>
        <stp>IT0003268635@rbsm Corp</stp>
        <stp>bid</stp>
        <stp>[BTP Stripping-contributor.xlsx]Contribution!R41C27</stp>
        <tr r="AA41" s="7"/>
      </tp>
      <tp>
        <v>92.813999999999993</v>
        <stp/>
        <stp>##V3_BDPV12</stp>
        <stp>IT0003268775@rbsm Corp</stp>
        <stp>bid</stp>
        <stp>[BTP Stripping-contributor.xlsx]Contribution!R56C27</stp>
        <tr r="AA56" s="7"/>
      </tp>
      <tp>
        <v>98.95</v>
        <stp/>
        <stp>##V3_BDPV12</stp>
        <stp>IT0003268585@rbsm Corp</stp>
        <stp>bid</stp>
        <stp>[BTP Stripping-contributor.xlsx]Contribution!R35C27</stp>
        <tr r="AA35" s="7"/>
      </tp>
      <tp>
        <v>86.885000000000005</v>
        <stp/>
        <stp>##V3_BDPV12</stp>
        <stp>IT0003268825@rbsm Corp</stp>
        <stp>bid</stp>
        <stp>[BTP Stripping-contributor.xlsx]Contribution!R68C27</stp>
        <tr r="AA68" s="7"/>
      </tp>
      <tp>
        <v>100.054</v>
        <stp/>
        <stp>##V3_BDPV12</stp>
        <stp>IT0004848807@rbsm Corp</stp>
        <stp>bid</stp>
        <stp>[BTP Stripping-contributor.xlsx]Contribution!R22C27</stp>
        <tr r="AA22" s="7"/>
      </tp>
      <tp>
        <v>5.0107024615016371</v>
        <stp/>
        <stp>##V3_BDPV12</stp>
        <stp>IT0004848658 Corp</stp>
        <stp>risk mid</stp>
        <stp>[BTP Stripping-contributor.xlsx]Contribution!R47C14</stp>
        <tr r="N47" s="7"/>
      </tp>
      <tp>
        <v>6.6057274050230319</v>
        <stp/>
        <stp>##V3_BDPV12</stp>
        <stp>IT0004848708 Corp</stp>
        <stp>risk mid</stp>
        <stp>[BTP Stripping-contributor.xlsx]Contribution!R59C14</stp>
        <tr r="N59" s="7"/>
      </tp>
    </main>
    <main first="bloomberg.rtd">
      <tp t="s">
        <v>#N/A N/A</v>
        <stp/>
        <stp>##V3_BDPV12</stp>
        <stp>IT0003246318 Corp</stp>
        <stp>risk mid</stp>
        <stp>[BTP Stripping-contributor.xlsx]Contribution!R14C14</stp>
        <tr r="N14" s="7"/>
      </tp>
      <tp>
        <v>6.3957565512581027</v>
        <stp/>
        <stp>##V3_BDPV12</stp>
        <stp>IT0001247318 Corp</stp>
        <stp>risk mid</stp>
        <stp>[BTP Stripping-contributor.xlsx]Contribution!R58C14</stp>
        <tr r="N58" s="7"/>
      </tp>
      <tp>
        <v>4.3245653845957577</v>
        <stp/>
        <stp>##V3_BDPV12</stp>
        <stp>IT0001247268 Corp</stp>
        <stp>risk mid</stp>
        <stp>[BTP Stripping-contributor.xlsx]Contribution!R43C14</stp>
        <tr r="N43" s="7"/>
      </tp>
      <tp>
        <v>4.6141833734324678</v>
        <stp/>
        <stp>##V3_BDPV12</stp>
        <stp>IT0004957889 Corp</stp>
        <stp>risk mid</stp>
        <stp>[BTP Stripping-contributor.xlsx]Contribution!R45C14</stp>
        <tr r="N45" s="7"/>
      </tp>
      <tp>
        <v>6.5705375192756321</v>
        <stp/>
        <stp>##V3_BDPV12</stp>
        <stp>IT0004957939 Corp</stp>
        <stp>risk mid</stp>
        <stp>[BTP Stripping-contributor.xlsx]Contribution!R60C14</stp>
        <tr r="N60" s="7"/>
      </tp>
      <tp>
        <v>99.361000000000004</v>
        <stp/>
        <stp>##V3_BDPV12</stp>
        <stp>IT0004848617@rbsm Corp</stp>
        <stp>ask</stp>
        <stp>[BTP Stripping-contributor.xlsx]Contribution!R38C28</stp>
        <tr r="AB38" s="7"/>
      </tp>
      <tp>
        <v>98.391000000000005</v>
        <stp/>
        <stp>##V3_BDPV12</stp>
        <stp>IT0003268635@rbsm Corp</stp>
        <stp>ask</stp>
        <stp>[BTP Stripping-contributor.xlsx]Contribution!R41C28</stp>
        <tr r="AB41" s="7"/>
      </tp>
      <tp>
        <v>93.739000000000004</v>
        <stp/>
        <stp>##V3_BDPV12</stp>
        <stp>IT0003268775@rbsm Corp</stp>
        <stp>ask</stp>
        <stp>[BTP Stripping-contributor.xlsx]Contribution!R56C28</stp>
        <tr r="AB56" s="7"/>
      </tp>
      <tp>
        <v>99.453999999999994</v>
        <stp/>
        <stp>##V3_BDPV12</stp>
        <stp>IT0003268585@rbsm Corp</stp>
        <stp>ask</stp>
        <stp>[BTP Stripping-contributor.xlsx]Contribution!R35C28</stp>
        <tr r="AB35" s="7"/>
      </tp>
      <tp>
        <v>87.781999999999996</v>
        <stp/>
        <stp>##V3_BDPV12</stp>
        <stp>IT0003268825@rbsm Corp</stp>
        <stp>ask</stp>
        <stp>[BTP Stripping-contributor.xlsx]Contribution!R68C28</stp>
        <tr r="AB68" s="7"/>
      </tp>
      <tp>
        <v>100.148</v>
        <stp/>
        <stp>##V3_BDPV12</stp>
        <stp>IT0004848807@rbsm Corp</stp>
        <stp>ask</stp>
        <stp>[BTP Stripping-contributor.xlsx]Contribution!R22C28</stp>
        <tr r="AB22" s="7"/>
      </tp>
      <tp>
        <v>99.834999999999994</v>
        <stp/>
        <stp>##V3_BDPV12</stp>
        <stp>IT0001247227@rbsm Corp</stp>
        <stp>ask</stp>
        <stp>[BTP Stripping-contributor.xlsx]Contribution!R31C28</stp>
        <tr r="AB31" s="7"/>
      </tp>
      <tp>
        <v>85.600999999999999</v>
        <stp/>
        <stp>##V3_BDPV12</stp>
        <stp>IT0001247367@rbsm Corp</stp>
        <stp>ask</stp>
        <stp>[BTP Stripping-contributor.xlsx]Contribution!R73C28</stp>
        <tr r="AB73" s="7"/>
      </tp>
      <tp>
        <v>100.071</v>
        <stp/>
        <stp>##V3_BDPV12</stp>
        <stp>IT0004957806@rbsm Corp</stp>
        <stp>ask</stp>
        <stp>[BTP Stripping-contributor.xlsx]Contribution!R21C28</stp>
        <tr r="AB21" s="7"/>
      </tp>
    </main>
    <main first="bloomberg.rtd">
      <tp>
        <v>88.974999999999994</v>
        <stp/>
        <stp>##V3_BDPV12</stp>
        <stp>IT0001247334@rbsm Corp</stp>
        <stp>bid</stp>
        <stp>[BTP Stripping-contributor.xlsx]Contribution!R64C27</stp>
        <tr r="AA64" s="7"/>
      </tp>
      <tp>
        <v>95.831000000000003</v>
        <stp/>
        <stp>##V3_BDPV12</stp>
        <stp>IT0001247284@rbsm Corp</stp>
        <stp>bid</stp>
        <stp>[BTP Stripping-contributor.xlsx]Contribution!R49C27</stp>
        <tr r="AA49" s="7"/>
      </tp>
      <tp>
        <v>94.494</v>
        <stp/>
        <stp>##V3_BDPV12</stp>
        <stp>IT0004957905@rbsm Corp</stp>
        <stp>bid</stp>
        <stp>[BTP Stripping-contributor.xlsx]Contribution!R51C27</stp>
        <tr r="AA51" s="7"/>
      </tp>
      <tp>
        <v>98.694000000000003</v>
        <stp/>
        <stp>##V3_BDPV12</stp>
        <stp>IT0004957855@rbsm Corp</stp>
        <stp>bid</stp>
        <stp>[BTP Stripping-contributor.xlsx]Contribution!R36C27</stp>
        <tr r="AA36" s="7"/>
      </tp>
      <tp>
        <v>84.84</v>
        <stp/>
        <stp>##V3_BDPV12</stp>
        <stp>IT0004976467@rbsm Corp</stp>
        <stp>bid</stp>
        <stp>[BTP Stripping-contributor.xlsx]Contribution!R72C27</stp>
        <tr r="AA72" s="7"/>
      </tp>
      <tp>
        <v>77.597999999999999</v>
        <stp/>
        <stp>##V3_BDPV12</stp>
        <stp>IT0004976517@rbsm Corp</stp>
        <stp>bid</stp>
        <stp>[BTP Stripping-contributor.xlsx]Contribution!R87C27</stp>
        <tr r="AA87" s="7"/>
      </tp>
      <tp>
        <v>78.114999999999995</v>
        <stp/>
        <stp>##V3_BDPV12</stp>
        <stp>IT0001312781@rbsm Corp</stp>
        <stp>bid</stp>
        <stp>[BTP Stripping-contributor.xlsx]Contribution!R88C27</stp>
        <tr r="AA88" s="7"/>
      </tp>
      <tp>
        <v>99.962999999999994</v>
        <stp/>
        <stp>##V3_BDPV12</stp>
        <stp>IT0004869316@rbsm Corp</stp>
        <stp>bid</stp>
        <stp>[BTP Stripping-contributor.xlsx]Contribution!R25C27</stp>
        <tr r="AA25" s="7"/>
      </tp>
      <tp>
        <v>100.11</v>
        <stp/>
        <stp>##V3_BDPV12</stp>
        <stp>IT0004848674@rbsm Corp</stp>
        <stp>bid</stp>
        <stp>[BTP Stripping-contributor.xlsx]Contribution!R20C27</stp>
        <tr r="AA20" s="7"/>
      </tp>
      <tp>
        <v>96.951999999999998</v>
        <stp/>
        <stp>##V3_BDPV12</stp>
        <stp>IT0003268676@rbsm Corp</stp>
        <stp>bid</stp>
        <stp>[BTP Stripping-contributor.xlsx]Contribution!R44C27</stp>
        <tr r="AA44" s="7"/>
      </tp>
      <tp>
        <v>94.697999999999993</v>
        <stp/>
        <stp>##V3_BDPV12</stp>
        <stp>IT0003268726@rbsm Corp</stp>
        <stp>bid</stp>
        <stp>[BTP Stripping-contributor.xlsx]Contribution!R50C27</stp>
        <tr r="AA50" s="7"/>
      </tp>
      <tp>
        <v>75.671999999999997</v>
        <stp/>
        <stp>##V3_BDPV12</stp>
        <stp>IT0004848484@rbsm Corp</stp>
        <stp>bid</stp>
        <stp>[BTP Stripping-contributor.xlsx]Contribution!R97C27</stp>
        <tr r="AA97" s="7"/>
      </tp>
      <tp>
        <v>6.8508280900161367</v>
        <stp/>
        <stp>##V3_BDPV12</stp>
        <stp>IT0003268809 Corp</stp>
        <stp>risk mid</stp>
        <stp>[BTP Stripping-contributor.xlsx]Contribution!R62C14</stp>
        <tr r="N62" s="7"/>
      </tp>
      <tp>
        <v>10.170149201774592</v>
        <stp/>
        <stp>##V3_BDPV12</stp>
        <stp>IT0004976558 Corp</stp>
        <stp>risk mid</stp>
        <stp>[BTP Stripping-contributor.xlsx]Contribution!R99C14</stp>
        <tr r="N99" s="7"/>
      </tp>
      <tp>
        <v>94.768000000000001</v>
        <stp/>
        <stp>##V3_BDPV12</stp>
        <stp>IT0004869324@rbsm Corp</stp>
        <stp>ask</stp>
        <stp>[BTP Stripping-contributor.xlsx]Contribution!R55C28</stp>
        <tr r="AB55" s="7"/>
      </tp>
      <tp>
        <v>100.066</v>
        <stp/>
        <stp>##V3_BDPV12</stp>
        <stp>IT0004848716@rbsm Corp</stp>
        <stp>ask</stp>
        <stp>[BTP Stripping-contributor.xlsx]Contribution!R29C28</stp>
        <tr r="AB29" s="7"/>
      </tp>
      <tp>
        <v>82.188000000000002</v>
        <stp/>
        <stp>##V3_BDPV12</stp>
        <stp>IT0003268874@rbsm Corp</stp>
        <stp>ask</stp>
        <stp>[BTP Stripping-contributor.xlsx]Contribution!R80C28</stp>
        <tr r="AB80" s="7"/>
      </tp>
      <tp>
        <v>77.182000000000002</v>
        <stp/>
        <stp>##V3_BDPV12</stp>
        <stp>IT0003268924@rbsm Corp</stp>
        <stp>ask</stp>
        <stp>[BTP Stripping-contributor.xlsx]Contribution!R92C28</stp>
        <tr r="AB92" s="7"/>
      </tp>
      <tp>
        <v>100.065</v>
        <stp/>
        <stp>##V3_BDPV12</stp>
        <stp>IT0004848666@rbsm Corp</stp>
        <stp>ask</stp>
        <stp>[BTP Stripping-contributor.xlsx]Contribution!R17C28</stp>
        <tr r="AB17" s="7"/>
      </tp>
      <tp>
        <v>80.369</v>
        <stp/>
        <stp>##V3_BDPV12</stp>
        <stp>IT0004848476@rbsm Corp</stp>
        <stp>ask</stp>
        <stp>[BTP Stripping-contributor.xlsx]Contribution!R85C28</stp>
        <tr r="AB85" s="7"/>
      </tp>
      <tp>
        <v>97.284999999999997</v>
        <stp/>
        <stp>##V3_BDPV12</stp>
        <stp>IT0001247276@rbsm Corp</stp>
        <stp>ask</stp>
        <stp>[BTP Stripping-contributor.xlsx]Contribution!R46C28</stp>
        <tr r="AB46" s="7"/>
      </tp>
      <tp>
        <v>96.656000000000006</v>
        <stp/>
        <stp>##V3_BDPV12</stp>
        <stp>IT0004957897@rbsm Corp</stp>
        <stp>ask</stp>
        <stp>[BTP Stripping-contributor.xlsx]Contribution!R48C28</stp>
        <tr r="AB48" s="7"/>
      </tp>
      <tp>
        <v>91.721000000000004</v>
        <stp/>
        <stp>##V3_BDPV12</stp>
        <stp>IT0004957947@rbsm Corp</stp>
        <stp>ask</stp>
        <stp>[BTP Stripping-contributor.xlsx]Contribution!R63C28</stp>
        <tr r="AB63" s="7"/>
      </tp>
      <tp>
        <v>85.093999999999994</v>
        <stp/>
        <stp>##V3_BDPV12</stp>
        <stp>IT0004976475@rbsm Corp</stp>
        <stp>ask</stp>
        <stp>[BTP Stripping-contributor.xlsx]Contribution!R75C28</stp>
        <tr r="AB75" s="7"/>
      </tp>
      <tp>
        <v>79.921000000000006</v>
        <stp/>
        <stp>##V3_BDPV12</stp>
        <stp>IT0004976525@rbsm Corp</stp>
        <stp>ask</stp>
        <stp>[BTP Stripping-contributor.xlsx]Contribution!R90C28</stp>
        <tr r="AB90" s="7"/>
      </tp>
      <tp>
        <v>99.251999999999995</v>
        <stp/>
        <stp>##V3_BDPV12</stp>
        <stp>IT0001247235@rbsm Corp</stp>
        <stp>bid</stp>
        <stp>[BTP Stripping-contributor.xlsx]Contribution!R34C27</stp>
        <tr r="AA34" s="7"/>
      </tp>
      <tp>
        <v>100.053</v>
        <stp/>
        <stp>##V3_BDPV12</stp>
        <stp>IT0001247185@rbsm Corp</stp>
        <stp>bid</stp>
        <stp>[BTP Stripping-contributor.xlsx]Contribution!R19C27</stp>
        <tr r="AA19" s="7"/>
      </tp>
      <tp>
        <v>83.171000000000006</v>
        <stp/>
        <stp>##V3_BDPV12</stp>
        <stp>IT0001247375@rbsm Corp</stp>
        <stp>bid</stp>
        <stp>[BTP Stripping-contributor.xlsx]Contribution!R76C27</stp>
        <tr r="AA76" s="7"/>
      </tp>
      <tp>
        <v>99.766999999999996</v>
        <stp/>
        <stp>##V3_BDPV12</stp>
        <stp>IT0004957814@rbsm Corp</stp>
        <stp>bid</stp>
        <stp>[BTP Stripping-contributor.xlsx]Contribution!R24C27</stp>
        <tr r="AA24" s="7"/>
      </tp>
    </main>
    <main first="bloomberg.rtd">
      <tp>
        <v>73.790000000000006</v>
        <stp/>
        <stp>##V3_BDPV12</stp>
        <stp>IT0003268957@rbsm Corp</stp>
        <stp>bid</stp>
        <stp>[BTP Stripping-contributor.xlsx]Contribution!R98C27</stp>
        <tr r="AA98" s="7"/>
      </tp>
      <tp>
        <v>91.421999999999997</v>
        <stp/>
        <stp>##V3_BDPV12</stp>
        <stp>IT0004848435@rbsm Corp</stp>
        <stp>bid</stp>
        <stp>[BTP Stripping-contributor.xlsx]Contribution!R61C27</stp>
        <tr r="AA61" s="7"/>
      </tp>
      <tp>
        <v>88.364000000000004</v>
        <stp/>
        <stp>##V3_BDPV12</stp>
        <stp>IT0003268817@rbsm Corp</stp>
        <stp>bid</stp>
        <stp>[BTP Stripping-contributor.xlsx]Contribution!R65C27</stp>
        <tr r="AA65" s="7"/>
      </tp>
      <tp>
        <v>9.3180023656451283</v>
        <stp/>
        <stp>##V3_BDPV12</stp>
        <stp>IT0003268908 Corp</stp>
        <stp>risk mid</stp>
        <stp>[BTP Stripping-contributor.xlsx]Contribution!R89C14</stp>
        <tr r="N89" s="7"/>
      </tp>
      <tp>
        <v>8.342006258651935</v>
        <stp/>
        <stp>##V3_BDPV12</stp>
        <stp>IT0003268858 Corp</stp>
        <stp>risk mid</stp>
        <stp>[BTP Stripping-contributor.xlsx]Contribution!R77C14</stp>
        <tr r="N77" s="7"/>
      </tp>
      <tp>
        <v>7.5168877539901757</v>
        <stp/>
        <stp>##V3_BDPV12</stp>
        <stp>IT0004976459 Corp</stp>
        <stp>risk mid</stp>
        <stp>[BTP Stripping-contributor.xlsx]Contribution!R69C14</stp>
        <tr r="N69" s="7"/>
      </tp>
      <tp>
        <v>8.8025601789247787</v>
        <stp/>
        <stp>##V3_BDPV12</stp>
        <stp>IT0004976509 Corp</stp>
        <stp>risk mid</stp>
        <stp>[BTP Stripping-contributor.xlsx]Contribution!R84C14</stp>
        <tr r="N84" s="7"/>
      </tp>
      <tp t="s">
        <v>#N/A N/A</v>
        <stp/>
        <stp>##V3_BDPV12</stp>
        <stp>IT0004957764 Corp</stp>
        <stp>risk mid</stp>
        <stp>[BTP Stripping-contributor.xlsx]Contribution!R9C14</stp>
        <tr r="N9" s="7"/>
      </tp>
      <tp>
        <v>100.012</v>
        <stp/>
        <stp>##V3_BDPV12</stp>
        <stp>IT0001247219@rbsm Corp</stp>
        <stp>ask</stp>
        <stp>[BTP Stripping-contributor.xlsx]Contribution!R28C28</stp>
        <tr r="AB28" s="7"/>
      </tp>
      <tp>
        <v>100.062</v>
        <stp/>
        <stp>##V3_BDPV12</stp>
        <stp>IT0004957798@rbsm Corp</stp>
        <stp>ask</stp>
        <stp>[BTP Stripping-contributor.xlsx]Contribution!R18C28</stp>
        <tr r="AB18" s="7"/>
      </tp>
      <tp>
        <v>87.013999999999996</v>
        <stp/>
        <stp>##V3_BDPV12</stp>
        <stp>IT0001247359@rbsm Corp</stp>
        <stp>ask</stp>
        <stp>[BTP Stripping-contributor.xlsx]Contribution!R70C28</stp>
        <tr r="AB70" s="7"/>
      </tp>
      <tp>
        <v>99.677000000000007</v>
        <stp/>
        <stp>##V3_BDPV12</stp>
        <stp>IT0004957848@rbsm Corp</stp>
        <stp>ask</stp>
        <stp>[BTP Stripping-contributor.xlsx]Contribution!R33C28</stp>
        <tr r="AB33" s="7"/>
      </tp>
      <tp>
        <v>86.188000000000002</v>
        <stp/>
        <stp>##V3_BDPV12</stp>
        <stp>IT0004976459@rbsm Corp</stp>
        <stp>bid</stp>
        <stp>[BTP Stripping-contributor.xlsx]Contribution!R69C27</stp>
        <tr r="AA69" s="7"/>
      </tp>
      <tp>
        <v>79.106999999999999</v>
        <stp/>
        <stp>##V3_BDPV12</stp>
        <stp>IT0004976509@rbsm Corp</stp>
        <stp>bid</stp>
        <stp>[BTP Stripping-contributor.xlsx]Contribution!R84C27</stp>
        <tr r="AA84" s="7"/>
      </tp>
      <tp>
        <v>77.177999999999997</v>
        <stp/>
        <stp>##V3_BDPV12</stp>
        <stp>IT0003268908@rbsm Corp</stp>
        <stp>bid</stp>
        <stp>[BTP Stripping-contributor.xlsx]Contribution!R89C27</stp>
        <tr r="AA89" s="7"/>
      </tp>
      <tp>
        <v>82.631</v>
        <stp/>
        <stp>##V3_BDPV12</stp>
        <stp>IT0003268858@rbsm Corp</stp>
        <stp>bid</stp>
        <stp>[BTP Stripping-contributor.xlsx]Contribution!R77C27</stp>
        <tr r="AA77" s="7"/>
      </tp>
      <tp>
        <v>9.9836327006656234</v>
        <stp/>
        <stp>##V3_BDPV12</stp>
        <stp>IT0003268957 Corp</stp>
        <stp>risk mid</stp>
        <stp>[BTP Stripping-contributor.xlsx]Contribution!R98C14</stp>
        <tr r="N98" s="7"/>
      </tp>
      <tp>
        <v>6.7310429677242212</v>
        <stp/>
        <stp>##V3_BDPV12</stp>
        <stp>IT0004848435 Corp</stp>
        <stp>risk mid</stp>
        <stp>[BTP Stripping-contributor.xlsx]Contribution!R61C14</stp>
        <tr r="N61" s="7"/>
      </tp>
      <tp>
        <v>7.190528313463318</v>
        <stp/>
        <stp>##V3_BDPV12</stp>
        <stp>IT0003268817 Corp</stp>
        <stp>risk mid</stp>
        <stp>[BTP Stripping-contributor.xlsx]Contribution!R65C14</stp>
        <tr r="N65" s="7"/>
      </tp>
      <tp>
        <v>0.43250603710163205</v>
        <stp/>
        <stp>##V3_BDPV12</stp>
        <stp>IT0001247185 Corp</stp>
        <stp>risk mid</stp>
        <stp>[BTP Stripping-contributor.xlsx]Contribution!R19C14</stp>
        <tr r="N19" s="7"/>
      </tp>
      <tp>
        <v>2.9156558687098766</v>
        <stp/>
        <stp>##V3_BDPV12</stp>
        <stp>IT0001247235 Corp</stp>
        <stp>risk mid</stp>
        <stp>[BTP Stripping-contributor.xlsx]Contribution!R34C14</stp>
        <tr r="N34" s="7"/>
      </tp>
      <tp>
        <v>8.2068619724601888</v>
        <stp/>
        <stp>##V3_BDPV12</stp>
        <stp>IT0001247375 Corp</stp>
        <stp>risk mid</stp>
        <stp>[BTP Stripping-contributor.xlsx]Contribution!R76C14</stp>
        <tr r="N76" s="7"/>
      </tp>
      <tp>
        <v>1.26905924792311</v>
        <stp/>
        <stp>##V3_BDPV12</stp>
        <stp>IT0004957814 Corp</stp>
        <stp>risk mid</stp>
        <stp>[BTP Stripping-contributor.xlsx]Contribution!R24C14</stp>
        <tr r="N24" s="7"/>
      </tp>
      <tp>
        <v>93.128</v>
        <stp/>
        <stp>##V3_BDPV12</stp>
        <stp>IT0004848708@rbsm Corp</stp>
        <stp>ask</stp>
        <stp>[BTP Stripping-contributor.xlsx]Contribution!R59C28</stp>
        <tr r="AB59" s="7"/>
      </tp>
      <tp>
        <v>97.430999999999997</v>
        <stp/>
        <stp>##V3_BDPV12</stp>
        <stp>IT0004848658@rbsm Corp</stp>
        <stp>ask</stp>
        <stp>[BTP Stripping-contributor.xlsx]Contribution!R47C28</stp>
        <tr r="AB47" s="7"/>
      </tp>
      <tp>
        <v>97.99</v>
        <stp/>
        <stp>##V3_BDPV12</stp>
        <stp>IT0001247268@rbsm Corp</stp>
        <stp>ask</stp>
        <stp>[BTP Stripping-contributor.xlsx]Contribution!R43C28</stp>
        <tr r="AB43" s="7"/>
      </tp>
      <tp>
        <v>93.242999999999995</v>
        <stp/>
        <stp>##V3_BDPV12</stp>
        <stp>IT0001247318@rbsm Corp</stp>
        <stp>ask</stp>
        <stp>[BTP Stripping-contributor.xlsx]Contribution!R58C28</stp>
        <tr r="AB58" s="7"/>
      </tp>
      <tp>
        <v>97.53</v>
        <stp/>
        <stp>##V3_BDPV12</stp>
        <stp>IT0004957889@rbsm Corp</stp>
        <stp>ask</stp>
        <stp>[BTP Stripping-contributor.xlsx]Contribution!R45C28</stp>
        <tr r="AB45" s="7"/>
      </tp>
      <tp>
        <v>91.908000000000001</v>
        <stp/>
        <stp>##V3_BDPV12</stp>
        <stp>IT0004957939@rbsm Corp</stp>
        <stp>ask</stp>
        <stp>[BTP Stripping-contributor.xlsx]Contribution!R60C28</stp>
        <tr r="AB60" s="7"/>
      </tp>
      <tp>
        <v>74.917000000000002</v>
        <stp/>
        <stp>##V3_BDPV12</stp>
        <stp>IT0004976558@rbsm Corp</stp>
        <stp>bid</stp>
        <stp>[BTP Stripping-contributor.xlsx]Contribution!R99C27</stp>
        <tr r="AA99" s="7"/>
      </tp>
      <tp>
        <v>89.861000000000004</v>
        <stp/>
        <stp>##V3_BDPV12</stp>
        <stp>IT0003268809@rbsm Corp</stp>
        <stp>bid</stp>
        <stp>[BTP Stripping-contributor.xlsx]Contribution!R62C27</stp>
        <tr r="AA62" s="7"/>
      </tp>
      <tp>
        <v>5.3591377332836032</v>
        <stp/>
        <stp>##V3_BDPV12</stp>
        <stp>IT0003268726 Corp</stp>
        <stp>risk mid</stp>
        <stp>[BTP Stripping-contributor.xlsx]Contribution!R50C14</stp>
        <tr r="N50" s="7"/>
      </tp>
      <tp>
        <v>4.5471238633957967</v>
        <stp/>
        <stp>##V3_BDPV12</stp>
        <stp>IT0003268676 Corp</stp>
        <stp>risk mid</stp>
        <stp>[BTP Stripping-contributor.xlsx]Contribution!R44C14</stp>
        <tr r="N44" s="7"/>
      </tp>
      <tp>
        <v>0.68610546165857045</v>
        <stp/>
        <stp>##V3_BDPV12</stp>
        <stp>IT0004848674 Corp</stp>
        <stp>risk mid</stp>
        <stp>[BTP Stripping-contributor.xlsx]Contribution!R20C14</stp>
        <tr r="N20" s="7"/>
      </tp>
      <tp>
        <v>9.9668539870251038</v>
        <stp/>
        <stp>##V3_BDPV12</stp>
        <stp>IT0004848484 Corp</stp>
        <stp>risk mid</stp>
        <stp>[BTP Stripping-contributor.xlsx]Contribution!R97C14</stp>
        <tr r="N97" s="7"/>
      </tp>
      <tp>
        <v>1.4341452821405198</v>
        <stp/>
        <stp>##V3_BDPV12</stp>
        <stp>IT0004869316 Corp</stp>
        <stp>risk mid</stp>
        <stp>[BTP Stripping-contributor.xlsx]Contribution!R25C14</stp>
        <tr r="N25" s="7"/>
      </tp>
      <tp>
        <v>9.1564246028568164</v>
        <stp/>
        <stp>##V3_BDPV12</stp>
        <stp>IT0001312781 Corp</stp>
        <stp>risk mid</stp>
        <stp>[BTP Stripping-contributor.xlsx]Contribution!R88C14</stp>
        <tr r="N88" s="7"/>
      </tp>
      <tp>
        <v>7.765958789193661</v>
        <stp/>
        <stp>##V3_BDPV12</stp>
        <stp>IT0004976467 Corp</stp>
        <stp>risk mid</stp>
        <stp>[BTP Stripping-contributor.xlsx]Contribution!R72C14</stp>
        <tr r="N72" s="7"/>
      </tp>
      <tp>
        <v>9.030646439760659</v>
        <stp/>
        <stp>##V3_BDPV12</stp>
        <stp>IT0004976517 Corp</stp>
        <stp>risk mid</stp>
        <stp>[BTP Stripping-contributor.xlsx]Contribution!R87C14</stp>
        <tr r="N87" s="7"/>
      </tp>
      <tp>
        <v>7.0216319102179625</v>
        <stp/>
        <stp>##V3_BDPV12</stp>
        <stp>IT0001247334 Corp</stp>
        <stp>risk mid</stp>
        <stp>[BTP Stripping-contributor.xlsx]Contribution!R64C14</stp>
        <tr r="N64" s="7"/>
      </tp>
      <tp>
        <v>5.188351393753976</v>
        <stp/>
        <stp>##V3_BDPV12</stp>
        <stp>IT0001247284 Corp</stp>
        <stp>risk mid</stp>
        <stp>[BTP Stripping-contributor.xlsx]Contribution!R49C14</stp>
        <tr r="N49" s="7"/>
      </tp>
      <tp>
        <v>5.454399708919766</v>
        <stp/>
        <stp>##V3_BDPV12</stp>
        <stp>IT0004957905 Corp</stp>
        <stp>risk mid</stp>
        <stp>[BTP Stripping-contributor.xlsx]Contribution!R51C14</stp>
        <tr r="N51" s="7"/>
      </tp>
      <tp>
        <v>3.2403719252648955</v>
        <stp/>
        <stp>##V3_BDPV12</stp>
        <stp>IT0004957855 Corp</stp>
        <stp>risk mid</stp>
        <stp>[BTP Stripping-contributor.xlsx]Contribution!R36C14</stp>
        <tr r="N36" s="7"/>
      </tp>
      <tp t="s">
        <v>#N/A N/A</v>
        <stp/>
        <stp>##V3_BDPV12</stp>
        <stp>IT0001247136 Corp</stp>
        <stp>risk mid</stp>
        <stp>[BTP Stripping-contributor.xlsx]Contribution!R4C14</stp>
        <tr r="N4" s="7"/>
      </tp>
      <tp>
        <v>91.027000000000001</v>
        <stp/>
        <stp>##V3_BDPV12</stp>
        <stp>IT0003268809@rbsm Corp</stp>
        <stp>ask</stp>
        <stp>[BTP Stripping-contributor.xlsx]Contribution!R62C28</stp>
        <tr r="AB62" s="7"/>
      </tp>
      <tp>
        <v>76.965999999999994</v>
        <stp/>
        <stp>##V3_BDPV12</stp>
        <stp>IT0004976558@rbsm Corp</stp>
        <stp>ask</stp>
        <stp>[BTP Stripping-contributor.xlsx]Contribution!R99C28</stp>
        <tr r="AB99" s="7"/>
      </tp>
      <tp>
        <v>97.558000000000007</v>
        <stp/>
        <stp>##V3_BDPV12</stp>
        <stp>IT0001247268@rbsm Corp</stp>
        <stp>bid</stp>
        <stp>[BTP Stripping-contributor.xlsx]Contribution!R43C27</stp>
        <tr r="AA43" s="7"/>
      </tp>
      <tp>
        <v>92.923000000000002</v>
        <stp/>
        <stp>##V3_BDPV12</stp>
        <stp>IT0001247318@rbsm Corp</stp>
        <stp>bid</stp>
        <stp>[BTP Stripping-contributor.xlsx]Contribution!R58C27</stp>
        <tr r="AA58" s="7"/>
      </tp>
      <tp>
        <v>96.611000000000004</v>
        <stp/>
        <stp>##V3_BDPV12</stp>
        <stp>IT0004957889@rbsm Corp</stp>
        <stp>bid</stp>
        <stp>[BTP Stripping-contributor.xlsx]Contribution!R45C27</stp>
        <tr r="AA45" s="7"/>
      </tp>
      <tp>
        <v>90.599000000000004</v>
        <stp/>
        <stp>##V3_BDPV12</stp>
        <stp>IT0004957939@rbsm Corp</stp>
        <stp>bid</stp>
        <stp>[BTP Stripping-contributor.xlsx]Contribution!R60C27</stp>
        <tr r="AA60" s="7"/>
      </tp>
      <tp>
        <v>92.337000000000003</v>
        <stp/>
        <stp>##V3_BDPV12</stp>
        <stp>IT0004848708@rbsm Corp</stp>
        <stp>bid</stp>
        <stp>[BTP Stripping-contributor.xlsx]Contribution!R59C27</stp>
        <tr r="AA59" s="7"/>
      </tp>
      <tp>
        <v>96.68</v>
        <stp/>
        <stp>##V3_BDPV12</stp>
        <stp>IT0004848658@rbsm Corp</stp>
        <stp>bid</stp>
        <stp>[BTP Stripping-contributor.xlsx]Contribution!R47C27</stp>
        <tr r="AA47" s="7"/>
      </tp>
      <tp>
        <v>6.173994450839615</v>
        <stp/>
        <stp>##V3_BDPV12</stp>
        <stp>IT0003268775 Corp</stp>
        <stp>risk mid</stp>
        <stp>[BTP Stripping-contributor.xlsx]Contribution!R56C14</stp>
        <tr r="N56" s="7"/>
      </tp>
      <tp>
        <v>4.1024153425226473</v>
        <stp/>
        <stp>##V3_BDPV12</stp>
        <stp>IT0003268635 Corp</stp>
        <stp>risk mid</stp>
        <stp>[BTP Stripping-contributor.xlsx]Contribution!R41C14</stp>
        <tr r="N41" s="7"/>
      </tp>
      <tp>
        <v>3.656460631009395</v>
        <stp/>
        <stp>##V3_BDPV12</stp>
        <stp>IT0004848617 Corp</stp>
        <stp>risk mid</stp>
        <stp>[BTP Stripping-contributor.xlsx]Contribution!R38C14</stp>
        <tr r="N38" s="7"/>
      </tp>
      <tp>
        <v>3.1597161867665591</v>
        <stp/>
        <stp>##V3_BDPV12</stp>
        <stp>IT0003268585 Corp</stp>
        <stp>risk mid</stp>
        <stp>[BTP Stripping-contributor.xlsx]Contribution!R35C14</stp>
        <tr r="N35" s="7"/>
      </tp>
      <tp>
        <v>7.5065802740873266</v>
        <stp/>
        <stp>##V3_BDPV12</stp>
        <stp>IT0003268825 Corp</stp>
        <stp>risk mid</stp>
        <stp>[BTP Stripping-contributor.xlsx]Contribution!R68C14</stp>
        <tr r="N68" s="7"/>
      </tp>
      <tp>
        <v>0.93732864687794404</v>
        <stp/>
        <stp>##V3_BDPV12</stp>
        <stp>IT0004848807 Corp</stp>
        <stp>risk mid</stp>
        <stp>[BTP Stripping-contributor.xlsx]Contribution!R22C14</stp>
        <tr r="N22" s="7"/>
      </tp>
      <tp t="s">
        <v>#N/A N/A</v>
        <stp/>
        <stp>##V3_BDPV12</stp>
        <stp>IT0001247177 Corp</stp>
        <stp>risk mid</stp>
        <stp>[BTP Stripping-contributor.xlsx]Contribution!R16C14</stp>
        <tr r="N16" s="7"/>
      </tp>
      <tp>
        <v>2.4223924689529497</v>
        <stp/>
        <stp>##V3_BDPV12</stp>
        <stp>IT0001247227 Corp</stp>
        <stp>risk mid</stp>
        <stp>[BTP Stripping-contributor.xlsx]Contribution!R31C14</stp>
        <tr r="N31" s="7"/>
      </tp>
      <tp>
        <v>7.9335871458539486</v>
        <stp/>
        <stp>##V3_BDPV12</stp>
        <stp>IT0001247367 Corp</stp>
        <stp>risk mid</stp>
        <stp>[BTP Stripping-contributor.xlsx]Contribution!R73C14</stp>
        <tr r="N73" s="7"/>
      </tp>
      <tp>
        <v>0.76693153751818954</v>
        <stp/>
        <stp>##V3_BDPV12</stp>
        <stp>IT0004957806 Corp</stp>
        <stp>risk mid</stp>
        <stp>[BTP Stripping-contributor.xlsx]Contribution!R21C14</stp>
        <tr r="N21" s="7"/>
      </tp>
    </main>
    <main first="bloomberg.rtd">
      <tp>
        <v>78.290999999999997</v>
        <stp/>
        <stp>##V3_BDPV12</stp>
        <stp>IT0003268908@rbsm Corp</stp>
        <stp>ask</stp>
        <stp>[BTP Stripping-contributor.xlsx]Contribution!R89C28</stp>
        <tr r="AB89" s="7"/>
      </tp>
      <tp>
        <v>83.462000000000003</v>
        <stp/>
        <stp>##V3_BDPV12</stp>
        <stp>IT0003268858@rbsm Corp</stp>
        <stp>ask</stp>
        <stp>[BTP Stripping-contributor.xlsx]Contribution!R77C28</stp>
        <tr r="AB77" s="7"/>
      </tp>
      <tp>
        <v>87.688999999999993</v>
        <stp/>
        <stp>##V3_BDPV12</stp>
        <stp>IT0004976459@rbsm Corp</stp>
        <stp>ask</stp>
        <stp>[BTP Stripping-contributor.xlsx]Contribution!R69C28</stp>
        <tr r="AB69" s="7"/>
      </tp>
      <tp>
        <v>80.873999999999995</v>
        <stp/>
        <stp>##V3_BDPV12</stp>
        <stp>IT0004976509@rbsm Corp</stp>
        <stp>ask</stp>
        <stp>[BTP Stripping-contributor.xlsx]Contribution!R84C28</stp>
        <tr r="AB84" s="7"/>
      </tp>
      <tp>
        <v>99.644999999999996</v>
        <stp/>
        <stp>##V3_BDPV12</stp>
        <stp>IT0001247219@rbsm Corp</stp>
        <stp>bid</stp>
        <stp>[BTP Stripping-contributor.xlsx]Contribution!R28C27</stp>
        <tr r="AA28" s="7"/>
      </tp>
      <tp>
        <v>100.008</v>
        <stp/>
        <stp>##V3_BDPV12</stp>
        <stp>IT0004957798@rbsm Corp</stp>
        <stp>bid</stp>
        <stp>[BTP Stripping-contributor.xlsx]Contribution!R18C27</stp>
        <tr r="AA18" s="7"/>
      </tp>
      <tp>
        <v>86.251999999999995</v>
        <stp/>
        <stp>##V3_BDPV12</stp>
        <stp>IT0001247359@rbsm Corp</stp>
        <stp>bid</stp>
        <stp>[BTP Stripping-contributor.xlsx]Contribution!R70C27</stp>
        <tr r="AA70" s="7"/>
      </tp>
      <tp>
        <v>99.128</v>
        <stp/>
        <stp>##V3_BDPV12</stp>
        <stp>IT0004957848@rbsm Corp</stp>
        <stp>bid</stp>
        <stp>[BTP Stripping-contributor.xlsx]Contribution!R33C27</stp>
        <tr r="AA33" s="7"/>
      </tp>
      <tp>
        <v>2.1847983563063167</v>
        <stp/>
        <stp>##V3_BDPV12</stp>
        <stp>IT0004848716 Corp</stp>
        <stp>risk mid</stp>
        <stp>[BTP Stripping-contributor.xlsx]Contribution!R29C14</stp>
        <tr r="N29" s="7"/>
      </tp>
      <tp>
        <v>0.1842924048460759</v>
        <stp/>
        <stp>##V3_BDPV12</stp>
        <stp>IT0004848666 Corp</stp>
        <stp>risk mid</stp>
        <stp>[BTP Stripping-contributor.xlsx]Contribution!R17C14</stp>
        <tr r="N17" s="7"/>
      </tp>
      <tp>
        <v>9.5382556556963038</v>
        <stp/>
        <stp>##V3_BDPV12</stp>
        <stp>IT0003268924 Corp</stp>
        <stp>risk mid</stp>
        <stp>[BTP Stripping-contributor.xlsx]Contribution!R92C14</stp>
        <tr r="N92" s="7"/>
      </tp>
      <tp>
        <v>8.602002150319521</v>
        <stp/>
        <stp>##V3_BDPV12</stp>
        <stp>IT0003268874 Corp</stp>
        <stp>risk mid</stp>
        <stp>[BTP Stripping-contributor.xlsx]Contribution!R80C14</stp>
        <tr r="N80" s="7"/>
      </tp>
      <tp>
        <v>8.9885620322462501</v>
        <stp/>
        <stp>##V3_BDPV12</stp>
        <stp>IT0004848476 Corp</stp>
        <stp>risk mid</stp>
        <stp>[BTP Stripping-contributor.xlsx]Contribution!R85C14</stp>
        <tr r="N85" s="7"/>
      </tp>
      <tp>
        <v>6.0257406999447483</v>
        <stp/>
        <stp>##V3_BDPV12</stp>
        <stp>IT0004869324 Corp</stp>
        <stp>risk mid</stp>
        <stp>[BTP Stripping-contributor.xlsx]Contribution!R55C14</stp>
        <tr r="N55" s="7"/>
      </tp>
      <tp>
        <v>8.1029879187695997</v>
        <stp/>
        <stp>##V3_BDPV12</stp>
        <stp>IT0004976475 Corp</stp>
        <stp>risk mid</stp>
        <stp>[BTP Stripping-contributor.xlsx]Contribution!R75C14</stp>
        <tr r="N75" s="7"/>
      </tp>
      <tp>
        <v>9.4383520262077525</v>
        <stp/>
        <stp>##V3_BDPV12</stp>
        <stp>IT0004976525 Corp</stp>
        <stp>risk mid</stp>
        <stp>[BTP Stripping-contributor.xlsx]Contribution!R90C14</stp>
        <tr r="N90" s="7"/>
      </tp>
      <tp>
        <v>4.7691573455701075</v>
        <stp/>
        <stp>##V3_BDPV12</stp>
        <stp>IT0001247276 Corp</stp>
        <stp>risk mid</stp>
        <stp>[BTP Stripping-contributor.xlsx]Contribution!R46C14</stp>
        <tr r="N46" s="7"/>
      </tp>
      <tp>
        <v>5.0484978950436243</v>
        <stp/>
        <stp>##V3_BDPV12</stp>
        <stp>IT0004957897 Corp</stp>
        <stp>risk mid</stp>
        <stp>[BTP Stripping-contributor.xlsx]Contribution!R48C14</stp>
        <tr r="N48" s="7"/>
      </tp>
      <tp>
        <v>6.9872307221579888</v>
        <stp/>
        <stp>##V3_BDPV12</stp>
        <stp>IT0004957947 Corp</stp>
        <stp>risk mid</stp>
        <stp>[BTP Stripping-contributor.xlsx]Contribution!R63C14</stp>
        <tr r="N63" s="7"/>
      </tp>
      <tp>
        <v>7.8063748511091546</v>
        <stp/>
        <stp>##V3_BDPV12</stp>
        <stp>IT0003268833 Corp</stp>
        <stp>risk mid</stp>
        <stp>[BTP Stripping-contributor.xlsx]Contribution!R71C14</stp>
        <tr r="N71" s="7"/>
      </tp>
      <tp>
        <v>7.3180645284864454</v>
        <stp/>
        <stp>##V3_BDPV12</stp>
        <stp>IT0004976442 Corp</stp>
        <stp>risk mid</stp>
        <stp>[BTP Stripping-contributor.xlsx]Contribution!R66C14</stp>
        <tr r="N66" s="7"/>
      </tp>
      <tp t="s">
        <v>#N/A N/A</v>
        <stp/>
        <stp>##V3_BDPV12</stp>
        <stp>IT0001247151 Corp</stp>
        <stp>risk mid</stp>
        <stp>[BTP Stripping-contributor.xlsx]Contribution!R10C14</stp>
        <tr r="N10" s="7"/>
      </tp>
      <tp t="s">
        <v>#N/A N/A</v>
        <stp/>
        <stp>##V3_BDPV12</stp>
        <stp>IT0004957780 Corp</stp>
        <stp>risk mid</stp>
        <stp>[BTP Stripping-contributor.xlsx]Contribution!R15C14</stp>
        <tr r="N15" s="7"/>
      </tp>
      <tp>
        <v>8.7300888659584075</v>
        <stp/>
        <stp>##V3_BDPV12</stp>
        <stp>IT0001247391 Corp</stp>
        <stp>risk mid</stp>
        <stp>[BTP Stripping-contributor.xlsx]Contribution!R82C14</stp>
        <tr r="N82" s="7"/>
      </tp>
      <tp>
        <v>2.2661875004224896</v>
        <stp/>
        <stp>##V3_BDPV12</stp>
        <stp>IT0004957830 Corp</stp>
        <stp>risk mid</stp>
        <stp>[BTP Stripping-contributor.xlsx]Contribution!R30C14</stp>
        <tr r="N30" s="7"/>
      </tp>
      <tp>
        <v>77.730999999999995</v>
        <stp/>
        <stp>##V3_BDPV12</stp>
        <stp>IT0001312799@rbsm Corp</stp>
        <stp>ask</stp>
        <stp>[BTP Stripping-contributor.xlsx]Contribution!R91C28</stp>
        <tr r="AB91" s="7"/>
      </tp>
    </main>
    <main first="bloomberg.rtd">
      <tp>
        <v>5.7775958219217216</v>
        <stp/>
        <stp>##V3_BDPV12</stp>
        <stp>IT0003268742 Corp</stp>
        <stp>risk mid</stp>
        <stp>[BTP Stripping-contributor.xlsx]Contribution!R53C14</stp>
        <tr r="N53" s="7"/>
      </tp>
      <tp>
        <v>1.1867100202501035</v>
        <stp/>
        <stp>##V3_BDPV12</stp>
        <stp>IT0004848500 Corp</stp>
        <stp>risk mid</stp>
        <stp>[BTP Stripping-contributor.xlsx]Contribution!R23C14</stp>
        <tr r="N23" s="7"/>
      </tp>
      <tp>
        <v>8.8294417072376064</v>
        <stp/>
        <stp>##V3_BDPV12</stp>
        <stp>IT0003268882 Corp</stp>
        <stp>risk mid</stp>
        <stp>[BTP Stripping-contributor.xlsx]Contribution!R83C14</stp>
        <tr r="N83" s="7"/>
      </tp>
      <tp>
        <v>9.7794463805954024</v>
        <stp/>
        <stp>##V3_BDPV12</stp>
        <stp>IT0003268932 Corp</stp>
        <stp>risk mid</stp>
        <stp>[BTP Stripping-contributor.xlsx]Contribution!R95C14</stp>
        <tr r="N95" s="7"/>
      </tp>
      <tp t="s">
        <v>#N/A N/A</v>
        <stp/>
        <stp>##V3_BDPV12</stp>
        <stp>IT0004871353 Corp</stp>
        <stp>risk mid</stp>
        <stp>[BTP Stripping-contributor.xlsx]Contribution!R13C14</stp>
        <tr r="N13" s="7"/>
      </tp>
      <tp>
        <v>8.3375216234415461</v>
        <stp/>
        <stp>##V3_BDPV12</stp>
        <stp>IT0004976483 Corp</stp>
        <stp>risk mid</stp>
        <stp>[BTP Stripping-contributor.xlsx]Contribution!R78C14</stp>
        <tr r="N78" s="7"/>
      </tp>
      <tp>
        <v>9.4569134891528961</v>
        <stp/>
        <stp>##V3_BDPV12</stp>
        <stp>IT0004976533 Corp</stp>
        <stp>risk mid</stp>
        <stp>[BTP Stripping-contributor.xlsx]Contribution!R93C14</stp>
        <tr r="N93" s="7"/>
      </tp>
      <tp>
        <v>3.8720393042133594</v>
        <stp/>
        <stp>##V3_BDPV12</stp>
        <stp>IT0001247250 Corp</stp>
        <stp>risk mid</stp>
        <stp>[BTP Stripping-contributor.xlsx]Contribution!R40C14</stp>
        <tr r="N40" s="7"/>
      </tp>
      <tp>
        <v>4.1689853121766873</v>
        <stp/>
        <stp>##V3_BDPV12</stp>
        <stp>IT0004957871 Corp</stp>
        <stp>risk mid</stp>
        <stp>[BTP Stripping-contributor.xlsx]Contribution!R42C14</stp>
        <tr r="N42" s="7"/>
      </tp>
      <tp>
        <v>6.2240737952166114</v>
        <stp/>
        <stp>##V3_BDPV12</stp>
        <stp>IT0004957921 Corp</stp>
        <stp>risk mid</stp>
        <stp>[BTP Stripping-contributor.xlsx]Contribution!R57C14</stp>
        <tr r="N57" s="7"/>
      </tp>
    </main>
    <main first="bloomberg.rtd">
      <tp>
        <v>76.977000000000004</v>
        <stp/>
        <stp>##V3_BDPV12</stp>
        <stp>IT0001312799@rbsm Corp</stp>
        <stp>bid</stp>
        <stp>[BTP Stripping-contributor.xlsx]Contribution!R91C27</stp>
        <tr r="AA91" s="7"/>
      </tp>
      <tp t="s">
        <v>#N/A N/A</v>
        <stp/>
        <stp>##V3_BDPV12</stp>
        <stp>IT0004848633 Corp</stp>
        <stp>risk mid</stp>
        <stp>[BTP Stripping-contributor.xlsx]Contribution!R11C14</stp>
        <tr r="N11" s="7"/>
      </tp>
      <tp>
        <v>2.6817821540703335</v>
        <stp/>
        <stp>##V3_BDPV12</stp>
        <stp>IT0004848583 Corp</stp>
        <stp>risk mid</stp>
        <stp>[BTP Stripping-contributor.xlsx]Contribution!R32C14</stp>
        <tr r="N32" s="7"/>
      </tp>
      <tp>
        <v>8.5308257112878039</v>
        <stp/>
        <stp>##V3_BDPV12</stp>
        <stp>IT0004848443 Corp</stp>
        <stp>risk mid</stp>
        <stp>[BTP Stripping-contributor.xlsx]Contribution!R79C14</stp>
        <tr r="N79" s="7"/>
      </tp>
      <tp>
        <v>8.0941897903429094</v>
        <stp/>
        <stp>##V3_BDPV12</stp>
        <stp>IT0003268841 Corp</stp>
        <stp>risk mid</stp>
        <stp>[BTP Stripping-contributor.xlsx]Contribution!R74C14</stp>
        <tr r="N74" s="7"/>
      </tp>
      <tp>
        <v>3.3933564229919</v>
        <stp/>
        <stp>##V3_BDPV12</stp>
        <stp>IT0001247243 Corp</stp>
        <stp>risk mid</stp>
        <stp>[BTP Stripping-contributor.xlsx]Contribution!R37C14</stp>
        <tr r="N37" s="7"/>
      </tp>
      <tp t="s">
        <v>#N/A N/A</v>
        <stp/>
        <stp>##V3_BDPV12</stp>
        <stp>IT0004957772 Corp</stp>
        <stp>risk mid</stp>
        <stp>[BTP Stripping-contributor.xlsx]Contribution!R12C14</stp>
        <tr r="N12" s="7"/>
      </tp>
      <tp>
        <v>1.7658894504521072</v>
        <stp/>
        <stp>##V3_BDPV12</stp>
        <stp>IT0004957822 Corp</stp>
        <stp>risk mid</stp>
        <stp>[BTP Stripping-contributor.xlsx]Contribution!R27C14</stp>
        <tr r="N27" s="7"/>
      </tp>
      <tp t="s">
        <v>#N/A N/A</v>
        <stp/>
        <stp>##V3_BDPV12</stp>
        <stp>IT0001247144 Corp</stp>
        <stp>risk mid</stp>
        <stp>[BTP Stripping-contributor.xlsx]Contribution!R7C14</stp>
        <tr r="N7" s="7"/>
      </tp>
      <tp>
        <v>1.6860660590815257</v>
        <stp/>
        <stp>##V3_BDPV12</stp>
        <stp>IT0004848682 Corp</stp>
        <stp>risk mid</stp>
        <stp>[BTP Stripping-contributor.xlsx]Contribution!R26C14</stp>
        <tr r="N26" s="7"/>
      </tp>
      <tp>
        <v>9.0645830678894868</v>
        <stp/>
        <stp>##V3_BDPV12</stp>
        <stp>IT0003268890 Corp</stp>
        <stp>risk mid</stp>
        <stp>[BTP Stripping-contributor.xlsx]Contribution!R86C14</stp>
        <tr r="N86" s="7"/>
      </tp>
      <tp>
        <v>9.6309525584644007</v>
        <stp/>
        <stp>##V3_BDPV12</stp>
        <stp>IT0001312807 Corp</stp>
        <stp>risk mid</stp>
        <stp>[BTP Stripping-contributor.xlsx]Contribution!R94C14</stp>
        <tr r="N94" s="7"/>
      </tp>
      <tp>
        <v>9.7118782398659675</v>
        <stp/>
        <stp>##V3_BDPV12</stp>
        <stp>IT0004976541 Corp</stp>
        <stp>risk mid</stp>
        <stp>[BTP Stripping-contributor.xlsx]Contribution!R96C14</stp>
        <tr r="N96" s="7"/>
      </tp>
      <tp>
        <v>8.578225497561931</v>
        <stp/>
        <stp>##V3_BDPV12</stp>
        <stp>IT0004976491 Corp</stp>
        <stp>risk mid</stp>
        <stp>[BTP Stripping-contributor.xlsx]Contribution!R81C14</stp>
        <tr r="N81" s="7"/>
      </tp>
      <tp>
        <v>7.3355667834277938</v>
        <stp/>
        <stp>##V3_BDPV12</stp>
        <stp>IT0001247342 Corp</stp>
        <stp>risk mid</stp>
        <stp>[BTP Stripping-contributor.xlsx]Contribution!R67C14</stp>
        <tr r="N67" s="7"/>
      </tp>
      <tp>
        <v>5.5980857747350399</v>
        <stp/>
        <stp>##V3_BDPV12</stp>
        <stp>IT0001247292 Corp</stp>
        <stp>risk mid</stp>
        <stp>[BTP Stripping-contributor.xlsx]Contribution!R52C14</stp>
        <tr r="N52" s="7"/>
      </tp>
      <tp>
        <v>5.8438554598538417</v>
        <stp/>
        <stp>##V3_BDPV12</stp>
        <stp>IT0004957913 Corp</stp>
        <stp>risk mid</stp>
        <stp>[BTP Stripping-contributor.xlsx]Contribution!R54C14</stp>
        <tr r="N54" s="7"/>
      </tp>
      <tp>
        <v>3.6944235387601054</v>
        <stp/>
        <stp>##V3_BDPV12</stp>
        <stp>IT0004957863 Corp</stp>
        <stp>risk mid</stp>
        <stp>[BTP Stripping-contributor.xlsx]Contribution!R39C14</stp>
        <tr r="N39" s="7"/>
      </tp>
    </main>
    <main first="bloomberg.rtd">
      <tp>
        <v>11.674761630232666</v>
        <stp/>
        <stp>##V3_BDPV12</stp>
        <stp>IT0004288590 Corp</stp>
        <stp>risk mid</stp>
        <stp>[BTP Stripping-contributor.xlsx]Contribution!R131C14</stp>
        <tr r="N131" s="7"/>
      </tp>
      <tp>
        <v>11.029603356080031</v>
        <stp/>
        <stp>##V3_BDPV12</stp>
        <stp>IT0004848534 Corp</stp>
        <stp>risk mid</stp>
        <stp>[BTP Stripping-contributor.xlsx]Contribution!R113C14</stp>
        <tr r="N113" s="7"/>
      </tp>
      <tp>
        <v>11.421749995584918</v>
        <stp/>
        <stp>##V3_BDPV12</stp>
        <stp>IT0004848591 Corp</stp>
        <stp>risk mid</stp>
        <stp>[BTP Stripping-contributor.xlsx]Contribution!R119C14</stp>
        <tr r="N119" s="7"/>
      </tp>
      <tp>
        <v>10.508429858178658</v>
        <stp/>
        <stp>##V3_BDPV12</stp>
        <stp>IT0004848492 Corp</stp>
        <stp>risk mid</stp>
        <stp>[BTP Stripping-contributor.xlsx]Contribution!R106C14</stp>
        <tr r="N106" s="7"/>
      </tp>
      <tp>
        <v>11.962675535247769</v>
        <stp/>
        <stp>##V3_BDPV12</stp>
        <stp>IT0004848641 Corp</stp>
        <stp>risk mid</stp>
        <stp>[BTP Stripping-contributor.xlsx]Contribution!R129C14</stp>
        <tr r="N129" s="7"/>
      </tp>
      <tp>
        <v>11.586811467524782</v>
        <stp/>
        <stp>##V3_BDPV12</stp>
        <stp>IT0004288608 Corp</stp>
        <stp>risk mid</stp>
        <stp>[BTP Stripping-contributor.xlsx]Contribution!R133C14</stp>
        <tr r="N133" s="7"/>
      </tp>
      <tp>
        <v>11.592842714393115</v>
        <stp/>
        <stp>##V3_BDPV12</stp>
        <stp>IT0004288616 Corp</stp>
        <stp>risk mid</stp>
        <stp>[BTP Stripping-contributor.xlsx]Contribution!R135C14</stp>
        <tr r="N135" s="7"/>
      </tp>
      <tp>
        <v>11.603589000732129</v>
        <stp/>
        <stp>##V3_BDPV12</stp>
        <stp>IT0004288624 Corp</stp>
        <stp>risk mid</stp>
        <stp>[BTP Stripping-contributor.xlsx]Contribution!R137C14</stp>
        <tr r="N137" s="7"/>
      </tp>
      <tp>
        <v>12.039428187012646</v>
        <stp/>
        <stp>##V3_BDPV12</stp>
        <stp>IT0004848690 Corp</stp>
        <stp>risk mid</stp>
        <stp>[BTP Stripping-contributor.xlsx]Contribution!R139C14</stp>
        <tr r="N139" s="7"/>
      </tp>
      <tp>
        <v>10.314077072565908</v>
        <stp/>
        <stp>##V3_BDPV12</stp>
        <stp>IT0003268999 Corp</stp>
        <stp>risk mid</stp>
        <stp>[BTP Stripping-contributor.xlsx]Contribution!R104C14</stp>
        <tr r="N104" s="7"/>
      </tp>
      <tp>
        <v>10.127905736058551</v>
        <stp/>
        <stp>##V3_BDPV12</stp>
        <stp>IT0003268973 Corp</stp>
        <stp>risk mid</stp>
        <stp>[BTP Stripping-contributor.xlsx]Contribution!R101C14</stp>
        <tr r="N101" s="7"/>
      </tp>
    </main>
    <main first="bloomberg.rtd">
      <tp>
        <v>10.669336231443083</v>
        <stp/>
        <stp>##V3_BDPV12</stp>
        <stp>IT0003269021 Corp</stp>
        <stp>risk mid</stp>
        <stp>[BTP Stripping-contributor.xlsx]Contribution!R109C14</stp>
        <tr r="N109" s="7"/>
      </tp>
      <tp>
        <v>10.769265481689416</v>
        <stp/>
        <stp>##V3_BDPV12</stp>
        <stp>IT0003269039 Corp</stp>
        <stp>risk mid</stp>
        <stp>[BTP Stripping-contributor.xlsx]Contribution!R111C14</stp>
        <tr r="N111" s="7"/>
      </tp>
      <tp>
        <v>10.493336226550554</v>
        <stp/>
        <stp>##V3_BDPV12</stp>
        <stp>IT0003269013 Corp</stp>
        <stp>risk mid</stp>
        <stp>[BTP Stripping-contributor.xlsx]Contribution!R107C14</stp>
        <tr r="N107" s="7"/>
      </tp>
    </main>
    <main first="realtimexl.rtxlpubrtd.1">
      <tp t="s">
        <v>Success: Insert Ack on DTSIMI2 for STRIP.IT0004002827 at 10:36:50</v>
        <stp/>
        <stp>368711552:122:19</stp>
        <stp>DTSIMI2</stp>
        <stp>STRIP.IT0004002827</stp>
        <stp>0</stp>
        <stp/>
        <stp xml:space="preserve">BID	ASK	</stp>
        <tr r="T123" s="7"/>
      </tp>
    </main>
    <main first="realtimexl.rtxlpubrtd.1">
      <tp t="s">
        <v>Success: Insert Ack on DTSIMI2 for STRIP.IT0004002819 at 10:36:50</v>
        <stp/>
        <stp>368711552:120:19</stp>
        <stp>DTSIMI2</stp>
        <stp>STRIP.IT0004002819</stp>
        <stp>0</stp>
        <stp/>
        <stp xml:space="preserve">BID	ASK	</stp>
        <tr r="T121" s="7"/>
      </tp>
    </main>
    <main first="realtimexl.rtxlpubrtd.1">
      <tp t="s">
        <v>Success: Insert Ack on DTSIMI2 for STRIP.IT0004976640 at 10:36:50</v>
        <stp/>
        <stp>368711552:119:19</stp>
        <stp>DTSIMI2</stp>
        <stp>STRIP.IT0004976640</stp>
        <stp>0</stp>
        <stp/>
        <stp xml:space="preserve">BID	ASK	</stp>
        <tr r="T120" s="7"/>
      </tp>
      <tp t="s">
        <v>Success: Insert Ack on DTSIMI2 for STRIP.IT0004976822 at 10:36:50</v>
        <stp/>
        <stp>368711552:147:19</stp>
        <stp>DTSIMI2</stp>
        <stp>STRIP.IT0004976822</stp>
        <stp>0</stp>
        <stp/>
        <stp xml:space="preserve">BID	ASK	</stp>
        <tr r="T148" s="7"/>
      </tp>
      <tp t="s">
        <v>Success: Insert Ack on DTSIMI2 for STRIP.IT0004976699 at 10:36:19</v>
        <stp/>
        <stp>368711552:129:19</stp>
        <stp>DTSIMI2</stp>
        <stp>STRIP.IT0004976699</stp>
        <stp>0</stp>
        <stp/>
        <stp xml:space="preserve">BID	ASK	</stp>
        <tr r="T130" s="7"/>
      </tp>
      <tp t="s">
        <v>Success: Insert Ack on DTSIMI2 for STRIP.IT0003269021 at 10:34:52</v>
        <stp/>
        <stp>368711552:108:19</stp>
        <stp>DTSIMI2</stp>
        <stp>STRIP.IT0003269021</stp>
        <stp>0</stp>
        <stp/>
        <stp xml:space="preserve">BID	ASK	</stp>
        <tr r="T109" s="7"/>
      </tp>
    </main>
    <main first="realtimexl.rtxlpubrtd.1">
      <tp t="s">
        <v>Success: Insert Ack on DTSIMI2 for STRIP.IT0004976749 at 10:36:50</v>
        <stp/>
        <stp>368711552:139:19</stp>
        <stp>DTSIMI2</stp>
        <stp>STRIP.IT0004976749</stp>
        <stp>0</stp>
        <stp/>
        <stp xml:space="preserve">BID	ASK	</stp>
        <tr r="T140" s="7"/>
      </tp>
      <tp t="s">
        <v>Success: Insert Ack on DTSIMI2 for STRIP.IT0004848641 at 10:36:19</v>
        <stp/>
        <stp>368711552:128:19</stp>
        <stp>DTSIMI2</stp>
        <stp>STRIP.IT0004848641</stp>
        <stp>0</stp>
        <stp/>
        <stp xml:space="preserve">BID	ASK	</stp>
        <tr r="T129" s="7"/>
      </tp>
      <tp t="s">
        <v>Success: Insert Ack on DTSIMI2 for STRIP.IT0004976814 at 10:35:53</v>
        <stp/>
        <stp>368711552:146:19</stp>
        <stp>DTSIMI2</stp>
        <stp>STRIP.IT0004976814</stp>
        <stp>0</stp>
        <stp/>
        <stp xml:space="preserve">BID	ASK	</stp>
        <tr r="T147" s="7"/>
      </tp>
      <tp t="s">
        <v>Success: Insert Ack on DTSIMI2 for STRIP.IT0003268973 at 10:36:17</v>
        <stp/>
        <stp>368711552:100:19</stp>
        <stp>DTSIMI2</stp>
        <stp>STRIP.IT0003268973</stp>
        <stp>0</stp>
        <stp/>
        <stp xml:space="preserve">BID	ASK	</stp>
        <tr r="T101" s="7"/>
      </tp>
      <tp t="s">
        <v>Success: Insert Ack on DTSIMI2 for STRIP.IT0004002843 at 10:36:14</v>
        <stp/>
        <stp>368711552:126:19</stp>
        <stp>DTSIMI2</stp>
        <stp>STRIP.IT0004002843</stp>
        <stp>0</stp>
        <stp/>
        <stp xml:space="preserve">BID	ASK	</stp>
        <tr r="T127" s="7"/>
      </tp>
      <tp t="s">
        <v>Success: Insert Ack on DTSIMI2 for STRIP.IT0004848690 at 10:36:50</v>
        <stp/>
        <stp>368711552:138:19</stp>
        <stp>DTSIMI2</stp>
        <stp>STRIP.IT0004848690</stp>
        <stp>0</stp>
        <stp/>
        <stp xml:space="preserve">BID	ASK	</stp>
        <tr r="T139" s="7"/>
      </tp>
    </main>
    <main first="realtimexl.rtxlpubrtd.1">
      <tp t="s">
        <v>Success: Insert Ack on DTSIMI2 for STRIP.IT0003268999 at 10:36:50</v>
        <stp/>
        <stp>368711552:103:19</stp>
        <stp>DTSIMI2</stp>
        <stp>STRIP.IT0003268999</stp>
        <stp>0</stp>
        <stp/>
        <stp xml:space="preserve">BID	ASK	</stp>
        <tr r="T104" s="7"/>
      </tp>
      <tp t="s">
        <v>Success: Insert Ack on DTSIMI2 for STRIP.IT0004976806 at 10:36:50</v>
        <stp/>
        <stp>368711552:145:19</stp>
        <stp>DTSIMI2</stp>
        <stp>STRIP.IT0004976806</stp>
        <stp>0</stp>
        <stp/>
        <stp xml:space="preserve">BID	ASK	</stp>
        <tr r="T146" s="7"/>
      </tp>
      <tp t="s">
        <v>Success: Insert Ack on DTSIMI2 for STRIP.IT0004848591 at 10:36:50</v>
        <stp/>
        <stp>368711552:118:19</stp>
        <stp>DTSIMI2</stp>
        <stp>STRIP.IT0004848591</stp>
        <stp>0</stp>
        <stp/>
        <stp xml:space="preserve">BID	ASK	</stp>
        <tr r="T119" s="7"/>
      </tp>
    </main>
    <main first="realtimexl.rtxlpubrtd.1">
      <tp t="s">
        <v>Success: Insert Ack on DTSIMI2 for STRIP.IT0004002835 at 10:36:19</v>
        <stp/>
        <stp>368711552:124:19</stp>
        <stp>DTSIMI2</stp>
        <stp>STRIP.IT0004002835</stp>
        <stp>0</stp>
        <stp/>
        <stp xml:space="preserve">BID	ASK	</stp>
        <tr r="T125" s="7"/>
      </tp>
      <tp t="s">
        <v>Success: Insert Ack on DTSIMI2 for STRIP.IT0004976590 at 10:35:59</v>
        <stp/>
        <stp>368711552:109:19</stp>
        <stp>DTSIMI2</stp>
        <stp>STRIP.IT0004976590</stp>
        <stp>0</stp>
        <stp/>
        <stp xml:space="preserve">BID	ASK	</stp>
        <tr r="T110" s="7"/>
      </tp>
    </main>
    <main first="bloomberg.rtd">
      <tp>
        <v>11.078121117141393</v>
        <stp/>
        <stp>##V3_BDPV12</stp>
        <stp>IT0003540397 Corp</stp>
        <stp>risk mid</stp>
        <stp>[BTP Stripping-contributor.xlsx]Contribution!R117C14</stp>
        <tr r="N117" s="7"/>
      </tp>
      <tp>
        <v>11.01330401807914</v>
        <stp/>
        <stp>##V3_BDPV12</stp>
        <stp>IT0003540389 Corp</stp>
        <stp>risk mid</stp>
        <stp>[BTP Stripping-contributor.xlsx]Contribution!R115C14</stp>
        <tr r="N115" s="7"/>
      </tp>
    </main>
    <main first="realtimexl.rtxlpubrtd.1">
      <tp t="s">
        <v>Success: Insert Ack on DTSIMI2 for STRIP.IT0004976673 at 10:36:19</v>
        <stp/>
        <stp>368711552:125:19</stp>
        <stp>DTSIMI2</stp>
        <stp>STRIP.IT0004976673</stp>
        <stp>0</stp>
        <stp/>
        <stp xml:space="preserve">BID	ASK	</stp>
        <tr r="T126" s="7"/>
      </tp>
      <tp t="s">
        <v>Success: Insert Ack on DTSIMI2 for STRIP.IT0004976624 at 10:35:29</v>
        <stp/>
        <stp>368711552:115:19</stp>
        <stp>DTSIMI2</stp>
        <stp>STRIP.IT0004976624</stp>
        <stp>0</stp>
        <stp/>
        <stp xml:space="preserve">BID	ASK	</stp>
        <tr r="T116" s="7"/>
      </tp>
      <tp t="s">
        <v>Success: Insert Ack on DTSIMI2 for STRIP.IT0004976798 at 10:36:50</v>
        <stp/>
        <stp>368711552:144:19</stp>
        <stp>DTSIMI2</stp>
        <stp>STRIP.IT0004976798</stp>
        <stp>0</stp>
        <stp/>
        <stp xml:space="preserve">BID	ASK	</stp>
        <tr r="T145" s="7"/>
      </tp>
    </main>
    <main first="realtimexl.rtxlpubrtd.1">
      <tp t="s">
        <v>Success: Insert Ack on DTSIMI2 for STRIP.IT0003540397 at 10:35:58</v>
        <stp/>
        <stp>368711552:116:19</stp>
        <stp>DTSIMI2</stp>
        <stp>STRIP.IT0003540397</stp>
        <stp>0</stp>
        <stp/>
        <stp xml:space="preserve">BID	ASK	</stp>
        <tr r="T117" s="7"/>
      </tp>
      <tp t="s">
        <v>Success: Insert Ack on DTSIMI2 for STRIP.IT0004976723 at 10:35:53</v>
        <stp/>
        <stp>368711552:135:19</stp>
        <stp>DTSIMI2</stp>
        <stp>STRIP.IT0004976723</stp>
        <stp>0</stp>
        <stp/>
        <stp xml:space="preserve">BID	ASK	</stp>
        <tr r="T136" s="7"/>
      </tp>
      <tp t="s">
        <v>Success: Insert Ack on DTSIMI2 for STRIP.IT0004288616 at 10:36:50</v>
        <stp/>
        <stp>368711552:134:19</stp>
        <stp>DTSIMI2</stp>
        <stp>STRIP.IT0004288616</stp>
        <stp>0</stp>
        <stp/>
        <stp xml:space="preserve">BID	ASK	</stp>
        <tr r="T135" s="7"/>
      </tp>
      <tp t="s">
        <v>Success: Insert Ack on DTSIMI2 for STRIP.IT0004976582 at 10:36:50</v>
        <stp/>
        <stp>368711552:107:19</stp>
        <stp>DTSIMI2</stp>
        <stp>STRIP.IT0004976582</stp>
        <stp>0</stp>
        <stp/>
        <stp xml:space="preserve">BID	ASK	</stp>
        <tr r="T108" s="7"/>
      </tp>
    </main>
    <main first="bloomberg.rtd">
      <tp>
        <v>11.506282982348992</v>
        <stp/>
        <stp>##V3_BDPV12</stp>
        <stp>IT0004002835 Corp</stp>
        <stp>risk mid</stp>
        <stp>[BTP Stripping-contributor.xlsx]Contribution!R125C14</stp>
        <tr r="N125" s="7"/>
      </tp>
      <tp>
        <v>11.4650154791196</v>
        <stp/>
        <stp>##V3_BDPV12</stp>
        <stp>IT0004002827 Corp</stp>
        <stp>risk mid</stp>
        <stp>[BTP Stripping-contributor.xlsx]Contribution!R123C14</stp>
        <tr r="N123" s="7"/>
      </tp>
      <tp>
        <v>11.267043493135631</v>
        <stp/>
        <stp>##V3_BDPV12</stp>
        <stp>IT0004002819 Corp</stp>
        <stp>risk mid</stp>
        <stp>[BTP Stripping-contributor.xlsx]Contribution!R121C14</stp>
        <tr r="N121" s="7"/>
      </tp>
      <tp>
        <v>11.407525738210111</v>
        <stp/>
        <stp>##V3_BDPV12</stp>
        <stp>IT0004002843 Corp</stp>
        <stp>risk mid</stp>
        <stp>[BTP Stripping-contributor.xlsx]Contribution!R127C14</stp>
        <tr r="N127" s="7"/>
      </tp>
    </main>
    <main first="realtimexl.rtxlpubrtd.1">
      <tp t="s">
        <v>Success: Insert Ack on DTSIMI2 for STRIP.IT0004976574 at 10:36:50</v>
        <stp/>
        <stp>368711552:104:19</stp>
        <stp>DTSIMI2</stp>
        <stp>STRIP.IT0004976574</stp>
        <stp>0</stp>
        <stp/>
        <stp xml:space="preserve">BID	ASK	</stp>
        <tr r="T105" s="7"/>
      </tp>
      <tp t="s">
        <v>Success: Insert Ack on DTSIMI2 for STRIP.IT0004976848 at 10:35:30</v>
        <stp/>
        <stp>368711552:149:19</stp>
        <stp>DTSIMI2</stp>
        <stp>STRIP.IT0004976848</stp>
        <stp>0</stp>
        <stp/>
        <stp xml:space="preserve">BID	ASK	</stp>
        <tr r="T150" s="7"/>
      </tp>
      <tp t="s">
        <v>Success: Insert Ack on DTSIMI2 for STRIP.IT0004976632 at 10:36:50</v>
        <stp/>
        <stp>368711552:117:19</stp>
        <stp>DTSIMI2</stp>
        <stp>STRIP.IT0004976632</stp>
        <stp>0</stp>
        <stp/>
        <stp xml:space="preserve">BID	ASK	</stp>
        <tr r="T118" s="7"/>
      </tp>
      <tp t="s">
        <v>Success: Insert Ack on DTSIMI2 for STRIP.IT0003269013 at 10:36:07</v>
        <stp/>
        <stp>368711552:106:19</stp>
        <stp>DTSIMI2</stp>
        <stp>STRIP.IT0003269013</stp>
        <stp>0</stp>
        <stp/>
        <stp xml:space="preserve">BID	ASK	</stp>
        <tr r="T107" s="7"/>
      </tp>
      <tp t="s">
        <v>Success: Insert Ack on DTSIMI2 for STRIP.IT0004848492 at 10:36:50</v>
        <stp/>
        <stp>368711552:105:19</stp>
        <stp>DTSIMI2</stp>
        <stp>STRIP.IT0004848492</stp>
        <stp>0</stp>
        <stp/>
        <stp xml:space="preserve">BID	ASK	</stp>
        <tr r="T106" s="7"/>
      </tp>
      <tp t="s">
        <v>Success: Insert Ack on DTSIMI2 for STRIP.IT0004976681 at 10:36:50</v>
        <stp/>
        <stp>368711552:127:19</stp>
        <stp>DTSIMI2</stp>
        <stp>STRIP.IT0004976681</stp>
        <stp>0</stp>
        <stp/>
        <stp xml:space="preserve">BID	ASK	</stp>
        <tr r="T128" s="7"/>
      </tp>
    </main>
    <main first="realtimexl.rtxlpubrtd.1">
      <tp t="s">
        <v>Success: Insert Ack on DTSIMI2 for STRIP.IT0003540389 at 10:35:29</v>
        <stp/>
        <stp>368711552:114:19</stp>
        <stp>DTSIMI2</stp>
        <stp>STRIP.IT0003540389</stp>
        <stp>0</stp>
        <stp/>
        <stp xml:space="preserve">BID	ASK	</stp>
        <tr r="T115" s="7"/>
      </tp>
      <tp t="s">
        <v>Success: Insert Ack on DTSIMI2 for STRIP.IT0004976731 at 10:36:50</v>
        <stp/>
        <stp>368711552:137:19</stp>
        <stp>DTSIMI2</stp>
        <stp>STRIP.IT0004976731</stp>
        <stp>0</stp>
        <stp/>
        <stp xml:space="preserve">BID	ASK	</stp>
        <tr r="T138" s="7"/>
      </tp>
      <tp t="s">
        <v>Success: Insert Ack on DTSIMI2 for STRIP.IT0004976830 at 10:36:17</v>
        <stp/>
        <stp>368711552:148:19</stp>
        <stp>DTSIMI2</stp>
        <stp>STRIP.IT0004976830</stp>
        <stp>0</stp>
        <stp/>
        <stp xml:space="preserve">BID	ASK	</stp>
        <tr r="T149" s="7"/>
      </tp>
      <tp t="s">
        <v>Success: Insert Ack on DTSIMI2 for STRIP.IT0004288624 at 10:36:50</v>
        <stp/>
        <stp>368711552:136:19</stp>
        <stp>DTSIMI2</stp>
        <stp>STRIP.IT0004288624</stp>
        <stp>0</stp>
        <stp/>
        <stp xml:space="preserve">BID	ASK	</stp>
        <tr r="T137" s="7"/>
      </tp>
    </main>
    <main first="bloomberg.rtd">
      <tp>
        <v>10.094530743159424</v>
        <stp/>
        <stp>##V3_BDPV12</stp>
        <stp>IT0001464194 Corp</stp>
        <stp>risk mid</stp>
        <stp>[BTP Stripping-contributor.xlsx]Contribution!R100C14</stp>
        <tr r="N100" s="7"/>
      </tp>
      <tp>
        <v>10.194503514822628</v>
        <stp/>
        <stp>##V3_BDPV12</stp>
        <stp>IT0001464202 Corp</stp>
        <stp>risk mid</stp>
        <stp>[BTP Stripping-contributor.xlsx]Contribution!R103C14</stp>
        <tr r="N103" s="7"/>
      </tp>
    </main>
    <main first="pldatasource.rdatartdserver">
      <tp t="s">
        <v>Updated at 10:36:50</v>
        <stp/>
        <stp>{9E8E93C1-28AF-43BB-AC50-27886BF98E7D}</stp>
        <tr r="Q1" s="4"/>
      </tp>
    </main>
    <main first="realtimexl.rtxlpubrtd.1">
      <tp t="s">
        <v>Success: Insert Ack on DTSIMI2 for STRIP.IT0004976657 at 10:36:50</v>
        <stp/>
        <stp>368711552:121:19</stp>
        <stp>DTSIMI2</stp>
        <stp>STRIP.IT0004976657</stp>
        <stp>0</stp>
        <stp/>
        <stp xml:space="preserve">BID	ASK	</stp>
        <tr r="T122" s="7"/>
      </tp>
      <tp t="s">
        <v>Success: Insert Ack on DTSIMI2 for STRIP.IT0004976756 at 10:36:50</v>
        <stp/>
        <stp>368711552:140:19</stp>
        <stp>DTSIMI2</stp>
        <stp>STRIP.IT0004976756</stp>
        <stp>0</stp>
        <stp/>
        <stp xml:space="preserve">BID	ASK	</stp>
        <tr r="T141" s="7"/>
      </tp>
      <tp t="s">
        <v>Success: Insert Ack on DTSIMI2 for STRIP.IT0004848534 at 10:35:29</v>
        <stp/>
        <stp>368711552:112:19</stp>
        <stp>DTSIMI2</stp>
        <stp>STRIP.IT0004848534</stp>
        <stp>0</stp>
        <stp/>
        <stp xml:space="preserve">BID	ASK	</stp>
        <tr r="T113" s="7"/>
      </tp>
      <tp t="s">
        <v>Success: Insert Ack on DTSIMI2 for STRIP.IT0004976608 at 10:36:50</v>
        <stp/>
        <stp>368711552:111:19</stp>
        <stp>DTSIMI2</stp>
        <stp>STRIP.IT0004976608</stp>
        <stp>0</stp>
        <stp/>
        <stp xml:space="preserve">BID	ASK	</stp>
        <tr r="T112" s="7"/>
      </tp>
      <tp t="s">
        <v>Success: Insert Ack on DTSIMI2 for STRIP.IT0003269039 at 10:35:53</v>
        <stp/>
        <stp>368711552:110:19</stp>
        <stp>DTSIMI2</stp>
        <stp>STRIP.IT0003269039</stp>
        <stp>0</stp>
        <stp/>
        <stp xml:space="preserve">BID	ASK	</stp>
        <tr r="T111" s="7"/>
      </tp>
      <tp t="s">
        <v>Success: Insert Ack on DTSIMI2 for STRIP.IT0004976764 at 10:36:50</v>
        <stp/>
        <stp>368711552:141:19</stp>
        <stp>DTSIMI2</stp>
        <stp>STRIP.IT0004976764</stp>
        <stp>0</stp>
        <stp/>
        <stp xml:space="preserve">BID	ASK	</stp>
        <tr r="T142" s="7"/>
      </tp>
      <tp t="s">
        <v>Success: Insert Ack on DTSIMI2 for STRIP.IT0004976707 at 10:36:19</v>
        <stp/>
        <stp>368711552:131:19</stp>
        <stp>DTSIMI2</stp>
        <stp>STRIP.IT0004976707</stp>
        <stp>0</stp>
        <stp/>
        <stp xml:space="preserve">BID	ASK	</stp>
        <tr r="T132" s="7"/>
      </tp>
    </main>
    <main first="bloomberg.rtd">
      <tp>
        <v>10.158359147580143</v>
        <stp/>
        <stp>##V3_BDPV12</stp>
        <stp>IT0004976566 Corp</stp>
        <stp>risk mid</stp>
        <stp>[BTP Stripping-contributor.xlsx]Contribution!R102C14</stp>
        <tr r="N102" s="7"/>
      </tp>
      <tp>
        <v>10.357018192668477</v>
        <stp/>
        <stp>##V3_BDPV12</stp>
        <stp>IT0004976574 Corp</stp>
        <stp>risk mid</stp>
        <stp>[BTP Stripping-contributor.xlsx]Contribution!R105C14</stp>
        <tr r="N105" s="7"/>
      </tp>
      <tp>
        <v>10.597347661617817</v>
        <stp/>
        <stp>##V3_BDPV12</stp>
        <stp>IT0004976582 Corp</stp>
        <stp>risk mid</stp>
        <stp>[BTP Stripping-contributor.xlsx]Contribution!R108C14</stp>
        <tr r="N108" s="7"/>
      </tp>
      <tp>
        <v>11.134746752028235</v>
        <stp/>
        <stp>##V3_BDPV12</stp>
        <stp>IT0004976590 Corp</stp>
        <stp>risk mid</stp>
        <stp>[BTP Stripping-contributor.xlsx]Contribution!R110C14</stp>
        <tr r="N110" s="7"/>
      </tp>
      <tp>
        <v>11.476381839563743</v>
        <stp/>
        <stp>##V3_BDPV12</stp>
        <stp>IT0004976731 Corp</stp>
        <stp>risk mid</stp>
        <stp>[BTP Stripping-contributor.xlsx]Contribution!R138C14</stp>
        <tr r="N138" s="7"/>
      </tp>
      <tp>
        <v>11.463581547741342</v>
        <stp/>
        <stp>##V3_BDPV12</stp>
        <stp>IT0004976749 Corp</stp>
        <stp>risk mid</stp>
        <stp>[BTP Stripping-contributor.xlsx]Contribution!R140C14</stp>
        <tr r="N140" s="7"/>
      </tp>
      <tp>
        <v>11.38260075807267</v>
        <stp/>
        <stp>##V3_BDPV12</stp>
        <stp>IT0004976723 Corp</stp>
        <stp>risk mid</stp>
        <stp>[BTP Stripping-contributor.xlsx]Contribution!R136C14</stp>
        <tr r="N136" s="7"/>
      </tp>
      <tp>
        <v>11.500104406539435</v>
        <stp/>
        <stp>##V3_BDPV12</stp>
        <stp>IT0004976756 Corp</stp>
        <stp>risk mid</stp>
        <stp>[BTP Stripping-contributor.xlsx]Contribution!R141C14</stp>
        <tr r="N141" s="7"/>
      </tp>
      <tp>
        <v>11.510841762130397</v>
        <stp/>
        <stp>##V3_BDPV12</stp>
        <stp>IT0004976764 Corp</stp>
        <stp>risk mid</stp>
        <stp>[BTP Stripping-contributor.xlsx]Contribution!R142C14</stp>
        <tr r="N142" s="7"/>
      </tp>
      <tp>
        <v>11.384025908272477</v>
        <stp/>
        <stp>##V3_BDPV12</stp>
        <stp>IT0004976715 Corp</stp>
        <stp>risk mid</stp>
        <stp>[BTP Stripping-contributor.xlsx]Contribution!R134C14</stp>
        <tr r="N134" s="7"/>
      </tp>
      <tp>
        <v>11.307198104973537</v>
        <stp/>
        <stp>##V3_BDPV12</stp>
        <stp>IT0004976707 Corp</stp>
        <stp>risk mid</stp>
        <stp>[BTP Stripping-contributor.xlsx]Contribution!R132C14</stp>
        <tr r="N132" s="7"/>
      </tp>
      <tp>
        <v>11.527820720603899</v>
        <stp/>
        <stp>##V3_BDPV12</stp>
        <stp>IT0004976772 Corp</stp>
        <stp>risk mid</stp>
        <stp>[BTP Stripping-contributor.xlsx]Contribution!R143C14</stp>
        <tr r="N143" s="7"/>
      </tp>
      <tp>
        <v>11.537698733285495</v>
        <stp/>
        <stp>##V3_BDPV12</stp>
        <stp>IT0004976780 Corp</stp>
        <stp>risk mid</stp>
        <stp>[BTP Stripping-contributor.xlsx]Contribution!R144C14</stp>
        <tr r="N144" s="7"/>
      </tp>
      <tp>
        <v>11.549250857870774</v>
        <stp/>
        <stp>##V3_BDPV12</stp>
        <stp>IT0004976798 Corp</stp>
        <stp>risk mid</stp>
        <stp>[BTP Stripping-contributor.xlsx]Contribution!R145C14</stp>
        <tr r="N145" s="7"/>
      </tp>
      <tp>
        <v>10.97652891334846</v>
        <stp/>
        <stp>##V3_BDPV12</stp>
        <stp>IT0004976616 Corp</stp>
        <stp>risk mid</stp>
        <stp>[BTP Stripping-contributor.xlsx]Contribution!R114C14</stp>
        <tr r="N114" s="7"/>
      </tp>
      <tp>
        <v>10.921008222307904</v>
        <stp/>
        <stp>##V3_BDPV12</stp>
        <stp>IT0004976608 Corp</stp>
        <stp>risk mid</stp>
        <stp>[BTP Stripping-contributor.xlsx]Contribution!R112C14</stp>
        <tr r="N112" s="7"/>
      </tp>
      <tp>
        <v>11.195187519700056</v>
        <stp/>
        <stp>##V3_BDPV12</stp>
        <stp>IT0004976632 Corp</stp>
        <stp>risk mid</stp>
        <stp>[BTP Stripping-contributor.xlsx]Contribution!R118C14</stp>
        <tr r="N118" s="7"/>
      </tp>
      <tp>
        <v>11.091100756598848</v>
        <stp/>
        <stp>##V3_BDPV12</stp>
        <stp>IT0004976624 Corp</stp>
        <stp>risk mid</stp>
        <stp>[BTP Stripping-contributor.xlsx]Contribution!R116C14</stp>
        <tr r="N116" s="7"/>
      </tp>
      <tp>
        <v>11.429470402745423</v>
        <stp/>
        <stp>##V3_BDPV12</stp>
        <stp>IT0004976665 Corp</stp>
        <stp>risk mid</stp>
        <stp>[BTP Stripping-contributor.xlsx]Contribution!R124C14</stp>
        <tr r="N124" s="7"/>
      </tp>
      <tp>
        <v>11.483473691303914</v>
        <stp/>
        <stp>##V3_BDPV12</stp>
        <stp>IT0004976673 Corp</stp>
        <stp>risk mid</stp>
        <stp>[BTP Stripping-contributor.xlsx]Contribution!R126C14</stp>
        <tr r="N126" s="7"/>
      </tp>
      <tp>
        <v>11.285916833800513</v>
        <stp/>
        <stp>##V3_BDPV12</stp>
        <stp>IT0004976640 Corp</stp>
        <stp>risk mid</stp>
        <stp>[BTP Stripping-contributor.xlsx]Contribution!R120C14</stp>
        <tr r="N120" s="7"/>
      </tp>
      <tp>
        <v>11.368877289067214</v>
        <stp/>
        <stp>##V3_BDPV12</stp>
        <stp>IT0004976657 Corp</stp>
        <stp>risk mid</stp>
        <stp>[BTP Stripping-contributor.xlsx]Contribution!R122C14</stp>
        <tr r="N122" s="7"/>
      </tp>
      <tp>
        <v>11.904515057947762</v>
        <stp/>
        <stp>##V3_BDPV12</stp>
        <stp>IT0004976681 Corp</stp>
        <stp>risk mid</stp>
        <stp>[BTP Stripping-contributor.xlsx]Contribution!R128C14</stp>
        <tr r="N128" s="7"/>
      </tp>
      <tp>
        <v>11.270445770648152</v>
        <stp/>
        <stp>##V3_BDPV12</stp>
        <stp>IT0004976699 Corp</stp>
        <stp>risk mid</stp>
        <stp>[BTP Stripping-contributor.xlsx]Contribution!R130C14</stp>
        <tr r="N130" s="7"/>
      </tp>
      <tp>
        <v>12.135883721208174</v>
        <stp/>
        <stp>##V3_BDPV12</stp>
        <stp>IT0004976848 Corp</stp>
        <stp>risk mid</stp>
        <stp>[BTP Stripping-contributor.xlsx]Contribution!R150C14</stp>
        <tr r="N150" s="7"/>
      </tp>
      <tp>
        <v>11.53563254566059</v>
        <stp/>
        <stp>##V3_BDPV12</stp>
        <stp>IT0004976806 Corp</stp>
        <stp>risk mid</stp>
        <stp>[BTP Stripping-contributor.xlsx]Contribution!R146C14</stp>
        <tr r="N146" s="7"/>
      </tp>
      <tp>
        <v>11.537648851047422</v>
        <stp/>
        <stp>##V3_BDPV12</stp>
        <stp>IT0004976814 Corp</stp>
        <stp>risk mid</stp>
        <stp>[BTP Stripping-contributor.xlsx]Contribution!R147C14</stp>
        <tr r="N147" s="7"/>
      </tp>
      <tp>
        <v>11.404861307988767</v>
        <stp/>
        <stp>##V3_BDPV12</stp>
        <stp>IT0004976822 Corp</stp>
        <stp>risk mid</stp>
        <stp>[BTP Stripping-contributor.xlsx]Contribution!R148C14</stp>
        <tr r="N148" s="7"/>
      </tp>
      <tp>
        <v>11.365466708863536</v>
        <stp/>
        <stp>##V3_BDPV12</stp>
        <stp>IT0004976830 Corp</stp>
        <stp>risk mid</stp>
        <stp>[BTP Stripping-contributor.xlsx]Contribution!R149C14</stp>
        <tr r="N149" s="7"/>
      </tp>
    </main>
    <main first="realtimexl.rtxlpubrtd.1">
      <tp t="s">
        <v>Success: Insert Ack on DTSIMI2 for STRIP.IT0004976665 at 10:36:50</v>
        <stp/>
        <stp>368711552:123:19</stp>
        <stp>DTSIMI2</stp>
        <stp>STRIP.IT0004976665</stp>
        <stp>0</stp>
        <stp/>
        <stp xml:space="preserve">BID	ASK	</stp>
        <tr r="T124" s="7"/>
      </tp>
      <tp t="s">
        <v>Success: Insert Ack on DTSIMI2 for STRIP.IT0004976772 at 10:36:50</v>
        <stp/>
        <stp>368711552:142:19</stp>
        <stp>DTSIMI2</stp>
        <stp>STRIP.IT0004976772</stp>
        <stp>0</stp>
        <stp/>
        <stp xml:space="preserve">BID	ASK	</stp>
        <tr r="T143" s="7"/>
      </tp>
      <tp t="s">
        <v>Success: Insert Ack on DTSIMI2 for STRIP.IT0004288590 at 10:36:19</v>
        <stp/>
        <stp>368711552:130:19</stp>
        <stp>DTSIMI2</stp>
        <stp>STRIP.IT0004288590</stp>
        <stp>0</stp>
        <stp/>
        <stp xml:space="preserve">BID	ASK	</stp>
        <tr r="T131" s="7"/>
      </tp>
      <tp t="s">
        <v>Success: Insert Ack on DTSIMI2 for STRIP.IT0004976616 at 10:35:29</v>
        <stp/>
        <stp>368711552:113:19</stp>
        <stp>DTSIMI2</stp>
        <stp>STRIP.IT0004976616</stp>
        <stp>0</stp>
        <stp/>
        <stp xml:space="preserve">BID	ASK	</stp>
        <tr r="T114" s="7"/>
      </tp>
      <tp t="s">
        <v>Success: Insert Ack on DTSIMI2 for STRIP.IT0001464202 at 10:36:50</v>
        <stp/>
        <stp>368711552:102:19</stp>
        <stp>DTSIMI2</stp>
        <stp>STRIP.IT0001464202</stp>
        <stp>0</stp>
        <stp/>
        <stp xml:space="preserve">BID	ASK	</stp>
        <tr r="T103" s="7"/>
      </tp>
    </main>
    <main first="realtimexl.rtxlpubrtd.1">
      <tp t="s">
        <v>Success: Insert Ack on DTSIMI2 for STRIP.IT0004976566 at 10:36:50</v>
        <stp/>
        <stp>368711552:101:19</stp>
        <stp>DTSIMI2</stp>
        <stp>STRIP.IT0004976566</stp>
        <stp>0</stp>
        <stp/>
        <stp xml:space="preserve">BID	ASK	</stp>
        <tr r="T102" s="7"/>
      </tp>
      <tp t="s">
        <v>Success: Insert Ack on DTSIMI2 for STRIP.IT0004976715 at 10:36:50</v>
        <stp/>
        <stp>368711552:133:19</stp>
        <stp>DTSIMI2</stp>
        <stp>STRIP.IT0004976715</stp>
        <stp>0</stp>
        <stp/>
        <stp xml:space="preserve">BID	ASK	</stp>
        <tr r="T134" s="7"/>
      </tp>
      <tp t="s">
        <v>Success: Insert Ack on DTSIMI2 for STRIP.IT0004288608 at 10:36:50</v>
        <stp/>
        <stp>368711552:132:19</stp>
        <stp>DTSIMI2</stp>
        <stp>STRIP.IT0004288608</stp>
        <stp>0</stp>
        <stp/>
        <stp xml:space="preserve">BID	ASK	</stp>
        <tr r="T133" s="7"/>
      </tp>
      <tp t="s">
        <v>Success: Insert Ack on DTSIMI2 for STRIP.IT0004976780 at 10:36:50</v>
        <stp/>
        <stp>368711552:143:19</stp>
        <stp>DTSIMI2</stp>
        <stp>STRIP.IT0004976780</stp>
        <stp>0</stp>
        <stp/>
        <stp xml:space="preserve">BID	ASK	</stp>
        <tr r="T144" s="7"/>
      </tp>
    </main>
    <main first="bloomberg.rtd">
      <tp>
        <v>73.721000000000004</v>
        <stp/>
        <stp>##V3_BDPV12</stp>
        <stp>IT0001464194@rbsm Corp</stp>
        <stp>bid</stp>
        <stp>[BTP Stripping-contributor.xlsx]Contribution!R100C27</stp>
        <tr r="AA100" s="7"/>
      </tp>
      <tp t="s">
        <v>#N/A Field Not Applicable</v>
        <stp/>
        <stp>##V3_BDPV12</stp>
        <stp>IT0004957756 Corp</stp>
        <stp>days to mty</stp>
        <stp>[BTP Stripping-contributor.xlsx]Contribution!R6C3</stp>
        <tr r="C6" s="7"/>
      </tp>
      <tp>
        <v>71.355999999999995</v>
        <stp/>
        <stp>##V3_BDPV12</stp>
        <stp>IT0001464202@rbsm Corp</stp>
        <stp>bid</stp>
        <stp>[BTP Stripping-contributor.xlsx]Contribution!R103C27</stp>
        <tr r="AA103" s="7"/>
      </tp>
    </main>
    <main first="realtimexl.rtxlpubrtd.1">
      <tp t="s">
        <v>Success: Insert Ack on DTSIMI2 for STRIP.IT0004957905 at 10:34:17</v>
        <stp/>
        <stp>368711552:50:19</stp>
        <stp>DTSIMI2</stp>
        <stp>STRIP.IT0004957905</stp>
        <stp>0</stp>
        <stp/>
        <stp xml:space="preserve">BID	ASK	</stp>
        <tr r="T51" s="7"/>
      </tp>
      <tp t="s">
        <v>Success: Insert Ack on DTSIMI2 for STRIP.IT0004848807 at 10:31:47</v>
        <stp/>
        <stp>368711552:21:19</stp>
        <stp>DTSIMI2</stp>
        <stp>STRIP.IT0004848807</stp>
        <stp>0</stp>
        <stp/>
        <stp xml:space="preserve">BID	ASK	</stp>
        <tr r="T22" s="7"/>
      </tp>
      <tp t="s">
        <v>Success: Insert Ack on DTSIMI2 for STRIP.IT0004957871 at 10:34:54</v>
        <stp/>
        <stp>368711552:41:19</stp>
        <stp>DTSIMI2</stp>
        <stp>STRIP.IT0004957871</stp>
        <stp>0</stp>
        <stp/>
        <stp xml:space="preserve">BID	ASK	</stp>
        <tr r="T42" s="7"/>
      </tp>
      <tp t="s">
        <v>Success: Insert Ack on DTSIMI2 for STRIP.IT0003268726 at 10:35:29</v>
        <stp/>
        <stp>368711552:49:19</stp>
        <stp>DTSIMI2</stp>
        <stp>STRIP.IT0003268726</stp>
        <stp>0</stp>
        <stp/>
        <stp xml:space="preserve">BID	ASK	</stp>
        <tr r="T50" s="7"/>
      </tp>
      <tp t="s">
        <v>Success: Insert Ack on DTSIMI2 for STRIP.IT0003268858 at 10:36:50</v>
        <stp/>
        <stp>368711552:76:19</stp>
        <stp>DTSIMI2</stp>
        <stp>STRIP.IT0003268858</stp>
        <stp>0</stp>
        <stp/>
        <stp xml:space="preserve">BID	ASK	</stp>
        <tr r="T77" s="7"/>
      </tp>
      <tp t="s">
        <v>Success: Insert Ack on DTSIMI2 for STRIP.IT0003268957 at 10:36:50</v>
        <stp/>
        <stp>368711552:97:19</stp>
        <stp>DTSIMI2</stp>
        <stp>STRIP.IT0003268957</stp>
        <stp>0</stp>
        <stp/>
        <stp xml:space="preserve">BID	ASK	</stp>
        <tr r="T98" s="7"/>
      </tp>
    </main>
    <main first="bloomberg.rtd">
      <tp t="s">
        <v>#N/A Field Not Applicable</v>
        <stp/>
        <stp>##V3_BDPV12</stp>
        <stp>IT0001247144 Corp</stp>
        <stp>days to mty</stp>
        <stp>[BTP Stripping-contributor.xlsx]Contribution!R7C3</stp>
        <tr r="C7" s="7"/>
      </tp>
      <tp t="s">
        <v>#N/A Field Not Applicable</v>
        <stp/>
        <stp>##V3_BDPV12</stp>
        <stp>IT0004848625 Corp</stp>
        <stp>days to mty</stp>
        <stp>[BTP Stripping-contributor.xlsx]Contribution!R8C3</stp>
        <tr r="C8" s="7"/>
      </tp>
    </main>
    <main first="realtimexl.rtxlpubrtd.1">
      <tp t="s">
        <v>Success: Insert Ack on DTSIMI2 for STRIP.IT0004957806 at 10:31:47</v>
        <stp/>
        <stp>368711552:20:19</stp>
        <stp>DTSIMI2</stp>
        <stp>STRIP.IT0004957806</stp>
        <stp>0</stp>
        <stp/>
        <stp xml:space="preserve">BID	ASK	</stp>
        <tr r="T21" s="7"/>
      </tp>
      <tp t="s">
        <v>Success: Insert Ack on DTSIMI2 for STRIP.IT0003268825 at 10:36:50</v>
        <stp/>
        <stp>368711552:67:19</stp>
        <stp>DTSIMI2</stp>
        <stp>STRIP.IT0003268825</stp>
        <stp>0</stp>
        <stp/>
        <stp xml:space="preserve">BID	ASK	</stp>
        <tr r="T68" s="7"/>
      </tp>
    </main>
    <main first="bloomberg.rtd">
      <tp>
        <v>71.572999999999993</v>
        <stp/>
        <stp>##V3_BDPV12</stp>
        <stp>IT0004976590@rbsm Corp</stp>
        <stp>bid</stp>
        <stp>[BTP Stripping-contributor.xlsx]Contribution!R110C27</stp>
        <tr r="AA110" s="7"/>
      </tp>
      <tp>
        <v>70.332999999999998</v>
        <stp/>
        <stp>##V3_BDPV12</stp>
        <stp>IT0004976582@rbsm Corp</stp>
        <stp>bid</stp>
        <stp>[BTP Stripping-contributor.xlsx]Contribution!R108C27</stp>
        <tr r="AA108" s="7"/>
      </tp>
      <tp>
        <v>72.019000000000005</v>
        <stp/>
        <stp>##V3_BDPV12</stp>
        <stp>IT0004976566@rbsm Corp</stp>
        <stp>bid</stp>
        <stp>[BTP Stripping-contributor.xlsx]Contribution!R102C27</stp>
        <tr r="AA102" s="7"/>
      </tp>
      <tp>
        <v>71.180999999999997</v>
        <stp/>
        <stp>##V3_BDPV12</stp>
        <stp>IT0004976574@rbsm Corp</stp>
        <stp>bid</stp>
        <stp>[BTP Stripping-contributor.xlsx]Contribution!R105C27</stp>
        <tr r="AA105" s="7"/>
      </tp>
      <tp t="s">
        <v>#N/A Field Not Applicable</v>
        <stp/>
        <stp>##V3_BDPV12</stp>
        <stp>IT0001247136 Corp</stp>
        <stp>days to mty</stp>
        <stp>[BTP Stripping-contributor.xlsx]Contribution!R4C3</stp>
        <tr r="C4" s="7"/>
      </tp>
      <tp>
        <v>60.197000000000003</v>
        <stp/>
        <stp>##V3_BDPV12</stp>
        <stp>IT0004976681@rbsm Corp</stp>
        <stp>bid</stp>
        <stp>[BTP Stripping-contributor.xlsx]Contribution!R128C27</stp>
        <tr r="AA128" s="7"/>
      </tp>
      <tp>
        <v>54.704999999999998</v>
        <stp/>
        <stp>##V3_BDPV12</stp>
        <stp>IT0004976699@rbsm Corp</stp>
        <stp>bid</stp>
        <stp>[BTP Stripping-contributor.xlsx]Contribution!R130C27</stp>
        <tr r="AA130" s="7"/>
      </tp>
      <tp>
        <v>60.261000000000003</v>
        <stp/>
        <stp>##V3_BDPV12</stp>
        <stp>IT0004976665@rbsm Corp</stp>
        <stp>bid</stp>
        <stp>[BTP Stripping-contributor.xlsx]Contribution!R124C27</stp>
        <tr r="AA124" s="7"/>
      </tp>
      <tp>
        <v>58.948999999999998</v>
        <stp/>
        <stp>##V3_BDPV12</stp>
        <stp>IT0004976673@rbsm Corp</stp>
        <stp>bid</stp>
        <stp>[BTP Stripping-contributor.xlsx]Contribution!R126C27</stp>
        <tr r="AA126" s="7"/>
      </tp>
      <tp>
        <v>62.872999999999998</v>
        <stp/>
        <stp>##V3_BDPV12</stp>
        <stp>IT0004976640@rbsm Corp</stp>
        <stp>bid</stp>
        <stp>[BTP Stripping-contributor.xlsx]Contribution!R120C27</stp>
        <tr r="AA120" s="7"/>
      </tp>
      <tp>
        <v>61.582000000000001</v>
        <stp/>
        <stp>##V3_BDPV12</stp>
        <stp>IT0004976657@rbsm Corp</stp>
        <stp>bid</stp>
        <stp>[BTP Stripping-contributor.xlsx]Contribution!R122C27</stp>
        <tr r="AA122" s="7"/>
      </tp>
      <tp>
        <v>66.807000000000002</v>
        <stp/>
        <stp>##V3_BDPV12</stp>
        <stp>IT0004976616@rbsm Corp</stp>
        <stp>bid</stp>
        <stp>[BTP Stripping-contributor.xlsx]Contribution!R114C27</stp>
        <tr r="AA114" s="7"/>
      </tp>
      <tp>
        <v>68.099999999999994</v>
        <stp/>
        <stp>##V3_BDPV12</stp>
        <stp>IT0004976608@rbsm Corp</stp>
        <stp>bid</stp>
        <stp>[BTP Stripping-contributor.xlsx]Contribution!R112C27</stp>
        <tr r="AA112" s="7"/>
      </tp>
      <tp>
        <v>64.197999999999993</v>
        <stp/>
        <stp>##V3_BDPV12</stp>
        <stp>IT0004976632@rbsm Corp</stp>
        <stp>bid</stp>
        <stp>[BTP Stripping-contributor.xlsx]Contribution!R118C27</stp>
        <tr r="AA118" s="7"/>
      </tp>
      <tp>
        <v>65.498000000000005</v>
        <stp/>
        <stp>##V3_BDPV12</stp>
        <stp>IT0004976624@rbsm Corp</stp>
        <stp>bid</stp>
        <stp>[BTP Stripping-contributor.xlsx]Contribution!R116C27</stp>
        <tr r="AA116" s="7"/>
      </tp>
      <tp>
        <v>45.448</v>
        <stp/>
        <stp>##V3_BDPV12</stp>
        <stp>IT0004976780@rbsm Corp</stp>
        <stp>bid</stp>
        <stp>[BTP Stripping-contributor.xlsx]Contribution!R144C27</stp>
        <tr r="AA144" s="7"/>
      </tp>
      <tp>
        <v>44.496000000000002</v>
        <stp/>
        <stp>##V3_BDPV12</stp>
        <stp>IT0004976798@rbsm Corp</stp>
        <stp>bid</stp>
        <stp>[BTP Stripping-contributor.xlsx]Contribution!R145C27</stp>
        <tr r="AA145" s="7"/>
      </tp>
      <tp>
        <v>50.604999999999997</v>
        <stp/>
        <stp>##V3_BDPV12</stp>
        <stp>IT0004976731@rbsm Corp</stp>
        <stp>bid</stp>
        <stp>[BTP Stripping-contributor.xlsx]Contribution!R138C27</stp>
        <tr r="AA138" s="7"/>
      </tp>
      <tp>
        <v>49.372</v>
        <stp/>
        <stp>##V3_BDPV12</stp>
        <stp>IT0004976749@rbsm Corp</stp>
        <stp>bid</stp>
        <stp>[BTP Stripping-contributor.xlsx]Contribution!R140C27</stp>
        <tr r="AA140" s="7"/>
      </tp>
      <tp>
        <v>48.383000000000003</v>
        <stp/>
        <stp>##V3_BDPV12</stp>
        <stp>IT0004976756@rbsm Corp</stp>
        <stp>bid</stp>
        <stp>[BTP Stripping-contributor.xlsx]Contribution!R141C27</stp>
        <tr r="AA141" s="7"/>
      </tp>
      <tp>
        <v>51.612000000000002</v>
        <stp/>
        <stp>##V3_BDPV12</stp>
        <stp>IT0004976723@rbsm Corp</stp>
        <stp>bid</stp>
        <stp>[BTP Stripping-contributor.xlsx]Contribution!R136C27</stp>
        <tr r="AA136" s="7"/>
      </tp>
      <tp>
        <v>52.64</v>
        <stp/>
        <stp>##V3_BDPV12</stp>
        <stp>IT0004976715@rbsm Corp</stp>
        <stp>bid</stp>
        <stp>[BTP Stripping-contributor.xlsx]Contribution!R134C27</stp>
        <tr r="AA134" s="7"/>
      </tp>
      <tp>
        <v>47.384</v>
        <stp/>
        <stp>##V3_BDPV12</stp>
        <stp>IT0004976764@rbsm Corp</stp>
        <stp>bid</stp>
        <stp>[BTP Stripping-contributor.xlsx]Contribution!R142C27</stp>
        <tr r="AA142" s="7"/>
      </tp>
      <tp>
        <v>46.423000000000002</v>
        <stp/>
        <stp>##V3_BDPV12</stp>
        <stp>IT0004976772@rbsm Corp</stp>
        <stp>bid</stp>
        <stp>[BTP Stripping-contributor.xlsx]Contribution!R143C27</stp>
        <tr r="AA143" s="7"/>
      </tp>
      <tp>
        <v>53.654000000000003</v>
        <stp/>
        <stp>##V3_BDPV12</stp>
        <stp>IT0004976707@rbsm Corp</stp>
        <stp>bid</stp>
        <stp>[BTP Stripping-contributor.xlsx]Contribution!R132C27</stp>
        <tr r="AA132" s="7"/>
      </tp>
      <tp>
        <v>43.554000000000002</v>
        <stp/>
        <stp>##V3_BDPV12</stp>
        <stp>IT0004976806@rbsm Corp</stp>
        <stp>bid</stp>
        <stp>[BTP Stripping-contributor.xlsx]Contribution!R146C27</stp>
        <tr r="AA146" s="7"/>
      </tp>
      <tp>
        <v>42.622999999999998</v>
        <stp/>
        <stp>##V3_BDPV12</stp>
        <stp>IT0004976814@rbsm Corp</stp>
        <stp>bid</stp>
        <stp>[BTP Stripping-contributor.xlsx]Contribution!R147C27</stp>
        <tr r="AA147" s="7"/>
      </tp>
      <tp>
        <v>41.698999999999998</v>
        <stp/>
        <stp>##V3_BDPV12</stp>
        <stp>IT0004976822@rbsm Corp</stp>
        <stp>bid</stp>
        <stp>[BTP Stripping-contributor.xlsx]Contribution!R148C27</stp>
        <tr r="AA148" s="7"/>
      </tp>
      <tp>
        <v>40.781999999999996</v>
        <stp/>
        <stp>##V3_BDPV12</stp>
        <stp>IT0004976830@rbsm Corp</stp>
        <stp>bid</stp>
        <stp>[BTP Stripping-contributor.xlsx]Contribution!R149C27</stp>
        <tr r="AA149" s="7"/>
      </tp>
      <tp>
        <v>44.073</v>
        <stp/>
        <stp>##V3_BDPV12</stp>
        <stp>IT0004976848@rbsm Corp</stp>
        <stp>bid</stp>
        <stp>[BTP Stripping-contributor.xlsx]Contribution!R150C27</stp>
        <tr r="AA150" s="7"/>
      </tp>
    </main>
    <main first="realtimexl.rtxlpubrtd.1">
      <tp t="s">
        <v>Success: Insert Ack on DTSIMI2 for STRIP.IT0004957814 at 10:31:47</v>
        <stp/>
        <stp>368711552:23:19</stp>
        <stp>DTSIMI2</stp>
        <stp>STRIP.IT0004957814</stp>
        <stp>0</stp>
        <stp/>
        <stp xml:space="preserve">BID	ASK	</stp>
        <tr r="T24" s="7"/>
      </tp>
      <tp t="s">
        <v>Success: Insert Ack on DTSIMI2 for STRIP.IT0004957947 at 10:35:01</v>
        <stp/>
        <stp>368711552:62:19</stp>
        <stp>DTSIMI2</stp>
        <stp>STRIP.IT0004957947</stp>
        <stp>0</stp>
        <stp/>
        <stp xml:space="preserve">BID	ASK	</stp>
        <tr r="T63" s="7"/>
      </tp>
      <tp t="s">
        <v>Success: Insert Ack on DTSIMI2 for STRIP.IT0003268817 at 10:35:10</v>
        <stp/>
        <stp>368711552:64:19</stp>
        <stp>DTSIMI2</stp>
        <stp>STRIP.IT0003268817</stp>
        <stp>0</stp>
        <stp/>
        <stp xml:space="preserve">BID	ASK	</stp>
        <tr r="T65" s="7"/>
      </tp>
    </main>
    <main first="realtimexl.rtxlpubrtd.1">
      <tp t="s">
        <v>Success: Insert Ack on DTSIMI2 for STRIP.IT0003268890 at 10:35:59</v>
        <stp/>
        <stp>368711552:85:19</stp>
        <stp>DTSIMI2</stp>
        <stp>STRIP.IT0003268890</stp>
        <stp>0</stp>
        <stp/>
        <stp xml:space="preserve">BID	ASK	</stp>
        <tr r="T86" s="7"/>
      </tp>
      <tp t="s">
        <v>Success: Insert Ack on DTSIMI2 for STRIP.IT0004957913 at 10:33:57</v>
        <stp/>
        <stp>368711552:53:19</stp>
        <stp>DTSIMI2</stp>
        <stp>STRIP.IT0004957913</stp>
        <stp>0</stp>
        <stp/>
        <stp xml:space="preserve">BID	ASK	</stp>
        <tr r="T54" s="7"/>
      </tp>
      <tp t="s">
        <v>Success: Insert Ack on DTSIMI2 for STRIP.IT0004957848 at 10:31:47</v>
        <stp/>
        <stp>368711552:32:19</stp>
        <stp>DTSIMI2</stp>
        <stp>STRIP.IT0004957848</stp>
        <stp>0</stp>
        <stp/>
        <stp xml:space="preserve">BID	ASK	</stp>
        <tr r="T33" s="7"/>
      </tp>
      <tp t="s">
        <v>Success: Insert Ack on DTSIMI2 for STRIP.IT0003268932 at 10:36:50</v>
        <stp/>
        <stp>368711552:94:19</stp>
        <stp>DTSIMI2</stp>
        <stp>STRIP.IT0003268932</stp>
        <stp>0</stp>
        <stp/>
        <stp xml:space="preserve">BID	ASK	</stp>
        <tr r="T95" s="7"/>
      </tp>
    </main>
    <main first="bloomberg.rtd">
      <tp>
        <v>63.677999999999997</v>
        <stp/>
        <stp>##V3_BDPV12</stp>
        <stp>IT0003540397@rbsm Corp</stp>
        <stp>bid</stp>
        <stp>[BTP Stripping-contributor.xlsx]Contribution!R117C27</stp>
        <tr r="AA117" s="7"/>
      </tp>
      <tp>
        <v>64.820999999999998</v>
        <stp/>
        <stp>##V3_BDPV12</stp>
        <stp>IT0003540389@rbsm Corp</stp>
        <stp>bid</stp>
        <stp>[BTP Stripping-contributor.xlsx]Contribution!R115C27</stp>
        <tr r="AA115" s="7"/>
      </tp>
    </main>
    <main first="realtimexl.rtxlpubrtd.1">
      <tp t="s">
        <v>Success: Insert Ack on DTSIMI2 for STRIP.IT0003268882 at 10:35:59</v>
        <stp/>
        <stp>368711552:82:19</stp>
        <stp>DTSIMI2</stp>
        <stp>STRIP.IT0003268882</stp>
        <stp>0</stp>
        <stp/>
        <stp xml:space="preserve">BID	ASK	</stp>
        <tr r="T83" s="7"/>
      </tp>
      <tp t="s">
        <v>Success: Insert Ack on DTSIMI2 for STRIP.IT0001464194 at 10:36:17</v>
        <stp/>
        <stp>368711552:99:19</stp>
        <stp>DTSIMI2</stp>
        <stp>STRIP.IT0001464194</stp>
        <stp>0</stp>
        <stp/>
        <stp xml:space="preserve">BID	ASK	</stp>
        <tr r="T100" s="7"/>
      </tp>
      <tp t="s">
        <v>Success: Insert Ack on DTSIMI2 for STRIP.IT0004976558 at 10:36:50</v>
        <stp/>
        <stp>368711552:98:19</stp>
        <stp>DTSIMI2</stp>
        <stp>STRIP.IT0004976558</stp>
        <stp>0</stp>
        <stp/>
        <stp xml:space="preserve">BID	ASK	</stp>
        <tr r="T99" s="7"/>
      </tp>
      <tp t="s">
        <v>Success: Insert Ack on DTSIMI2 for STRIP.IT0004957855 at 10:31:47</v>
        <stp/>
        <stp>368711552:35:19</stp>
        <stp>DTSIMI2</stp>
        <stp>STRIP.IT0004957855</stp>
        <stp>0</stp>
        <stp/>
        <stp xml:space="preserve">BID	ASK	</stp>
        <tr r="T36" s="7"/>
      </tp>
    </main>
    <main first="realtimexl.rtxlpubrtd.1">
      <tp t="s">
        <v>Success: Insert Ack on DTSIMI2 for STRIP.IT0004976525 at 10:35:59</v>
        <stp/>
        <stp>368711552:89:19</stp>
        <stp>DTSIMI2</stp>
        <stp>STRIP.IT0004976525</stp>
        <stp>0</stp>
        <stp/>
        <stp xml:space="preserve">BID	ASK	</stp>
        <tr r="T90" s="7"/>
      </tp>
      <tp t="s">
        <v>Success: Insert Ack on DTSIMI2 for STRIP.IT0001247185 at 10:31:47</v>
        <stp/>
        <stp>368711552:18:19</stp>
        <stp>DTSIMI2</stp>
        <stp>STRIP.IT0001247185</stp>
        <stp>0</stp>
        <stp/>
        <stp xml:space="preserve">BID	ASK	</stp>
        <tr r="T19" s="7"/>
      </tp>
      <tp t="s">
        <v>Success: Insert Ack on DTSIMI2 for STRIP.IT0004976459 at 10:36:50</v>
        <stp/>
        <stp>368711552:68:19</stp>
        <stp>DTSIMI2</stp>
        <stp>STRIP.IT0004976459</stp>
        <stp>0</stp>
        <stp/>
        <stp xml:space="preserve">BID	ASK	</stp>
        <tr r="T69" s="7"/>
      </tp>
      <tp t="s">
        <v>Success: Insert Ack on DTSIMI2 for STRIP.IT0004848443 at 10:35:05</v>
        <stp/>
        <stp>368711552:78:19</stp>
        <stp>DTSIMI2</stp>
        <stp>STRIP.IT0004848443</stp>
        <stp>0</stp>
        <stp/>
        <stp xml:space="preserve">BID	ASK	</stp>
        <tr r="T79" s="7"/>
      </tp>
      <tp t="s">
        <v>Success: Insert Ack on DTSIMI2 for STRIP.IT0004957889 at 10:34:54</v>
        <stp/>
        <stp>368711552:44:19</stp>
        <stp>DTSIMI2</stp>
        <stp>STRIP.IT0004957889</stp>
        <stp>0</stp>
        <stp/>
        <stp xml:space="preserve">BID	ASK	</stp>
        <tr r="T45" s="7"/>
      </tp>
      <tp t="s">
        <v>Success: Insert Ack on DTSIMI2 for STRIP.IT0003268841 at 10:36:50</v>
        <stp/>
        <stp>368711552:73:19</stp>
        <stp>DTSIMI2</stp>
        <stp>STRIP.IT0003268841</stp>
        <stp>0</stp>
        <stp/>
        <stp xml:space="preserve">BID	ASK	</stp>
        <tr r="T74" s="7"/>
      </tp>
    </main>
    <main first="bloomberg.rtd">
      <tp>
        <v>58.292000000000002</v>
        <stp/>
        <stp>##V3_BDPV12</stp>
        <stp>IT0004002843@rbsm Corp</stp>
        <stp>bid</stp>
        <stp>[BTP Stripping-contributor.xlsx]Contribution!R127C27</stp>
        <tr r="AA127" s="7"/>
      </tp>
      <tp>
        <v>59.302999999999997</v>
        <stp/>
        <stp>##V3_BDPV12</stp>
        <stp>IT0004002835@rbsm Corp</stp>
        <stp>bid</stp>
        <stp>[BTP Stripping-contributor.xlsx]Contribution!R125C27</stp>
        <tr r="AA125" s="7"/>
      </tp>
      <tp>
        <v>60.456000000000003</v>
        <stp/>
        <stp>##V3_BDPV12</stp>
        <stp>IT0004002827@rbsm Corp</stp>
        <stp>bid</stp>
        <stp>[BTP Stripping-contributor.xlsx]Contribution!R123C27</stp>
        <tr r="AA123" s="7"/>
      </tp>
      <tp>
        <v>61.5</v>
        <stp/>
        <stp>##V3_BDPV12</stp>
        <stp>IT0004002819@rbsm Corp</stp>
        <stp>bid</stp>
        <stp>[BTP Stripping-contributor.xlsx]Contribution!R121C27</stp>
        <tr r="AA121" s="7"/>
      </tp>
    </main>
    <main first="realtimexl.rtxlpubrtd.1">
      <tp t="s">
        <v>Success: Insert Ack on DTSIMI2 for STRIP.IT0004957921 at 10:34:46</v>
        <stp/>
        <stp>368711552:56:19</stp>
        <stp>DTSIMI2</stp>
        <stp>STRIP.IT0004957921</stp>
        <stp>0</stp>
        <stp/>
        <stp xml:space="preserve">BID	ASK	</stp>
        <tr r="T57" s="7"/>
      </tp>
      <tp t="s">
        <v>Success: Insert Ack on DTSIMI2 for STRIP.IT0001247284 at 10:34:54</v>
        <stp/>
        <stp>368711552:48:19</stp>
        <stp>DTSIMI2</stp>
        <stp>STRIP.IT0001247284</stp>
        <stp>0</stp>
        <stp/>
        <stp xml:space="preserve">BID	ASK	</stp>
        <tr r="T49" s="7"/>
      </tp>
      <tp t="s">
        <v>Success: Insert Ack on DTSIMI2 for STRIP.IT0004848716 at 10:31:41</v>
        <stp/>
        <stp>368711552:28:19</stp>
        <stp>DTSIMI2</stp>
        <stp>STRIP.IT0004848716</stp>
        <stp>0</stp>
        <stp/>
        <stp xml:space="preserve">BID	ASK	</stp>
        <tr r="T29" s="7"/>
      </tp>
      <tp t="s">
        <v>Success: Insert Ack on DTSIMI2 for STRIP.IT0004848708 at 10:34:49</v>
        <stp/>
        <stp>368711552:58:19</stp>
        <stp>DTSIMI2</stp>
        <stp>STRIP.IT0004848708</stp>
        <stp>0</stp>
        <stp/>
        <stp xml:space="preserve">BID	ASK	</stp>
        <tr r="T59" s="7"/>
      </tp>
      <tp t="s">
        <v>Success: Insert Ack on DTSIMI2 for STRIP.IT0004848674 at 10:31:47</v>
        <stp/>
        <stp>368711552:19:19</stp>
        <stp>DTSIMI2</stp>
        <stp>STRIP.IT0004848674</stp>
        <stp>0</stp>
        <stp/>
        <stp xml:space="preserve">BID	ASK	</stp>
        <tr r="T20" s="7"/>
      </tp>
      <tp t="s">
        <v>Success: Insert Ack on DTSIMI2 for STRIP.IT0003268833 at 10:36:50</v>
        <stp/>
        <stp>368711552:70:19</stp>
        <stp>DTSIMI2</stp>
        <stp>STRIP.IT0003268833</stp>
        <stp>0</stp>
        <stp/>
        <stp xml:space="preserve">BID	ASK	</stp>
        <tr r="T71" s="7"/>
      </tp>
      <tp t="s">
        <v>Success: Insert Ack on DTSIMI2 for STRIP.IT0003268924 at 10:36:50</v>
        <stp/>
        <stp>368711552:91:19</stp>
        <stp>DTSIMI2</stp>
        <stp>STRIP.IT0003268924</stp>
        <stp>0</stp>
        <stp/>
        <stp xml:space="preserve">BID	ASK	</stp>
        <tr r="T92" s="7"/>
      </tp>
      <tp t="s">
        <v>Success: Insert Ack on DTSIMI2 for STRIP.IT0004957897 at 10:34:52</v>
        <stp/>
        <stp>368711552:47:19</stp>
        <stp>DTSIMI2</stp>
        <stp>STRIP.IT0004957897</stp>
        <stp>0</stp>
        <stp/>
        <stp xml:space="preserve">BID	ASK	</stp>
        <tr r="T48" s="7"/>
      </tp>
      <tp t="s">
        <v>Success: Insert Ack on DTSIMI2 for STRIP.IT0001247359 at 10:36:50</v>
        <stp/>
        <stp>368711552:69:19</stp>
        <stp>DTSIMI2</stp>
        <stp>STRIP.IT0001247359</stp>
        <stp>0</stp>
        <stp/>
        <stp xml:space="preserve">BID	ASK	</stp>
        <tr r="T70" s="7"/>
      </tp>
    </main>
    <main first="realtimexl.rtxlpubrtd.1">
      <tp t="s">
        <v>Success: Insert Ack on DTSIMI2 for STRIP.IT0004957822 at 10:31:47</v>
        <stp/>
        <stp>368711552:26:19</stp>
        <stp>DTSIMI2</stp>
        <stp>STRIP.IT0004957822</stp>
        <stp>0</stp>
        <stp/>
        <stp xml:space="preserve">BID	ASK	</stp>
        <tr r="T27" s="7"/>
      </tp>
      <tp t="s">
        <v>Success: Insert Ack on DTSIMI2 for STRIP.IT0001312807 at 10:36:17</v>
        <stp/>
        <stp>368711552:93:19</stp>
        <stp>DTSIMI2</stp>
        <stp>STRIP.IT0001312807</stp>
        <stp>0</stp>
        <stp/>
        <stp xml:space="preserve">BID	ASK	</stp>
        <tr r="T94" s="7"/>
      </tp>
      <tp t="s">
        <v>Success: Insert Ack on DTSIMI2 for STRIP.IT0003268809 at 10:35:01</v>
        <stp/>
        <stp>368711552:61:19</stp>
        <stp>DTSIMI2</stp>
        <stp>STRIP.IT0003268809</stp>
        <stp>0</stp>
        <stp/>
        <stp xml:space="preserve">BID	ASK	</stp>
        <tr r="T62" s="7"/>
      </tp>
      <tp t="s">
        <v>Success: Insert Ack on DTSIMI2 for STRIP.IT0001247250 at 10:31:47</v>
        <stp/>
        <stp>368711552:39:19</stp>
        <stp>DTSIMI2</stp>
        <stp>STRIP.IT0001247250</stp>
        <stp>0</stp>
        <stp/>
        <stp xml:space="preserve">BID	ASK	</stp>
        <tr r="T40" s="7"/>
      </tp>
    </main>
    <main first="realtimexl.rtxlpubrtd.1">
      <tp t="s">
        <v>Success: Insert Ack on DTSIMI2 for STRIP.IT0004957830 at 10:31:47</v>
        <stp/>
        <stp>368711552:29:19</stp>
        <stp>DTSIMI2</stp>
        <stp>STRIP.IT0004957830</stp>
        <stp>0</stp>
        <stp/>
        <stp xml:space="preserve">BID	ASK	</stp>
        <tr r="T30" s="7"/>
      </tp>
      <tp t="s">
        <v>Success: Insert Ack on DTSIMI2 for STRIP.IT0004848617 at 10:31:47</v>
        <stp/>
        <stp>368711552:37:19</stp>
        <stp>DTSIMI2</stp>
        <stp>STRIP.IT0004848617</stp>
        <stp>0</stp>
        <stp/>
        <stp xml:space="preserve">BID	ASK	</stp>
        <tr r="T38" s="7"/>
      </tp>
      <tp t="s">
        <v>Success: Insert Ack on DTSIMI2 for STRIP.IT0004976442 at 10:35:10</v>
        <stp/>
        <stp>368711552:65:19</stp>
        <stp>DTSIMI2</stp>
        <stp>STRIP.IT0004976442</stp>
        <stp>0</stp>
        <stp/>
        <stp xml:space="preserve">BID	ASK	</stp>
        <tr r="T66" s="7"/>
      </tp>
      <tp t="s">
        <v>Success: Insert Ack on DTSIMI2 for STRIP.IT0001247318 at 10:36:15</v>
        <stp/>
        <stp>368711552:57:19</stp>
        <stp>DTSIMI2</stp>
        <stp>STRIP.IT0001247318</stp>
        <stp>0</stp>
        <stp/>
        <stp xml:space="preserve">BID	ASK	</stp>
        <tr r="T58" s="7"/>
      </tp>
      <tp t="s">
        <v>Success: Insert Ack on DTSIMI2 for STRIP.IT0003268635 at 10:34:54</v>
        <stp/>
        <stp>368711552:40:19</stp>
        <stp>DTSIMI2</stp>
        <stp>STRIP.IT0003268635</stp>
        <stp>0</stp>
        <stp/>
        <stp xml:space="preserve">BID	ASK	</stp>
        <tr r="T41" s="7"/>
      </tp>
      <tp t="s">
        <v>Success: Insert Ack on DTSIMI2 for STRIP.IT0001247243 at 10:36:50</v>
        <stp/>
        <stp>368711552:36:19</stp>
        <stp>DTSIMI2</stp>
        <stp>STRIP.IT0001247243</stp>
        <stp>0</stp>
        <stp/>
        <stp xml:space="preserve">BID	ASK	</stp>
        <tr r="T37" s="7"/>
      </tp>
      <tp t="s">
        <v>Success: Insert Ack on DTSIMI2 for STRIP.IT0004957939 at 10:34:54</v>
        <stp/>
        <stp>368711552:59:19</stp>
        <stp>DTSIMI2</stp>
        <stp>STRIP.IT0004957939</stp>
        <stp>0</stp>
        <stp/>
        <stp xml:space="preserve">BID	ASK	</stp>
        <tr r="T60" s="7"/>
      </tp>
      <tp t="s">
        <v>Success: Insert Ack on DTSIMI2 for STRIP.IT0004957863 at 10:31:47</v>
        <stp/>
        <stp>368711552:38:19</stp>
        <stp>DTSIMI2</stp>
        <stp>STRIP.IT0004957863</stp>
        <stp>0</stp>
        <stp/>
        <stp xml:space="preserve">BID	ASK	</stp>
        <tr r="T39" s="7"/>
      </tp>
      <tp t="s">
        <v>Success: Insert Ack on DTSIMI2 for STRIP.IT0004848476 at 10:35:59</v>
        <stp/>
        <stp>368711552:84:19</stp>
        <stp>DTSIMI2</stp>
        <stp>STRIP.IT0004848476</stp>
        <stp>0</stp>
        <stp/>
        <stp xml:space="preserve">BID	ASK	</stp>
        <tr r="T85" s="7"/>
      </tp>
      <tp t="s">
        <v>Success: Insert Ack on DTSIMI2 for STRIP.IT0004976475 at 10:36:50</v>
        <stp/>
        <stp>368711552:74:19</stp>
        <stp>DTSIMI2</stp>
        <stp>STRIP.IT0004976475</stp>
        <stp>0</stp>
        <stp/>
        <stp xml:space="preserve">BID	ASK	</stp>
        <tr r="T75" s="7"/>
      </tp>
      <tp t="s">
        <v>Success: Insert Ack on DTSIMI2 for STRIP.IT0004848666 at 10:31:47</v>
        <stp/>
        <stp>368711552:16:19</stp>
        <stp>DTSIMI2</stp>
        <stp>STRIP.IT0004848666</stp>
        <stp>0</stp>
        <stp/>
        <stp xml:space="preserve">BID	ASK	</stp>
        <tr r="T17" s="7"/>
      </tp>
      <tp t="s">
        <v>Success: Insert Ack on DTSIMI2 for STRIP.IT0004848658 at 10:34:54</v>
        <stp/>
        <stp>368711552:46:19</stp>
        <stp>DTSIMI2</stp>
        <stp>STRIP.IT0004848658</stp>
        <stp>0</stp>
        <stp/>
        <stp xml:space="preserve">BID	ASK	</stp>
        <tr r="T47" s="7"/>
      </tp>
      <tp t="s">
        <v>Success: Insert Ack on DTSIMI2 for STRIP.IT0004976541 at 10:36:50</v>
        <stp/>
        <stp>368711552:95:19</stp>
        <stp>DTSIMI2</stp>
        <stp>STRIP.IT0004976541</stp>
        <stp>0</stp>
        <stp/>
        <stp xml:space="preserve">BID	ASK	</stp>
        <tr r="T96" s="7"/>
      </tp>
      <tp t="s">
        <v>Success: Insert Ack on DTSIMI2 for STRIP.IT0001247219 at 10:31:41</v>
        <stp/>
        <stp>368711552:27:19</stp>
        <stp>DTSIMI2</stp>
        <stp>STRIP.IT0001247219</stp>
        <stp>0</stp>
        <stp/>
        <stp xml:space="preserve">BID	ASK	</stp>
        <tr r="T28" s="7"/>
      </tp>
      <tp t="s">
        <v>Success: Insert Ack on DTSIMI2 for STRIP.IT0004957798 at 10:31:47</v>
        <stp/>
        <stp>368711552:17:19</stp>
        <stp>DTSIMI2</stp>
        <stp>STRIP.IT0004957798</stp>
        <stp>0</stp>
        <stp/>
        <stp xml:space="preserve">BID	ASK	</stp>
        <tr r="T18" s="7"/>
      </tp>
      <tp t="s">
        <v>Success: Insert Ack on DTSIMI2 for STRIP.IT0001247342 at 10:35:08</v>
        <stp/>
        <stp>368711552:66:19</stp>
        <stp>DTSIMI2</stp>
        <stp>STRIP.IT0001247342</stp>
        <stp>0</stp>
        <stp/>
        <stp xml:space="preserve">BID	ASK	</stp>
        <tr r="T67" s="7"/>
      </tp>
      <tp t="s">
        <v>Success: Insert Ack on DTSIMI2 for STRIP.IT0004976517 at 10:36:19</v>
        <stp/>
        <stp>368711552:86:19</stp>
        <stp>DTSIMI2</stp>
        <stp>STRIP.IT0004976517</stp>
        <stp>0</stp>
        <stp/>
        <stp xml:space="preserve">BID	ASK	</stp>
        <tr r="T87" s="7"/>
      </tp>
      <tp t="s">
        <v>Success: Insert Ack on DTSIMI2 for STRIP.IT0004976483 at 10:36:50</v>
        <stp/>
        <stp>368711552:77:19</stp>
        <stp>DTSIMI2</stp>
        <stp>STRIP.IT0004976483</stp>
        <stp>0</stp>
        <stp/>
        <stp xml:space="preserve">BID	ASK	</stp>
        <tr r="T78" s="7"/>
      </tp>
      <tp t="s">
        <v>Success: Insert Ack on DTSIMI2 for STRIP.IT0004848682 at 10:31:41</v>
        <stp/>
        <stp>368711552:25:19</stp>
        <stp>DTSIMI2</stp>
        <stp>STRIP.IT0004848682</stp>
        <stp>0</stp>
        <stp/>
        <stp xml:space="preserve">BID	ASK	</stp>
        <tr r="T26" s="7"/>
      </tp>
      <tp t="s">
        <v>Success: Insert Ack on DTSIMI2 for STRIP.IT0001247375 at 10:36:50</v>
        <stp/>
        <stp>368711552:75:19</stp>
        <stp>DTSIMI2</stp>
        <stp>STRIP.IT0001247375</stp>
        <stp>0</stp>
        <stp/>
        <stp xml:space="preserve">BID	ASK	</stp>
        <tr r="T76" s="7"/>
      </tp>
    </main>
    <main first="realtimexl.rtxlpubrtd.1">
      <tp t="s">
        <v>Success: Insert Ack on DTSIMI2 for STRIP.IT0001312799 at 10:36:14</v>
        <stp/>
        <stp>368711552:90:19</stp>
        <stp>DTSIMI2</stp>
        <stp>STRIP.IT0001312799</stp>
        <stp>0</stp>
        <stp/>
        <stp xml:space="preserve">BID	ASK	</stp>
        <tr r="T91" s="7"/>
      </tp>
      <tp t="s">
        <v>Success: Insert Ack on DTSIMI2 for STRIP.IT0004848484 at 10:36:19</v>
        <stp/>
        <stp>368711552:96:19</stp>
        <stp>DTSIMI2</stp>
        <stp>STRIP.IT0004848484</stp>
        <stp>0</stp>
        <stp/>
        <stp xml:space="preserve">BID	ASK	</stp>
        <tr r="T97" s="7"/>
      </tp>
      <tp t="s">
        <v>Success: Insert Ack on DTSIMI2 for STRIP.IT0003268742 at 10:33:57</v>
        <stp/>
        <stp>368711552:52:19</stp>
        <stp>DTSIMI2</stp>
        <stp>STRIP.IT0003268742</stp>
        <stp>0</stp>
        <stp/>
        <stp xml:space="preserve">BID	ASK	</stp>
        <tr r="T53" s="7"/>
      </tp>
      <tp t="s">
        <v>Success: Insert Ack on DTSIMI2 for STRIP.IT0001247276 at 10:34:46</v>
        <stp/>
        <stp>368711552:45:19</stp>
        <stp>DTSIMI2</stp>
        <stp>STRIP.IT0001247276</stp>
        <stp>0</stp>
        <stp/>
        <stp xml:space="preserve">BID	ASK	</stp>
        <tr r="T46" s="7"/>
      </tp>
      <tp t="s">
        <v>Success: Insert Ack on DTSIMI2 for STRIP.IT0003268676 at 10:34:54</v>
        <stp/>
        <stp>368711552:43:19</stp>
        <stp>DTSIMI2</stp>
        <stp>STRIP.IT0003268676</stp>
        <stp>0</stp>
        <stp/>
        <stp xml:space="preserve">BID	ASK	</stp>
        <tr r="T44" s="7"/>
      </tp>
    </main>
    <main first="bloomberg.rtd">
      <tp>
        <v>71.632000000000005</v>
        <stp/>
        <stp>##V3_BDPV12</stp>
        <stp>IT0004848492@rbsm Corp</stp>
        <stp>bid</stp>
        <stp>[BTP Stripping-contributor.xlsx]Contribution!R106C27</stp>
        <tr r="AA106" s="7"/>
      </tp>
      <tp>
        <v>64.155000000000001</v>
        <stp/>
        <stp>##V3_BDPV12</stp>
        <stp>IT0004848591@rbsm Corp</stp>
        <stp>bid</stp>
        <stp>[BTP Stripping-contributor.xlsx]Contribution!R119C27</stp>
        <tr r="AA119" s="7"/>
      </tp>
      <tp>
        <v>56.734000000000002</v>
        <stp/>
        <stp>##V3_BDPV12</stp>
        <stp>IT0004288590@rbsm Corp</stp>
        <stp>bid</stp>
        <stp>[BTP Stripping-contributor.xlsx]Contribution!R131C27</stp>
        <tr r="AA131" s="7"/>
      </tp>
      <tp>
        <v>67.540999999999997</v>
        <stp/>
        <stp>##V3_BDPV12</stp>
        <stp>IT0004848534@rbsm Corp</stp>
        <stp>bid</stp>
        <stp>[BTP Stripping-contributor.xlsx]Contribution!R113C27</stp>
        <tr r="AA113" s="7"/>
      </tp>
      <tp>
        <v>55.494</v>
        <stp/>
        <stp>##V3_BDPV12</stp>
        <stp>IT0004288608@rbsm Corp</stp>
        <stp>bid</stp>
        <stp>[BTP Stripping-contributor.xlsx]Contribution!R133C27</stp>
        <tr r="AA133" s="7"/>
      </tp>
      <tp>
        <v>53.712000000000003</v>
        <stp/>
        <stp>##V3_BDPV12</stp>
        <stp>IT0004288616@rbsm Corp</stp>
        <stp>bid</stp>
        <stp>[BTP Stripping-contributor.xlsx]Contribution!R135C27</stp>
        <tr r="AA135" s="7"/>
      </tp>
      <tp>
        <v>52.527000000000001</v>
        <stp/>
        <stp>##V3_BDPV12</stp>
        <stp>IT0004288624@rbsm Corp</stp>
        <stp>bid</stp>
        <stp>[BTP Stripping-contributor.xlsx]Contribution!R137C27</stp>
        <tr r="AA137" s="7"/>
      </tp>
      <tp>
        <v>53.170999999999999</v>
        <stp/>
        <stp>##V3_BDPV12</stp>
        <stp>IT0004848690@rbsm Corp</stp>
        <stp>bid</stp>
        <stp>[BTP Stripping-contributor.xlsx]Contribution!R139C27</stp>
        <tr r="AA139" s="7"/>
      </tp>
      <tp>
        <v>59.04</v>
        <stp/>
        <stp>##V3_BDPV12</stp>
        <stp>IT0004848641@rbsm Corp</stp>
        <stp>bid</stp>
        <stp>[BTP Stripping-contributor.xlsx]Contribution!R129C27</stp>
        <tr r="AA129" s="7"/>
      </tp>
      <tp t="s">
        <v>#N/A Field Not Applicable</v>
        <stp/>
        <stp>##V3_BDPV12</stp>
        <stp>IT0004848609 Corp</stp>
        <stp>days to mty</stp>
        <stp>[BTP Stripping-contributor.xlsx]Contribution!R5C3</stp>
        <tr r="C5" s="7"/>
      </tp>
      <tp>
        <v>72.430999999999997</v>
        <stp/>
        <stp>##V3_BDPV12</stp>
        <stp>IT0003268973@rbsm Corp</stp>
        <stp>bid</stp>
        <stp>[BTP Stripping-contributor.xlsx]Contribution!R101C27</stp>
        <tr r="AA101" s="7"/>
      </tp>
      <tp>
        <v>71.081000000000003</v>
        <stp/>
        <stp>##V3_BDPV12</stp>
        <stp>IT0003268999@rbsm Corp</stp>
        <stp>bid</stp>
        <stp>[BTP Stripping-contributor.xlsx]Contribution!R104C27</stp>
        <tr r="AA104" s="7"/>
      </tp>
    </main>
    <main first="realtimexl.rtxlpubrtd.1">
      <tp t="s">
        <v>Success: Insert Ack on DTSIMI2 for STRIP.IT0001312781 at 10:35:59</v>
        <stp/>
        <stp>368711552:87:19</stp>
        <stp>DTSIMI2</stp>
        <stp>STRIP.IT0001312781</stp>
        <stp>0</stp>
        <stp/>
        <stp xml:space="preserve">BID	ASK	</stp>
        <tr r="T88" s="7"/>
      </tp>
      <tp t="s">
        <v>Success: Insert Ack on DTSIMI2 for STRIP.IT0004976467 at 10:34:57</v>
        <stp/>
        <stp>368711552:71:19</stp>
        <stp>DTSIMI2</stp>
        <stp>STRIP.IT0004976467</stp>
        <stp>0</stp>
        <stp/>
        <stp xml:space="preserve">BID	ASK	</stp>
        <tr r="T72" s="7"/>
      </tp>
      <tp t="s">
        <v>Success: Insert Ack on DTSIMI2 for STRIP.IT0001247334 at 10:35:10</v>
        <stp/>
        <stp>368711552:63:19</stp>
        <stp>DTSIMI2</stp>
        <stp>STRIP.IT0001247334</stp>
        <stp>0</stp>
        <stp/>
        <stp xml:space="preserve">BID	ASK	</stp>
        <tr r="T64" s="7"/>
      </tp>
      <tp t="s">
        <v>Success: Insert Ack on DTSIMI2 for STRIP.IT0003268775 at 10:35:11</v>
        <stp/>
        <stp>368711552:55:19</stp>
        <stp>DTSIMI2</stp>
        <stp>STRIP.IT0003268775</stp>
        <stp>0</stp>
        <stp/>
        <stp xml:space="preserve">BID	ASK	</stp>
        <tr r="T56" s="7"/>
      </tp>
      <tp t="s">
        <v>Success: Insert Ack on DTSIMI2 for STRIP.IT0001247268 at 10:34:54</v>
        <stp/>
        <stp>368711552:42:19</stp>
        <stp>DTSIMI2</stp>
        <stp>STRIP.IT0001247268</stp>
        <stp>0</stp>
        <stp/>
        <stp xml:space="preserve">BID	ASK	</stp>
        <tr r="T43" s="7"/>
      </tp>
    </main>
    <main first="bloomberg.rtd">
      <tp>
        <v>68.522000000000006</v>
        <stp/>
        <stp>##V3_BDPV12</stp>
        <stp>IT0003269021@rbsm Corp</stp>
        <stp>bid</stp>
        <stp>[BTP Stripping-contributor.xlsx]Contribution!R109C27</stp>
        <tr r="AA109" s="7"/>
      </tp>
      <tp>
        <v>67.296000000000006</v>
        <stp/>
        <stp>##V3_BDPV12</stp>
        <stp>IT0003269039@rbsm Corp</stp>
        <stp>bid</stp>
        <stp>[BTP Stripping-contributor.xlsx]Contribution!R111C27</stp>
        <tr r="AA111" s="7"/>
      </tp>
      <tp>
        <v>69.790999999999997</v>
        <stp/>
        <stp>##V3_BDPV12</stp>
        <stp>IT0003269013@rbsm Corp</stp>
        <stp>bid</stp>
        <stp>[BTP Stripping-contributor.xlsx]Contribution!R107C27</stp>
        <tr r="AA107" s="7"/>
      </tp>
    </main>
    <main first="realtimexl.rtxlpubrtd.1">
      <tp t="s">
        <v>Success: Insert Ack on DTSIMI2 for STRIP.IT0004848435 at 10:34:46</v>
        <stp/>
        <stp>368711552:60:19</stp>
        <stp>DTSIMI2</stp>
        <stp>STRIP.IT0004848435</stp>
        <stp>0</stp>
        <stp/>
        <stp xml:space="preserve">BID	ASK	</stp>
        <tr r="T61" s="7"/>
      </tp>
      <tp t="s">
        <v>Success: Insert Ack on DTSIMI2 for STRIP.IT0001247235 at 10:31:47</v>
        <stp/>
        <stp>368711552:33:19</stp>
        <stp>DTSIMI2</stp>
        <stp>STRIP.IT0001247235</stp>
        <stp>0</stp>
        <stp/>
        <stp xml:space="preserve">BID	ASK	</stp>
        <tr r="T34" s="7"/>
      </tp>
      <tp t="s">
        <v>Success: Insert Ack on DTSIMI2 for STRIP.IT0004976491 at 10:35:34</v>
        <stp/>
        <stp>368711552:80:19</stp>
        <stp>DTSIMI2</stp>
        <stp>STRIP.IT0004976491</stp>
        <stp>0</stp>
        <stp/>
        <stp xml:space="preserve">BID	ASK	</stp>
        <tr r="T81" s="7"/>
      </tp>
      <tp t="s">
        <v>Success: Insert Ack on DTSIMI2 for STRIP.IT0004848583 at 10:31:47</v>
        <stp/>
        <stp>368711552:31:19</stp>
        <stp>DTSIMI2</stp>
        <stp>STRIP.IT0004848583</stp>
        <stp>0</stp>
        <stp/>
        <stp xml:space="preserve">BID	ASK	</stp>
        <tr r="T32" s="7"/>
      </tp>
      <tp t="s">
        <v>Success: Insert Ack on DTSIMI2 for STRIP.IT0001247367 at 10:36:50</v>
        <stp/>
        <stp>368711552:72:19</stp>
        <stp>DTSIMI2</stp>
        <stp>STRIP.IT0001247367</stp>
        <stp>0</stp>
        <stp/>
        <stp xml:space="preserve">BID	ASK	</stp>
        <tr r="T73" s="7"/>
      </tp>
    </main>
    <main first="realtimexl.rtxlpubrtd.1">
      <tp t="s">
        <v>Success: Insert Ack on DTSIMI2 for STRIP.IT0001247391 at 10:36:50</v>
        <stp/>
        <stp>368711552:81:19</stp>
        <stp>DTSIMI2</stp>
        <stp>STRIP.IT0001247391</stp>
        <stp>0</stp>
        <stp/>
        <stp xml:space="preserve">BID	ASK	</stp>
        <tr r="T82" s="7"/>
      </tp>
      <tp t="s">
        <v>Success: Insert Ack on DTSIMI2 for STRIP.IT0004976533 at 10:36:50</v>
        <stp/>
        <stp>368711552:92:19</stp>
        <stp>DTSIMI2</stp>
        <stp>STRIP.IT0004976533</stp>
        <stp>0</stp>
        <stp/>
        <stp xml:space="preserve">BID	ASK	</stp>
        <tr r="T93" s="7"/>
      </tp>
      <tp t="s">
        <v>Success: Insert Ack on DTSIMI2 for STRIP.IT0004869324 at 10:34:46</v>
        <stp/>
        <stp>368711552:54:19</stp>
        <stp>DTSIMI2</stp>
        <stp>STRIP.IT0004869324</stp>
        <stp>0</stp>
        <stp/>
        <stp xml:space="preserve">BID	ASK	</stp>
        <tr r="T55" s="7"/>
      </tp>
      <tp t="s">
        <v>Success: Insert Ack on DTSIMI2 for STRIP.IT0004869316 at 10:31:47</v>
        <stp/>
        <stp>368711552:24:19</stp>
        <stp>DTSIMI2</stp>
        <stp>STRIP.IT0004869316</stp>
        <stp>0</stp>
        <stp/>
        <stp xml:space="preserve">BID	ASK	</stp>
        <tr r="T25" s="7"/>
      </tp>
      <tp t="s">
        <v>Success: Insert Ack on DTSIMI2 for STRIP.IT0004848500 at 10:31:47</v>
        <stp/>
        <stp>368711552:22:19</stp>
        <stp>DTSIMI2</stp>
        <stp>STRIP.IT0004848500</stp>
        <stp>0</stp>
        <stp/>
        <stp xml:space="preserve">BID	ASK	</stp>
        <tr r="T23" s="7"/>
      </tp>
      <tp t="s">
        <v>Success: Insert Ack on DTSIMI2 for STRIP.IT0001247227 at 10:31:47</v>
        <stp/>
        <stp>368711552:30:19</stp>
        <stp>DTSIMI2</stp>
        <stp>STRIP.IT0001247227</stp>
        <stp>0</stp>
        <stp/>
        <stp xml:space="preserve">BID	ASK	</stp>
        <tr r="T31" s="7"/>
      </tp>
    </main>
    <main first="bloomberg.rtd">
      <tp t="s">
        <v>#N/A Field Not Applicable</v>
        <stp/>
        <stp>##V3_BDPV12</stp>
        <stp>IT0004957764 Corp</stp>
        <stp>days to mty</stp>
        <stp>[BTP Stripping-contributor.xlsx]Contribution!R9C3</stp>
        <tr r="C9" s="7"/>
      </tp>
    </main>
    <main first="realtimexl.rtxlpubrtd.1">
      <tp t="s">
        <v>Success: Insert Ack on DTSIMI2 for STRIP.IT0001247292 at 10:35:53</v>
        <stp/>
        <stp>368711552:51:19</stp>
        <stp>DTSIMI2</stp>
        <stp>STRIP.IT0001247292</stp>
        <stp>0</stp>
        <stp/>
        <stp xml:space="preserve">BID	ASK	</stp>
        <tr r="T52" s="7"/>
      </tp>
      <tp t="s">
        <v>Success: Insert Ack on DTSIMI2 for STRIP.IT0003268585 at 10:31:47</v>
        <stp/>
        <stp>368711552:34:19</stp>
        <stp>DTSIMI2</stp>
        <stp>STRIP.IT0003268585</stp>
        <stp>0</stp>
        <stp/>
        <stp xml:space="preserve">BID	ASK	</stp>
        <tr r="T35" s="7"/>
      </tp>
      <tp t="s">
        <v>Success: Insert Ack on DTSIMI2 for STRIP.IT0004976509 at 10:35:59</v>
        <stp/>
        <stp>368711552:83:19</stp>
        <stp>DTSIMI2</stp>
        <stp>STRIP.IT0004976509</stp>
        <stp>0</stp>
        <stp/>
        <stp xml:space="preserve">BID	ASK	</stp>
        <tr r="T84" s="7"/>
      </tp>
      <tp t="s">
        <v>Success: Insert Ack on DTSIMI2 for STRIP.IT0003268908 at 10:35:59</v>
        <stp/>
        <stp>368711552:88:19</stp>
        <stp>DTSIMI2</stp>
        <stp>STRIP.IT0003268908</stp>
        <stp>0</stp>
        <stp/>
        <stp xml:space="preserve">BID	ASK	</stp>
        <tr r="T89" s="7"/>
      </tp>
      <tp t="s">
        <v>Success: Insert Ack on DTSIMI2 for STRIP.IT0003268874 at 10:36:50</v>
        <stp/>
        <stp>368711552:79:19</stp>
        <stp>DTSIMI2</stp>
        <stp>STRIP.IT0003268874</stp>
        <stp>0</stp>
        <stp/>
        <stp xml:space="preserve">BID	ASK	</stp>
        <tr r="T80" s="7"/>
      </tp>
    </main>
    <main first="marketviewexcelplugin.mkvxp">
      <tp t="s">
        <v>Not connected</v>
        <stp/>
        <stp>4</stp>
        <stp>EUR.PRICING.XLS_STRIPS.IT0001464202</stp>
        <stp>XLS_STRIPS</stp>
        <tr r="W103" s="7"/>
      </tp>
      <tp t="s">
        <v>Not connected</v>
        <stp/>
        <stp>4</stp>
        <stp>EUR.PRICING.XLS_STRIPS.IT0001464194</stp>
        <stp>XLS_STRIPS</stp>
        <tr r="W100" s="7"/>
      </tp>
    </main>
    <main first="bloomberg.rtd">
      <tp>
        <v>251</v>
        <stp/>
        <stp>##V3_BDPV12</stp>
        <stp>IT0004164775 Corp</stp>
        <stp>days to mty</stp>
        <stp>[BTP Stripping-contributor.xlsx]BtpCurve!R4C29</stp>
        <tr r="AC4" s="4"/>
      </tp>
      <tp>
        <v>6460</v>
        <stp/>
        <stp>##V3_BDPV12</stp>
        <stp>IT0003540397 Corp</stp>
        <stp>days to mty</stp>
        <stp>[BTP Stripping-contributor.xlsx]Contribution!R117C3</stp>
        <tr r="C117" s="7"/>
      </tp>
      <tp>
        <v>5392</v>
        <stp/>
        <stp>##V3_BDPV12</stp>
        <stp>IT0004976574 Corp</stp>
        <stp>days to mty</stp>
        <stp>[BTP Stripping-contributor.xlsx]Contribution!R105C3</stp>
        <tr r="C105" s="7"/>
      </tp>
      <tp>
        <v>7037</v>
        <stp/>
        <stp>##V3_BDPV12</stp>
        <stp>IT0004976665 Corp</stp>
        <stp>days to mty</stp>
        <stp>[BTP Stripping-contributor.xlsx]Contribution!R124C3</stp>
        <tr r="C124" s="7"/>
      </tp>
      <tp>
        <v>7768</v>
        <stp/>
        <stp>##V3_BDPV12</stp>
        <stp>IT0004976707 Corp</stp>
        <stp>days to mty</stp>
        <stp>[BTP Stripping-contributor.xlsx]Contribution!R132C3</stp>
        <tr r="C132" s="7"/>
      </tp>
      <tp>
        <v>5942</v>
        <stp/>
        <stp>##V3_BDPV12</stp>
        <stp>IT0004976608 Corp</stp>
        <stp>days to mty</stp>
        <stp>[BTP Stripping-contributor.xlsx]Contribution!R112C3</stp>
        <tr r="C112" s="7"/>
      </tp>
      <tp>
        <v>2531</v>
        <stp/>
        <stp>##V3_BDPV12</stp>
        <stp>IT0004898034 Corp</stp>
        <stp>days to mty</stp>
        <stp>[BTP Stripping-contributor.xlsx]BtpCurve!R34C29</stp>
        <tr r="AC34" s="4"/>
      </tp>
      <tp>
        <v>4481</v>
        <stp/>
        <stp>##V3_BDPV12</stp>
        <stp>IT0004889033 Corp</stp>
        <stp>days to mty</stp>
        <stp>[BTP Stripping-contributor.xlsx]BtpCurve!R45C29</stp>
        <tr r="AC45" s="4"/>
      </tp>
      <tp>
        <v>2350</v>
        <stp/>
        <stp>##V3_BDPV12</stp>
        <stp>IT0004848831 Corp</stp>
        <stp>days to mty</stp>
        <stp>[BTP Stripping-contributor.xlsx]BtpCurve!R33C29</stp>
        <tr r="AC33" s="4"/>
      </tp>
      <tp>
        <v>616</v>
        <stp/>
        <stp>##V3_BDPV12</stp>
        <stp>IT0004273493 Corp</stp>
        <stp>days to mty</stp>
        <stp>[BTP Stripping-contributor.xlsx]BtpCurve!R11C29</stp>
        <tr r="AC11" s="4"/>
      </tp>
      <tp>
        <v>7737</v>
        <stp/>
        <stp>##V3_BDPV12</stp>
        <stp>IT0004288590 Corp</stp>
        <stp>days to mty</stp>
        <stp>[BTP Stripping-contributor.xlsx]Contribution!R131C3</stp>
        <tr r="C131" s="7"/>
      </tp>
    </main>
    <main first="marketviewexcelplugin.mkvxp">
      <tp t="s">
        <v>Not connected</v>
        <stp/>
        <stp>4</stp>
        <stp>EUR.PRICING.XLS_STRIPS.IT0004976830</stp>
        <stp>XLS_STRIPS</stp>
        <tr r="W149" s="7"/>
      </tp>
      <tp t="s">
        <v>Not connected</v>
        <stp/>
        <stp>4</stp>
        <stp>EUR.PRICING.XLS_STRIPS.IT0004976822</stp>
        <stp>XLS_STRIPS</stp>
        <tr r="W148" s="7"/>
      </tp>
      <tp t="s">
        <v>Not connected</v>
        <stp/>
        <stp>4</stp>
        <stp>EUR.PRICING.XLS_STRIPS.IT0004976814</stp>
        <stp>XLS_STRIPS</stp>
        <tr r="W147" s="7"/>
      </tp>
      <tp t="s">
        <v>Not connected</v>
        <stp/>
        <stp>4</stp>
        <stp>EUR.PRICING.XLS_STRIPS.IT0004976806</stp>
        <stp>XLS_STRIPS</stp>
        <tr r="W146" s="7"/>
      </tp>
      <tp t="s">
        <v>Not connected</v>
        <stp/>
        <stp>4</stp>
        <stp>EUR.PRICING.XLS_STRIPS.IT0004976848</stp>
        <stp>XLS_STRIPS</stp>
        <tr r="W150" s="7"/>
      </tp>
      <tp t="s">
        <v>Not connected</v>
        <stp/>
        <stp>4</stp>
        <stp>EUR.PRICING.XLS_STRIPS.IT0004976798</stp>
        <stp>XLS_STRIPS</stp>
        <tr r="W145" s="7"/>
      </tp>
      <tp t="s">
        <v>Not connected</v>
        <stp/>
        <stp>4</stp>
        <stp>EUR.PRICING.XLS_STRIPS.IT0004976780</stp>
        <stp>XLS_STRIPS</stp>
        <tr r="W144" s="7"/>
      </tp>
      <tp t="s">
        <v>Not connected</v>
        <stp/>
        <stp>4</stp>
        <stp>EUR.PRICING.XLS_STRIPS.IT0004976731</stp>
        <stp>XLS_STRIPS</stp>
        <tr r="W138" s="7"/>
      </tp>
      <tp t="s">
        <v>Not connected</v>
        <stp/>
        <stp>4</stp>
        <stp>EUR.PRICING.XLS_STRIPS.IT0004976723</stp>
        <stp>XLS_STRIPS</stp>
        <tr r="W136" s="7"/>
      </tp>
      <tp t="s">
        <v>Not connected</v>
        <stp/>
        <stp>4</stp>
        <stp>EUR.PRICING.XLS_STRIPS.IT0004976715</stp>
        <stp>XLS_STRIPS</stp>
        <tr r="W134" s="7"/>
      </tp>
      <tp t="s">
        <v>Not connected</v>
        <stp/>
        <stp>4</stp>
        <stp>EUR.PRICING.XLS_STRIPS.IT0004976707</stp>
        <stp>XLS_STRIPS</stp>
        <tr r="W132" s="7"/>
      </tp>
      <tp t="s">
        <v>Not connected</v>
        <stp/>
        <stp>4</stp>
        <stp>EUR.PRICING.XLS_STRIPS.IT0004976772</stp>
        <stp>XLS_STRIPS</stp>
        <tr r="W143" s="7"/>
      </tp>
      <tp t="s">
        <v>Not connected</v>
        <stp/>
        <stp>4</stp>
        <stp>EUR.PRICING.XLS_STRIPS.IT0004976764</stp>
        <stp>XLS_STRIPS</stp>
        <tr r="W142" s="7"/>
      </tp>
      <tp t="s">
        <v>Not connected</v>
        <stp/>
        <stp>4</stp>
        <stp>EUR.PRICING.XLS_STRIPS.IT0004976756</stp>
        <stp>XLS_STRIPS</stp>
        <tr r="W141" s="7"/>
      </tp>
      <tp t="s">
        <v>Not connected</v>
        <stp/>
        <stp>4</stp>
        <stp>EUR.PRICING.XLS_STRIPS.IT0004976749</stp>
        <stp>XLS_STRIPS</stp>
        <tr r="W140" s="7"/>
      </tp>
      <tp t="s">
        <v>Not connected</v>
        <stp/>
        <stp>4</stp>
        <stp>EUR.PRICING.XLS_STRIPS.IT0004976699</stp>
        <stp>XLS_STRIPS</stp>
        <tr r="W130" s="7"/>
      </tp>
      <tp t="s">
        <v>Not connected</v>
        <stp/>
        <stp>4</stp>
        <stp>EUR.PRICING.XLS_STRIPS.IT0004976681</stp>
        <stp>XLS_STRIPS</stp>
        <tr r="W128" s="7"/>
      </tp>
      <tp t="s">
        <v>Not connected</v>
        <stp/>
        <stp>4</stp>
        <stp>EUR.PRICING.XLS_STRIPS.IT0004976632</stp>
        <stp>XLS_STRIPS</stp>
        <tr r="W118" s="7"/>
      </tp>
      <tp t="s">
        <v>Not connected</v>
        <stp/>
        <stp>4</stp>
        <stp>EUR.PRICING.XLS_STRIPS.IT0004976624</stp>
        <stp>XLS_STRIPS</stp>
        <tr r="W116" s="7"/>
      </tp>
      <tp t="s">
        <v>Not connected</v>
        <stp/>
        <stp>4</stp>
        <stp>EUR.PRICING.XLS_STRIPS.IT0004976616</stp>
        <stp>XLS_STRIPS</stp>
        <tr r="W114" s="7"/>
      </tp>
      <tp t="s">
        <v>Not connected</v>
        <stp/>
        <stp>4</stp>
        <stp>EUR.PRICING.XLS_STRIPS.IT0004976608</stp>
        <stp>XLS_STRIPS</stp>
        <tr r="W112" s="7"/>
      </tp>
      <tp t="s">
        <v>Not connected</v>
        <stp/>
        <stp>4</stp>
        <stp>EUR.PRICING.XLS_STRIPS.IT0004976673</stp>
        <stp>XLS_STRIPS</stp>
        <tr r="W126" s="7"/>
      </tp>
      <tp t="s">
        <v>Not connected</v>
        <stp/>
        <stp>4</stp>
        <stp>EUR.PRICING.XLS_STRIPS.IT0004976665</stp>
        <stp>XLS_STRIPS</stp>
        <tr r="W124" s="7"/>
      </tp>
      <tp t="s">
        <v>Not connected</v>
        <stp/>
        <stp>4</stp>
        <stp>EUR.PRICING.XLS_STRIPS.IT0004976657</stp>
        <stp>XLS_STRIPS</stp>
        <tr r="W122" s="7"/>
      </tp>
      <tp t="s">
        <v>Not connected</v>
        <stp/>
        <stp>4</stp>
        <stp>EUR.PRICING.XLS_STRIPS.IT0004976640</stp>
        <stp>XLS_STRIPS</stp>
        <tr r="W120" s="7"/>
      </tp>
      <tp t="s">
        <v>Not connected</v>
        <stp/>
        <stp>4</stp>
        <stp>EUR.PRICING.XLS_STRIPS.IT0004976590</stp>
        <stp>XLS_STRIPS</stp>
        <tr r="W110" s="7"/>
      </tp>
      <tp t="s">
        <v>Not connected</v>
        <stp/>
        <stp>4</stp>
        <stp>EUR.PRICING.XLS_STRIPS.IT0004976582</stp>
        <stp>XLS_STRIPS</stp>
        <tr r="W108" s="7"/>
      </tp>
      <tp t="s">
        <v>Not connected</v>
        <stp/>
        <stp>4</stp>
        <stp>EUR.PRICING.XLS_STRIPS.IT0004976533</stp>
        <stp>XLS_STRIPS</stp>
        <tr r="W93" s="7"/>
      </tp>
      <tp t="s">
        <v>Not connected</v>
        <stp/>
        <stp>4</stp>
        <stp>EUR.PRICING.XLS_STRIPS.IT0004976525</stp>
        <stp>XLS_STRIPS</stp>
        <tr r="W90" s="7"/>
      </tp>
      <tp t="s">
        <v>Not connected</v>
        <stp/>
        <stp>4</stp>
        <stp>EUR.PRICING.XLS_STRIPS.IT0004976517</stp>
        <stp>XLS_STRIPS</stp>
        <tr r="W87" s="7"/>
      </tp>
      <tp t="s">
        <v>Not connected</v>
        <stp/>
        <stp>4</stp>
        <stp>EUR.PRICING.XLS_STRIPS.IT0004976509</stp>
        <stp>XLS_STRIPS</stp>
        <tr r="W84" s="7"/>
      </tp>
      <tp t="s">
        <v>Not connected</v>
        <stp/>
        <stp>4</stp>
        <stp>EUR.PRICING.XLS_STRIPS.IT0004976574</stp>
        <stp>XLS_STRIPS</stp>
        <tr r="W105" s="7"/>
      </tp>
      <tp t="s">
        <v>Not connected</v>
        <stp/>
        <stp>4</stp>
        <stp>EUR.PRICING.XLS_STRIPS.IT0004976566</stp>
        <stp>XLS_STRIPS</stp>
        <tr r="W102" s="7"/>
      </tp>
      <tp t="s">
        <v>Not connected</v>
        <stp/>
        <stp>4</stp>
        <stp>EUR.PRICING.XLS_STRIPS.IT0004976558</stp>
        <stp>XLS_STRIPS</stp>
        <tr r="W99" s="7"/>
      </tp>
      <tp t="s">
        <v>Not connected</v>
        <stp/>
        <stp>4</stp>
        <stp>EUR.PRICING.XLS_STRIPS.IT0004976541</stp>
        <stp>XLS_STRIPS</stp>
        <tr r="W96" s="7"/>
      </tp>
      <tp t="s">
        <v>Not connected</v>
        <stp/>
        <stp>4</stp>
        <stp>EUR.PRICING.XLS_STRIPS.IT0003246318</stp>
        <stp>XLS_STRIPS</stp>
        <tr r="W14" s="7"/>
      </tp>
      <tp t="s">
        <v>Not connected</v>
        <stp/>
        <stp>4</stp>
        <stp>EUR.PRICING.XLS_STRIPS.IT0004976491</stp>
        <stp>XLS_STRIPS</stp>
        <tr r="W81" s="7"/>
      </tp>
      <tp t="s">
        <v>Not connected</v>
        <stp/>
        <stp>4</stp>
        <stp>EUR.PRICING.XLS_STRIPS.IT0004976483</stp>
        <stp>XLS_STRIPS</stp>
        <tr r="W78" s="7"/>
      </tp>
      <tp t="s">
        <v>Not connected</v>
        <stp/>
        <stp>4</stp>
        <stp>EUR.PRICING.XLS_STRIPS.IT0004976475</stp>
        <stp>XLS_STRIPS</stp>
        <tr r="W75" s="7"/>
      </tp>
      <tp t="s">
        <v>Not connected</v>
        <stp/>
        <stp>4</stp>
        <stp>EUR.PRICING.XLS_STRIPS.IT0004976467</stp>
        <stp>XLS_STRIPS</stp>
        <tr r="W72" s="7"/>
      </tp>
      <tp t="s">
        <v>Not connected</v>
        <stp/>
        <stp>4</stp>
        <stp>EUR.PRICING.XLS_STRIPS.IT0004976459</stp>
        <stp>XLS_STRIPS</stp>
        <tr r="W69" s="7"/>
      </tp>
      <tp t="s">
        <v>Not connected</v>
        <stp/>
        <stp>4</stp>
        <stp>EUR.PRICING.XLS_STRIPS.IT0004976442</stp>
        <stp>XLS_STRIPS</stp>
        <tr r="W66" s="7"/>
      </tp>
    </main>
    <main first="bloomberg.rtd">
      <tp>
        <v>67</v>
        <stp/>
        <stp>##V3_BDPV12</stp>
        <stp>IT0004019581 Corp</stp>
        <stp>days to mty</stp>
        <stp>[BTP Stripping-contributor.xlsx]BtpCurve!R2C29</stp>
        <tr r="AC2" s="4"/>
      </tp>
      <tp>
        <v>354</v>
        <stp/>
        <stp>##V3_BDPV12</stp>
        <stp>IT0005023459 Corp</stp>
        <stp>days to mty</stp>
        <stp>[BTP Stripping-contributor.xlsx]BtpCurve!R6C29</stp>
        <tr r="AC6" s="4"/>
      </tp>
      <tp>
        <v>2150</v>
        <stp/>
        <stp>##V3_BDPV12</stp>
        <stp>IT0005086886 Corp</stp>
        <stp>days to mty</stp>
        <stp>[BTP Stripping-contributor.xlsx]BtpCurve!R31C29</stp>
        <tr r="AC31" s="4"/>
      </tp>
      <tp>
        <v>2836</v>
        <stp/>
        <stp>##V3_BDPV12</stp>
        <stp>IT0004953417 Corp</stp>
        <stp>days to mty</stp>
        <stp>[BTP Stripping-contributor.xlsx]BtpCurve!R37C29</stp>
        <tr r="AC37" s="4"/>
      </tp>
      <tp>
        <v>5758</v>
        <stp/>
        <stp>##V3_BDPV12</stp>
        <stp>IT0005094088 Corp</stp>
        <stp>days to mty</stp>
        <stp>[BTP Stripping-contributor.xlsx]BtpCurve!R49C29</stp>
        <tr r="AC49" s="4"/>
      </tp>
      <tp>
        <v>5729</v>
        <stp/>
        <stp>##V3_BDPV12</stp>
        <stp>IT0003269021 Corp</stp>
        <stp>days to mty</stp>
        <stp>[BTP Stripping-contributor.xlsx]Contribution!R109C3</stp>
        <tr r="C109" s="7"/>
      </tp>
      <tp>
        <v>7403</v>
        <stp/>
        <stp>##V3_BDPV12</stp>
        <stp>IT0004976681 Corp</stp>
        <stp>days to mty</stp>
        <stp>[BTP Stripping-contributor.xlsx]Contribution!R128C3</stp>
        <tr r="C128" s="7"/>
      </tp>
      <tp>
        <v>5576</v>
        <stp/>
        <stp>##V3_BDPV12</stp>
        <stp>IT0004976582 Corp</stp>
        <stp>days to mty</stp>
        <stp>[BTP Stripping-contributor.xlsx]Contribution!R108C3</stp>
        <tr r="C108" s="7"/>
      </tp>
    </main>
    <main first="marketviewexcelplugin.mkvxp">
      <tp t="s">
        <v>Not connected</v>
        <stp/>
        <stp>4</stp>
        <stp>EUR.PRICING.XLS_STRIPS.IT0004957939</stp>
        <stp>XLS_STRIPS</stp>
        <tr r="W60" s="7"/>
      </tp>
      <tp t="s">
        <v>Not connected</v>
        <stp/>
        <stp>4</stp>
        <stp>EUR.PRICING.XLS_STRIPS.IT0004957921</stp>
        <stp>XLS_STRIPS</stp>
        <tr r="W57" s="7"/>
      </tp>
      <tp t="s">
        <v>Not connected</v>
        <stp/>
        <stp>4</stp>
        <stp>EUR.PRICING.XLS_STRIPS.IT0004957913</stp>
        <stp>XLS_STRIPS</stp>
        <tr r="W54" s="7"/>
      </tp>
      <tp t="s">
        <v>Not connected</v>
        <stp/>
        <stp>4</stp>
        <stp>EUR.PRICING.XLS_STRIPS.IT0004957905</stp>
        <stp>XLS_STRIPS</stp>
        <tr r="W51" s="7"/>
      </tp>
      <tp t="s">
        <v>Not connected</v>
        <stp/>
        <stp>4</stp>
        <stp>EUR.PRICING.XLS_STRIPS.IT0004957947</stp>
        <stp>XLS_STRIPS</stp>
        <tr r="W63" s="7"/>
      </tp>
      <tp t="s">
        <v>Not connected</v>
        <stp/>
        <stp>4</stp>
        <stp>EUR.PRICING.XLS_STRIPS.IT0004957897</stp>
        <stp>XLS_STRIPS</stp>
        <tr r="W48" s="7"/>
      </tp>
      <tp t="s">
        <v>Not connected</v>
        <stp/>
        <stp>4</stp>
        <stp>EUR.PRICING.XLS_STRIPS.IT0004957889</stp>
        <stp>XLS_STRIPS</stp>
        <tr r="W45" s="7"/>
      </tp>
      <tp t="s">
        <v>Not connected</v>
        <stp/>
        <stp>4</stp>
        <stp>EUR.PRICING.XLS_STRIPS.IT0004957830</stp>
        <stp>XLS_STRIPS</stp>
        <tr r="W30" s="7"/>
      </tp>
      <tp t="s">
        <v>Not connected</v>
        <stp/>
        <stp>4</stp>
        <stp>EUR.PRICING.XLS_STRIPS.IT0004957822</stp>
        <stp>XLS_STRIPS</stp>
        <tr r="W27" s="7"/>
      </tp>
      <tp t="s">
        <v>Not connected</v>
        <stp/>
        <stp>4</stp>
        <stp>EUR.PRICING.XLS_STRIPS.IT0004957814</stp>
        <stp>XLS_STRIPS</stp>
        <tr r="W24" s="7"/>
      </tp>
      <tp t="s">
        <v>Not connected</v>
        <stp/>
        <stp>4</stp>
        <stp>EUR.PRICING.XLS_STRIPS.IT0004957806</stp>
        <stp>XLS_STRIPS</stp>
        <tr r="W21" s="7"/>
      </tp>
      <tp t="s">
        <v>Not connected</v>
        <stp/>
        <stp>4</stp>
        <stp>EUR.PRICING.XLS_STRIPS.IT0004957871</stp>
        <stp>XLS_STRIPS</stp>
        <tr r="W42" s="7"/>
      </tp>
      <tp t="s">
        <v>Not connected</v>
        <stp/>
        <stp>4</stp>
        <stp>EUR.PRICING.XLS_STRIPS.IT0004957863</stp>
        <stp>XLS_STRIPS</stp>
        <tr r="W39" s="7"/>
      </tp>
      <tp t="s">
        <v>Not connected</v>
        <stp/>
        <stp>4</stp>
        <stp>EUR.PRICING.XLS_STRIPS.IT0004957855</stp>
        <stp>XLS_STRIPS</stp>
        <tr r="W36" s="7"/>
      </tp>
      <tp t="s">
        <v>Not connected</v>
        <stp/>
        <stp>4</stp>
        <stp>EUR.PRICING.XLS_STRIPS.IT0004957848</stp>
        <stp>XLS_STRIPS</stp>
        <tr r="W33" s="7"/>
      </tp>
      <tp t="s">
        <v>Not connected</v>
        <stp/>
        <stp>4</stp>
        <stp>EUR.PRICING.XLS_STRIPS.IT0001247219</stp>
        <stp>XLS_STRIPS</stp>
        <tr r="W28" s="7"/>
      </tp>
      <tp t="s">
        <v>Not connected</v>
        <stp/>
        <stp>4</stp>
        <stp>EUR.PRICING.XLS_STRIPS.IT0001247227</stp>
        <stp>XLS_STRIPS</stp>
        <tr r="W31" s="7"/>
      </tp>
      <tp t="s">
        <v>Not connected</v>
        <stp/>
        <stp>4</stp>
        <stp>EUR.PRICING.XLS_STRIPS.IT0004957798</stp>
        <stp>XLS_STRIPS</stp>
        <tr r="W18" s="7"/>
      </tp>
      <tp t="s">
        <v>Not connected</v>
        <stp/>
        <stp>4</stp>
        <stp>EUR.PRICING.XLS_STRIPS.IT0001247235</stp>
        <stp>XLS_STRIPS</stp>
        <tr r="W34" s="7"/>
      </tp>
      <tp t="s">
        <v>Not connected</v>
        <stp/>
        <stp>4</stp>
        <stp>EUR.PRICING.XLS_STRIPS.IT0004957780</stp>
        <stp>XLS_STRIPS</stp>
        <tr r="W15" s="7"/>
      </tp>
      <tp t="s">
        <v>Not connected</v>
        <stp/>
        <stp>4</stp>
        <stp>EUR.PRICING.XLS_STRIPS.IT0001247243</stp>
        <stp>XLS_STRIPS</stp>
        <tr r="W37" s="7"/>
      </tp>
      <tp t="s">
        <v>Not connected</v>
        <stp/>
        <stp>4</stp>
        <stp>EUR.PRICING.XLS_STRIPS.IT0001247250</stp>
        <stp>XLS_STRIPS</stp>
        <tr r="W40" s="7"/>
      </tp>
      <tp t="s">
        <v>Not connected</v>
        <stp/>
        <stp>4</stp>
        <stp>EUR.PRICING.XLS_STRIPS.IT0001247268</stp>
        <stp>XLS_STRIPS</stp>
        <tr r="W43" s="7"/>
      </tp>
      <tp t="s">
        <v>Not connected</v>
        <stp/>
        <stp>4</stp>
        <stp>EUR.PRICING.XLS_STRIPS.IT0001247276</stp>
        <stp>XLS_STRIPS</stp>
        <tr r="W46" s="7"/>
      </tp>
      <tp t="s">
        <v>Not connected</v>
        <stp/>
        <stp>4</stp>
        <stp>EUR.PRICING.XLS_STRIPS.IT0001247284</stp>
        <stp>XLS_STRIPS</stp>
        <tr r="W49" s="7"/>
      </tp>
      <tp t="s">
        <v>Not connected</v>
        <stp/>
        <stp>4</stp>
        <stp>EUR.PRICING.XLS_STRIPS.IT0001247292</stp>
        <stp>XLS_STRIPS</stp>
        <tr r="W52" s="7"/>
      </tp>
      <tp t="s">
        <v>Not connected</v>
        <stp/>
        <stp>4</stp>
        <stp>EUR.PRICING.XLS_STRIPS.IT0004957772</stp>
        <stp>XLS_STRIPS</stp>
        <tr r="W12" s="7"/>
      </tp>
      <tp t="s">
        <v>Not connected</v>
        <stp/>
        <stp>4</stp>
        <stp>EUR.PRICING.XLS_STRIPS.IT0004957764</stp>
        <stp>XLS_STRIPS</stp>
        <tr r="W9" s="7"/>
      </tp>
      <tp t="s">
        <v>Not connected</v>
        <stp/>
        <stp>4</stp>
        <stp>EUR.PRICING.XLS_STRIPS.IT0004957756</stp>
        <stp>XLS_STRIPS</stp>
        <tr r="W6" s="7"/>
      </tp>
      <tp t="s">
        <v>Not connected</v>
        <stp/>
        <stp>4</stp>
        <stp>EUR.PRICING.XLS_STRIPS.IT0001247318</stp>
        <stp>XLS_STRIPS</stp>
        <tr r="W58" s="7"/>
      </tp>
      <tp t="s">
        <v>Not connected</v>
        <stp/>
        <stp>4</stp>
        <stp>EUR.PRICING.XLS_STRIPS.IT0001247334</stp>
        <stp>XLS_STRIPS</stp>
        <tr r="W64" s="7"/>
      </tp>
      <tp t="s">
        <v>Not connected</v>
        <stp/>
        <stp>4</stp>
        <stp>EUR.PRICING.XLS_STRIPS.IT0001247342</stp>
        <stp>XLS_STRIPS</stp>
        <tr r="W67" s="7"/>
      </tp>
      <tp t="s">
        <v>Not connected</v>
        <stp/>
        <stp>4</stp>
        <stp>EUR.PRICING.XLS_STRIPS.IT0001247359</stp>
        <stp>XLS_STRIPS</stp>
        <tr r="W70" s="7"/>
      </tp>
      <tp t="s">
        <v>Not connected</v>
        <stp/>
        <stp>4</stp>
        <stp>EUR.PRICING.XLS_STRIPS.IT0001247367</stp>
        <stp>XLS_STRIPS</stp>
        <tr r="W73" s="7"/>
      </tp>
      <tp t="s">
        <v>Not connected</v>
        <stp/>
        <stp>4</stp>
        <stp>EUR.PRICING.XLS_STRIPS.IT0001247375</stp>
        <stp>XLS_STRIPS</stp>
        <tr r="W76" s="7"/>
      </tp>
      <tp t="s">
        <v>Not connected</v>
        <stp/>
        <stp>4</stp>
        <stp>EUR.PRICING.XLS_STRIPS.IT0001247391</stp>
        <stp>XLS_STRIPS</stp>
        <tr r="W82" s="7"/>
      </tp>
      <tp t="s">
        <v>Not connected</v>
        <stp/>
        <stp>4</stp>
        <stp>EUR.PRICING.XLS_STRIPS.IT0001247136</stp>
        <stp>XLS_STRIPS</stp>
        <tr r="W4" s="7"/>
      </tp>
      <tp t="s">
        <v>Not connected</v>
        <stp/>
        <stp>4</stp>
        <stp>EUR.PRICING.XLS_STRIPS.IT0001247144</stp>
        <stp>XLS_STRIPS</stp>
        <tr r="W7" s="7"/>
      </tp>
      <tp t="s">
        <v>Not connected</v>
        <stp/>
        <stp>4</stp>
        <stp>EUR.PRICING.XLS_STRIPS.IT0001247151</stp>
        <stp>XLS_STRIPS</stp>
        <tr r="W10" s="7"/>
      </tp>
      <tp t="s">
        <v>Not connected</v>
        <stp/>
        <stp>4</stp>
        <stp>EUR.PRICING.XLS_STRIPS.IT0001247177</stp>
        <stp>XLS_STRIPS</stp>
        <tr r="W16" s="7"/>
      </tp>
      <tp t="s">
        <v>Not connected</v>
        <stp/>
        <stp>4</stp>
        <stp>EUR.PRICING.XLS_STRIPS.IT0001247185</stp>
        <stp>XLS_STRIPS</stp>
        <tr r="W19" s="7"/>
      </tp>
    </main>
    <main first="bloomberg.rtd">
      <tp>
        <v>371</v>
        <stp/>
        <stp>##V3_BDPV12</stp>
        <stp>IT0004820426 Corp</stp>
        <stp>days to mty</stp>
        <stp>[BTP Stripping-contributor.xlsx]BtpCurve!R7C29</stp>
        <tr r="AC7" s="4"/>
      </tp>
      <tp>
        <v>340</v>
        <stp/>
        <stp>##V3_BDPV12</stp>
        <stp>IT0004793474 Corp</stp>
        <stp>days to mty</stp>
        <stp>[BTP Stripping-contributor.xlsx]BtpCurve!R5C29</stp>
        <tr r="AC5" s="4"/>
      </tp>
      <tp>
        <v>1801</v>
        <stp/>
        <stp>##V3_BDPV12</stp>
        <stp>IT0004966401 Corp</stp>
        <stp>days to mty</stp>
        <stp>[BTP Stripping-contributor.xlsx]BtpCurve!R26C29</stp>
        <tr r="AC26" s="4"/>
      </tp>
      <tp>
        <v>1284</v>
        <stp/>
        <stp>##V3_BDPV12</stp>
        <stp>IT0005069395 Corp</stp>
        <stp>days to mty</stp>
        <stp>[BTP Stripping-contributor.xlsx]BtpCurve!R20C29</stp>
        <tr r="AC20" s="4"/>
      </tp>
      <tp>
        <v>1070</v>
        <stp/>
        <stp>##V3_BDPV12</stp>
        <stp>IT0004992308 Corp</stp>
        <stp>days to mty</stp>
        <stp>[BTP Stripping-contributor.xlsx]BtpCurve!R17C29</stp>
        <tr r="AC17" s="4"/>
      </tp>
      <tp>
        <v>6641</v>
        <stp/>
        <stp>##V3_BDPV12</stp>
        <stp>IT0004848591 Corp</stp>
        <stp>days to mty</stp>
        <stp>[BTP Stripping-contributor.xlsx]Contribution!R119C3</stp>
        <tr r="C119" s="7"/>
      </tp>
      <tp>
        <v>7219</v>
        <stp/>
        <stp>##V3_BDPV12</stp>
        <stp>IT0004976673 Corp</stp>
        <stp>days to mty</stp>
        <stp>[BTP Stripping-contributor.xlsx]Contribution!R126C3</stp>
        <tr r="C126" s="7"/>
      </tp>
      <tp>
        <v>8467</v>
        <stp/>
        <stp>##V3_BDPV12</stp>
        <stp>IT0004848690 Corp</stp>
        <stp>days to mty</stp>
        <stp>[BTP Stripping-contributor.xlsx]Contribution!R139C3</stp>
        <tr r="C139" s="7"/>
      </tp>
      <tp>
        <v>6095</v>
        <stp/>
        <stp>##V3_BDPV12</stp>
        <stp>IT0004848534 Corp</stp>
        <stp>days to mty</stp>
        <stp>[BTP Stripping-contributor.xlsx]Contribution!R113C3</stp>
        <tr r="C113" s="7"/>
      </tp>
      <tp>
        <v>6276</v>
        <stp/>
        <stp>##V3_BDPV12</stp>
        <stp>IT0003540389 Corp</stp>
        <stp>days to mty</stp>
        <stp>[BTP Stripping-contributor.xlsx]Contribution!R115C3</stp>
        <tr r="C115" s="7"/>
      </tp>
    </main>
    <main first="marketviewexcelplugin.mkvxp">
      <tp t="s">
        <v>Not connected</v>
        <stp/>
        <stp>4</stp>
        <stp>EUR.PRICING.XLS_STRIPS.IT0003540397</stp>
        <stp>XLS_STRIPS</stp>
        <tr r="W117" s="7"/>
      </tp>
      <tp t="s">
        <v>Not connected</v>
        <stp/>
        <stp>4</stp>
        <stp>EUR.PRICING.XLS_STRIPS.IT0003540389</stp>
        <stp>XLS_STRIPS</stp>
        <tr r="W115" s="7"/>
      </tp>
    </main>
    <main first="bloomberg.rtd">
      <tp>
        <v>919</v>
        <stp/>
        <stp>##V3_BDPV12</stp>
        <stp>IT0004957574 Corp</stp>
        <stp>days to mty</stp>
        <stp>[BTP Stripping-contributor.xlsx]BtpCurve!R14C29</stp>
        <tr r="AC14" s="4"/>
      </tp>
      <tp>
        <v>9775</v>
        <stp/>
        <stp>##V3_BDPV12</stp>
        <stp>IT0004976814 Corp</stp>
        <stp>days to mty</stp>
        <stp>[BTP Stripping-contributor.xlsx]Contribution!R147C3</stp>
        <tr r="C147" s="7"/>
      </tp>
      <tp>
        <v>9594</v>
        <stp/>
        <stp>##V3_BDPV12</stp>
        <stp>IT0004976806 Corp</stp>
        <stp>days to mty</stp>
        <stp>[BTP Stripping-contributor.xlsx]Contribution!R146C3</stp>
        <tr r="C146" s="7"/>
      </tp>
      <tp>
        <v>5364</v>
        <stp/>
        <stp>##V3_BDPV12</stp>
        <stp>IT0003268999 Corp</stp>
        <stp>days to mty</stp>
        <stp>[BTP Stripping-contributor.xlsx]Contribution!R104C3</stp>
        <tr r="C104" s="7"/>
      </tp>
    </main>
    <main first="marketviewexcelplugin.mkvxp">
      <tp t="s">
        <v>Not connected</v>
        <stp/>
        <stp>4</stp>
        <stp>EUR.PRICING.XLS_STRIPS.IT0004871353</stp>
        <stp>XLS_STRIPS</stp>
        <tr r="W13" s="7"/>
      </tp>
    </main>
    <main first="bloomberg.rtd">
      <tp>
        <v>6853</v>
        <stp/>
        <stp>##V3_BDPV12</stp>
        <stp>IT0004976657 Corp</stp>
        <stp>days to mty</stp>
        <stp>[BTP Stripping-contributor.xlsx]Contribution!R122C3</stp>
        <tr r="C122" s="7"/>
      </tp>
      <tp>
        <v>72.316000000000003</v>
        <stp/>
        <stp>##V3_BDPV12</stp>
        <stp>IT0003268999@rbsm Corp</stp>
        <stp>ask</stp>
        <stp>[BTP Stripping-contributor.xlsx]Contribution!R104C28</stp>
        <tr r="AB104" s="7"/>
      </tp>
      <tp>
        <v>73.137</v>
        <stp/>
        <stp>##V3_BDPV12</stp>
        <stp>IT0003268973@rbsm Corp</stp>
        <stp>ask</stp>
        <stp>[BTP Stripping-contributor.xlsx]Contribution!R101C28</stp>
        <tr r="AB101" s="7"/>
      </tp>
      <tp>
        <v>59.399000000000001</v>
        <stp/>
        <stp>##V3_BDPV12</stp>
        <stp>IT0004848641@rbsm Corp</stp>
        <stp>ask</stp>
        <stp>[BTP Stripping-contributor.xlsx]Contribution!R129C28</stp>
        <tr r="AB129" s="7"/>
      </tp>
      <tp>
        <v>53.531999999999996</v>
        <stp/>
        <stp>##V3_BDPV12</stp>
        <stp>IT0004848690@rbsm Corp</stp>
        <stp>ask</stp>
        <stp>[BTP Stripping-contributor.xlsx]Contribution!R139C28</stp>
        <tr r="AB139" s="7"/>
      </tp>
      <tp>
        <v>53.698</v>
        <stp/>
        <stp>##V3_BDPV12</stp>
        <stp>IT0004288624@rbsm Corp</stp>
        <stp>ask</stp>
        <stp>[BTP Stripping-contributor.xlsx]Contribution!R137C28</stp>
        <tr r="AB137" s="7"/>
      </tp>
      <tp>
        <v>54.884</v>
        <stp/>
        <stp>##V3_BDPV12</stp>
        <stp>IT0004288616@rbsm Corp</stp>
        <stp>ask</stp>
        <stp>[BTP Stripping-contributor.xlsx]Contribution!R135C28</stp>
        <tr r="AB135" s="7"/>
      </tp>
      <tp>
        <v>56.082999999999998</v>
        <stp/>
        <stp>##V3_BDPV12</stp>
        <stp>IT0004288608@rbsm Corp</stp>
        <stp>ask</stp>
        <stp>[BTP Stripping-contributor.xlsx]Contribution!R133C28</stp>
        <tr r="AB133" s="7"/>
      </tp>
      <tp>
        <v>67.872</v>
        <stp/>
        <stp>##V3_BDPV12</stp>
        <stp>IT0004848534@rbsm Corp</stp>
        <stp>ask</stp>
        <stp>[BTP Stripping-contributor.xlsx]Contribution!R113C28</stp>
        <tr r="AB113" s="7"/>
      </tp>
      <tp>
        <v>57.322000000000003</v>
        <stp/>
        <stp>##V3_BDPV12</stp>
        <stp>IT0004288590@rbsm Corp</stp>
        <stp>ask</stp>
        <stp>[BTP Stripping-contributor.xlsx]Contribution!R131C28</stp>
        <tr r="AB131" s="7"/>
      </tp>
      <tp>
        <v>64.498000000000005</v>
        <stp/>
        <stp>##V3_BDPV12</stp>
        <stp>IT0004848591@rbsm Corp</stp>
        <stp>ask</stp>
        <stp>[BTP Stripping-contributor.xlsx]Contribution!R119C28</stp>
        <tr r="AB119" s="7"/>
      </tp>
      <tp>
        <v>71.947000000000003</v>
        <stp/>
        <stp>##V3_BDPV12</stp>
        <stp>IT0004848492@rbsm Corp</stp>
        <stp>ask</stp>
        <stp>[BTP Stripping-contributor.xlsx]Contribution!R106C28</stp>
        <tr r="AB106" s="7"/>
      </tp>
    </main>
    <main first="marketviewexcelplugin.mkvxp">
      <tp t="s">
        <v>Not connected</v>
        <stp/>
        <stp>4</stp>
        <stp>EUR.PRICING.XLS_STRIPS.IT0001312807</stp>
        <stp>XLS_STRIPS</stp>
        <tr r="W94" s="7"/>
      </tp>
      <tp t="s">
        <v>Not connected</v>
        <stp/>
        <stp>4</stp>
        <stp>EUR.PRICING.XLS_STRIPS.IT0004002827</stp>
        <stp>XLS_STRIPS</stp>
        <tr r="W123" s="7"/>
      </tp>
      <tp t="s">
        <v>Not connected</v>
        <stp/>
        <stp>4</stp>
        <stp>EUR.PRICING.XLS_STRIPS.IT0004002835</stp>
        <stp>XLS_STRIPS</stp>
        <tr r="W125" s="7"/>
      </tp>
      <tp t="s">
        <v>Not connected</v>
        <stp/>
        <stp>4</stp>
        <stp>EUR.PRICING.XLS_STRIPS.IT0004002819</stp>
        <stp>XLS_STRIPS</stp>
        <tr r="W121" s="7"/>
      </tp>
      <tp t="s">
        <v>Not connected</v>
        <stp/>
        <stp>4</stp>
        <stp>EUR.PRICING.XLS_STRIPS.IT0004002843</stp>
        <stp>XLS_STRIPS</stp>
        <tr r="W127" s="7"/>
      </tp>
      <tp t="s">
        <v>Not connected</v>
        <stp/>
        <stp>4</stp>
        <stp>EUR.PRICING.XLS_STRIPS.IT0001312799</stp>
        <stp>XLS_STRIPS</stp>
        <tr r="W91" s="7"/>
      </tp>
      <tp t="s">
        <v>Not connected</v>
        <stp/>
        <stp>4</stp>
        <stp>EUR.PRICING.XLS_STRIPS.IT0001312781</stp>
        <stp>XLS_STRIPS</stp>
        <tr r="W88" s="7"/>
      </tp>
    </main>
    <main first="bloomberg.rtd">
      <tp>
        <v>7556</v>
        <stp/>
        <stp>##V3_BDPV12</stp>
        <stp>IT0003934657 Corp</stp>
        <stp>days to mty</stp>
        <stp>[BTP Stripping-contributor.xlsx]BtpCurve!R52C29</stp>
        <tr r="AC52" s="4"/>
      </tp>
      <tp>
        <v>2289</v>
        <stp/>
        <stp>##V3_BDPV12</stp>
        <stp>IT0004801541 Corp</stp>
        <stp>days to mty</stp>
        <stp>[BTP Stripping-contributor.xlsx]BtpCurve!R32C29</stp>
        <tr r="AC32" s="4"/>
      </tp>
      <tp>
        <v>6672</v>
        <stp/>
        <stp>##V3_BDPV12</stp>
        <stp>IT0004976640 Corp</stp>
        <stp>days to mty</stp>
        <stp>[BTP Stripping-contributor.xlsx]Contribution!R120C3</stp>
        <tr r="C120" s="7"/>
      </tp>
      <tp>
        <v>9045</v>
        <stp/>
        <stp>##V3_BDPV12</stp>
        <stp>IT0004976772 Corp</stp>
        <stp>days to mty</stp>
        <stp>[BTP Stripping-contributor.xlsx]Contribution!R143C3</stp>
        <tr r="C143" s="7"/>
      </tp>
      <tp>
        <v>8133</v>
        <stp/>
        <stp>##V3_BDPV12</stp>
        <stp>IT0004976723 Corp</stp>
        <stp>days to mty</stp>
        <stp>[BTP Stripping-contributor.xlsx]Contribution!R136C3</stp>
        <tr r="C136" s="7"/>
      </tp>
      <tp>
        <v>8864</v>
        <stp/>
        <stp>##V3_BDPV12</stp>
        <stp>IT0004976764 Corp</stp>
        <stp>days to mty</stp>
        <stp>[BTP Stripping-contributor.xlsx]Contribution!R142C3</stp>
        <tr r="C142" s="7"/>
      </tp>
      <tp>
        <v>6307</v>
        <stp/>
        <stp>##V3_BDPV12</stp>
        <stp>IT0004976624 Corp</stp>
        <stp>days to mty</stp>
        <stp>[BTP Stripping-contributor.xlsx]Contribution!R116C3</stp>
        <tr r="C116" s="7"/>
      </tp>
      <tp>
        <v>5088</v>
        <stp/>
        <stp>##V3_BDPV12</stp>
        <stp>IT0001464194 Corp</stp>
        <stp>days to mty</stp>
        <stp>[BTP Stripping-contributor.xlsx]Contribution!R100C3</stp>
        <tr r="C100" s="7"/>
      </tp>
      <tp>
        <v>8680</v>
        <stp/>
        <stp>##V3_BDPV12</stp>
        <stp>IT0004976756 Corp</stp>
        <stp>days to mty</stp>
        <stp>[BTP Stripping-contributor.xlsx]Contribution!R141C3</stp>
        <tr r="C141" s="7"/>
      </tp>
      <tp>
        <v>5211</v>
        <stp/>
        <stp>##V3_BDPV12</stp>
        <stp>IT0004976566 Corp</stp>
        <stp>days to mty</stp>
        <stp>[BTP Stripping-contributor.xlsx]Contribution!R102C3</stp>
        <tr r="C102" s="7"/>
      </tp>
      <tp>
        <v>10325</v>
        <stp/>
        <stp>##V3_BDPV12</stp>
        <stp>IT0004976848 Corp</stp>
        <stp>days to mty</stp>
        <stp>[BTP Stripping-contributor.xlsx]Contribution!R150C3</stp>
        <tr r="C150" s="7"/>
      </tp>
      <tp>
        <v>8498</v>
        <stp/>
        <stp>##V3_BDPV12</stp>
        <stp>IT0004976749 Corp</stp>
        <stp>days to mty</stp>
        <stp>[BTP Stripping-contributor.xlsx]Contribution!R140C3</stp>
        <tr r="C140" s="7"/>
      </tp>
      <tp>
        <v>71.045000000000002</v>
        <stp/>
        <stp>##V3_BDPV12</stp>
        <stp>IT0003269013@rbsm Corp</stp>
        <stp>ask</stp>
        <stp>[BTP Stripping-contributor.xlsx]Contribution!R107C28</stp>
        <tr r="AB107" s="7"/>
      </tp>
      <tp>
        <v>69.260999999999996</v>
        <stp/>
        <stp>##V3_BDPV12</stp>
        <stp>IT0003269021@rbsm Corp</stp>
        <stp>ask</stp>
        <stp>[BTP Stripping-contributor.xlsx]Contribution!R109C28</stp>
        <tr r="AB109" s="7"/>
      </tp>
      <tp>
        <v>68.045000000000002</v>
        <stp/>
        <stp>##V3_BDPV12</stp>
        <stp>IT0003269039@rbsm Corp</stp>
        <stp>ask</stp>
        <stp>[BTP Stripping-contributor.xlsx]Contribution!R111C28</stp>
        <tr r="AB111" s="7"/>
      </tp>
      <tp>
        <v>524</v>
        <stp/>
        <stp>##V3_BDPV12</stp>
        <stp>IT0004867070 Corp</stp>
        <stp>days to mty</stp>
        <stp>[BTP Stripping-contributor.xlsx]BtpCurve!R9C29</stp>
        <tr r="AC9" s="4"/>
      </tp>
      <tp>
        <v>432</v>
        <stp/>
        <stp>##V3_BDPV12</stp>
        <stp>IT0003242747 Corp</stp>
        <stp>days to mty</stp>
        <stp>[BTP Stripping-contributor.xlsx]BtpCurve!R8C29</stp>
        <tr r="AC8" s="4"/>
      </tp>
      <tp>
        <v>736</v>
        <stp/>
        <stp>##V3_BDPV12</stp>
        <stp>IT0004907843 Corp</stp>
        <stp>days to mty</stp>
        <stp>[BTP Stripping-contributor.xlsx]BtpCurve!R12C29</stp>
        <tr r="AC12" s="4"/>
      </tp>
      <tp>
        <v>7949</v>
        <stp/>
        <stp>##V3_BDPV12</stp>
        <stp>IT0004976715 Corp</stp>
        <stp>days to mty</stp>
        <stp>[BTP Stripping-contributor.xlsx]Contribution!R134C3</stp>
        <tr r="C134" s="7"/>
      </tp>
      <tp>
        <v>6123</v>
        <stp/>
        <stp>##V3_BDPV12</stp>
        <stp>IT0004976616 Corp</stp>
        <stp>days to mty</stp>
        <stp>[BTP Stripping-contributor.xlsx]Contribution!R114C3</stp>
        <tr r="C114" s="7"/>
      </tp>
      <tp>
        <v>45.55</v>
        <stp/>
        <stp>##V3_BDPV12</stp>
        <stp>IT0004976848@rbsm Corp</stp>
        <stp>ask</stp>
        <stp>[BTP Stripping-contributor.xlsx]Contribution!R150C28</stp>
        <tr r="AB150" s="7"/>
      </tp>
      <tp>
        <v>43.036999999999999</v>
        <stp/>
        <stp>##V3_BDPV12</stp>
        <stp>IT0004976830@rbsm Corp</stp>
        <stp>ask</stp>
        <stp>[BTP Stripping-contributor.xlsx]Contribution!R149C28</stp>
        <tr r="AB149" s="7"/>
      </tp>
      <tp>
        <v>43.962000000000003</v>
        <stp/>
        <stp>##V3_BDPV12</stp>
        <stp>IT0004976822@rbsm Corp</stp>
        <stp>ask</stp>
        <stp>[BTP Stripping-contributor.xlsx]Contribution!R148C28</stp>
        <tr r="AB148" s="7"/>
      </tp>
      <tp>
        <v>44.893999999999998</v>
        <stp/>
        <stp>##V3_BDPV12</stp>
        <stp>IT0004976814@rbsm Corp</stp>
        <stp>ask</stp>
        <stp>[BTP Stripping-contributor.xlsx]Contribution!R147C28</stp>
        <tr r="AB147" s="7"/>
      </tp>
      <tp>
        <v>45.83</v>
        <stp/>
        <stp>##V3_BDPV12</stp>
        <stp>IT0004976806@rbsm Corp</stp>
        <stp>ask</stp>
        <stp>[BTP Stripping-contributor.xlsx]Contribution!R146C28</stp>
        <tr r="AB146" s="7"/>
      </tp>
      <tp>
        <v>48.709000000000003</v>
        <stp/>
        <stp>##V3_BDPV12</stp>
        <stp>IT0004976772@rbsm Corp</stp>
        <stp>ask</stp>
        <stp>[BTP Stripping-contributor.xlsx]Contribution!R143C28</stp>
        <tr r="AB143" s="7"/>
      </tp>
      <tp>
        <v>55.918999999999997</v>
        <stp/>
        <stp>##V3_BDPV12</stp>
        <stp>IT0004976707@rbsm Corp</stp>
        <stp>ask</stp>
        <stp>[BTP Stripping-contributor.xlsx]Contribution!R132C28</stp>
        <tr r="AB132" s="7"/>
      </tp>
      <tp>
        <v>54.914999999999999</v>
        <stp/>
        <stp>##V3_BDPV12</stp>
        <stp>IT0004976715@rbsm Corp</stp>
        <stp>ask</stp>
        <stp>[BTP Stripping-contributor.xlsx]Contribution!R134C28</stp>
        <tr r="AB134" s="7"/>
      </tp>
      <tp>
        <v>49.67</v>
        <stp/>
        <stp>##V3_BDPV12</stp>
        <stp>IT0004976764@rbsm Corp</stp>
        <stp>ask</stp>
        <stp>[BTP Stripping-contributor.xlsx]Contribution!R142C28</stp>
        <tr r="AB142" s="7"/>
      </tp>
      <tp>
        <v>53.895000000000003</v>
        <stp/>
        <stp>##V3_BDPV12</stp>
        <stp>IT0004976723@rbsm Corp</stp>
        <stp>ask</stp>
        <stp>[BTP Stripping-contributor.xlsx]Contribution!R136C28</stp>
        <tr r="AB136" s="7"/>
      </tp>
      <tp>
        <v>50.667999999999999</v>
        <stp/>
        <stp>##V3_BDPV12</stp>
        <stp>IT0004976756@rbsm Corp</stp>
        <stp>ask</stp>
        <stp>[BTP Stripping-contributor.xlsx]Contribution!R141C28</stp>
        <tr r="AB141" s="7"/>
      </tp>
      <tp>
        <v>52.893999999999998</v>
        <stp/>
        <stp>##V3_BDPV12</stp>
        <stp>IT0004976731@rbsm Corp</stp>
        <stp>ask</stp>
        <stp>[BTP Stripping-contributor.xlsx]Contribution!R138C28</stp>
        <tr r="AB138" s="7"/>
      </tp>
      <tp>
        <v>51.654000000000003</v>
        <stp/>
        <stp>##V3_BDPV12</stp>
        <stp>IT0004976749@rbsm Corp</stp>
        <stp>ask</stp>
        <stp>[BTP Stripping-contributor.xlsx]Contribution!R140C28</stp>
        <tr r="AB140" s="7"/>
      </tp>
      <tp>
        <v>46.777000000000001</v>
        <stp/>
        <stp>##V3_BDPV12</stp>
        <stp>IT0004976798@rbsm Corp</stp>
        <stp>ask</stp>
        <stp>[BTP Stripping-contributor.xlsx]Contribution!R145C28</stp>
        <tr r="AB145" s="7"/>
      </tp>
      <tp>
        <v>47.731999999999999</v>
        <stp/>
        <stp>##V3_BDPV12</stp>
        <stp>IT0004976780@rbsm Corp</stp>
        <stp>ask</stp>
        <stp>[BTP Stripping-contributor.xlsx]Contribution!R144C28</stp>
        <tr r="AB144" s="7"/>
      </tp>
      <tp>
        <v>67.745000000000005</v>
        <stp/>
        <stp>##V3_BDPV12</stp>
        <stp>IT0004976624@rbsm Corp</stp>
        <stp>ask</stp>
        <stp>[BTP Stripping-contributor.xlsx]Contribution!R116C28</stp>
        <tr r="AB116" s="7"/>
      </tp>
      <tp>
        <v>66.463999999999999</v>
        <stp/>
        <stp>##V3_BDPV12</stp>
        <stp>IT0004976632@rbsm Corp</stp>
        <stp>ask</stp>
        <stp>[BTP Stripping-contributor.xlsx]Contribution!R118C28</stp>
        <tr r="AB118" s="7"/>
      </tp>
      <tp>
        <v>70.301000000000002</v>
        <stp/>
        <stp>##V3_BDPV12</stp>
        <stp>IT0004976608@rbsm Corp</stp>
        <stp>ask</stp>
        <stp>[BTP Stripping-contributor.xlsx]Contribution!R112C28</stp>
        <tr r="AB112" s="7"/>
      </tp>
      <tp>
        <v>69.031999999999996</v>
        <stp/>
        <stp>##V3_BDPV12</stp>
        <stp>IT0004976616@rbsm Corp</stp>
        <stp>ask</stp>
        <stp>[BTP Stripping-contributor.xlsx]Contribution!R114C28</stp>
        <tr r="AB114" s="7"/>
      </tp>
      <tp>
        <v>63.878999999999998</v>
        <stp/>
        <stp>##V3_BDPV12</stp>
        <stp>IT0004976657@rbsm Corp</stp>
        <stp>ask</stp>
        <stp>[BTP Stripping-contributor.xlsx]Contribution!R122C28</stp>
        <tr r="AB122" s="7"/>
      </tp>
      <tp>
        <v>65.155000000000001</v>
        <stp/>
        <stp>##V3_BDPV12</stp>
        <stp>IT0004976640@rbsm Corp</stp>
        <stp>ask</stp>
        <stp>[BTP Stripping-contributor.xlsx]Contribution!R120C28</stp>
        <tr r="AB120" s="7"/>
      </tp>
      <tp>
        <v>61.265000000000001</v>
        <stp/>
        <stp>##V3_BDPV12</stp>
        <stp>IT0004976673@rbsm Corp</stp>
        <stp>ask</stp>
        <stp>[BTP Stripping-contributor.xlsx]Contribution!R126C28</stp>
        <tr r="AB126" s="7"/>
      </tp>
      <tp>
        <v>62.567999999999998</v>
        <stp/>
        <stp>##V3_BDPV12</stp>
        <stp>IT0004976665@rbsm Corp</stp>
        <stp>ask</stp>
        <stp>[BTP Stripping-contributor.xlsx]Contribution!R124C28</stp>
        <tr r="AB124" s="7"/>
      </tp>
      <tp>
        <v>61.643000000000001</v>
        <stp/>
        <stp>##V3_BDPV12</stp>
        <stp>IT0004976681@rbsm Corp</stp>
        <stp>ask</stp>
        <stp>[BTP Stripping-contributor.xlsx]Contribution!R128C28</stp>
        <tr r="AB128" s="7"/>
      </tp>
      <tp>
        <v>56.959000000000003</v>
        <stp/>
        <stp>##V3_BDPV12</stp>
        <stp>IT0004976699@rbsm Corp</stp>
        <stp>ask</stp>
        <stp>[BTP Stripping-contributor.xlsx]Contribution!R130C28</stp>
        <tr r="AB130" s="7"/>
      </tp>
      <tp>
        <v>73.268000000000001</v>
        <stp/>
        <stp>##V3_BDPV12</stp>
        <stp>IT0004976574@rbsm Corp</stp>
        <stp>ask</stp>
        <stp>[BTP Stripping-contributor.xlsx]Contribution!R105C28</stp>
        <tr r="AB105" s="7"/>
      </tp>
      <tp>
        <v>74.058000000000007</v>
        <stp/>
        <stp>##V3_BDPV12</stp>
        <stp>IT0004976566@rbsm Corp</stp>
        <stp>ask</stp>
        <stp>[BTP Stripping-contributor.xlsx]Contribution!R102C28</stp>
        <tr r="AB102" s="7"/>
      </tp>
      <tp>
        <v>72.912000000000006</v>
        <stp/>
        <stp>##V3_BDPV12</stp>
        <stp>IT0004976590@rbsm Corp</stp>
        <stp>ask</stp>
        <stp>[BTP Stripping-contributor.xlsx]Contribution!R110C28</stp>
        <tr r="AB110" s="7"/>
      </tp>
      <tp>
        <v>72.465999999999994</v>
        <stp/>
        <stp>##V3_BDPV12</stp>
        <stp>IT0004976582@rbsm Corp</stp>
        <stp>ask</stp>
        <stp>[BTP Stripping-contributor.xlsx]Contribution!R108C28</stp>
        <tr r="AB108" s="7"/>
      </tp>
      <tp>
        <v>10141</v>
        <stp/>
        <stp>##V3_BDPV12</stp>
        <stp>IT0004976830 Corp</stp>
        <stp>days to mty</stp>
        <stp>[BTP Stripping-contributor.xlsx]Contribution!R149C3</stp>
        <tr r="C149" s="7"/>
      </tp>
      <tp>
        <v>9959</v>
        <stp/>
        <stp>##V3_BDPV12</stp>
        <stp>IT0004976822 Corp</stp>
        <stp>days to mty</stp>
        <stp>[BTP Stripping-contributor.xlsx]Contribution!R148C3</stp>
        <tr r="C148" s="7"/>
      </tp>
      <tp>
        <v>7372</v>
        <stp/>
        <stp>##V3_BDPV12</stp>
        <stp>IT0004002843 Corp</stp>
        <stp>days to mty</stp>
        <stp>[BTP Stripping-contributor.xlsx]Contribution!R127C3</stp>
        <tr r="C127" s="7"/>
      </tp>
      <tp>
        <v>5453</v>
        <stp/>
        <stp>##V3_BDPV12</stp>
        <stp>IT0001444378 Corp</stp>
        <stp>days to mty</stp>
        <stp>[BTP Stripping-contributor.xlsx]BtpCurve!R48C29</stp>
        <tr r="AC48" s="4"/>
      </tp>
      <tp>
        <v>4907</v>
        <stp/>
        <stp>##V3_BDPV12</stp>
        <stp>IT0001278511 Corp</stp>
        <stp>days to mty</stp>
        <stp>[BTP Stripping-contributor.xlsx]BtpCurve!R46C29</stp>
        <tr r="AC46" s="4"/>
      </tp>
      <tp>
        <v>5027</v>
        <stp/>
        <stp>##V3_BDPV12</stp>
        <stp>IT0005024234 Corp</stp>
        <stp>days to mty</stp>
        <stp>[BTP Stripping-contributor.xlsx]BtpCurve!R47C29</stp>
        <tr r="AC47" s="4"/>
      </tp>
      <tp>
        <v>8314</v>
        <stp/>
        <stp>##V3_BDPV12</stp>
        <stp>IT0004976731 Corp</stp>
        <stp>days to mty</stp>
        <stp>[BTP Stripping-contributor.xlsx]Contribution!R138C3</stp>
        <tr r="C138" s="7"/>
      </tp>
      <tp>
        <v>6488</v>
        <stp/>
        <stp>##V3_BDPV12</stp>
        <stp>IT0004976632 Corp</stp>
        <stp>days to mty</stp>
        <stp>[BTP Stripping-contributor.xlsx]Contribution!R118C3</stp>
        <tr r="C118" s="7"/>
      </tp>
      <tp>
        <v>72.677000000000007</v>
        <stp/>
        <stp>##V3_BDPV12</stp>
        <stp>IT0001464202@rbsm Corp</stp>
        <stp>ask</stp>
        <stp>[BTP Stripping-contributor.xlsx]Contribution!R103C28</stp>
        <tr r="AB103" s="7"/>
      </tp>
      <tp>
        <v>74.225999999999999</v>
        <stp/>
        <stp>##V3_BDPV12</stp>
        <stp>IT0001464194@rbsm Corp</stp>
        <stp>ask</stp>
        <stp>[BTP Stripping-contributor.xlsx]Contribution!R100C28</stp>
        <tr r="AB100" s="7"/>
      </tp>
      <tp>
        <v>1346</v>
        <stp/>
        <stp>##V3_BDPV12</stp>
        <stp>IT0003644769 Corp</stp>
        <stp>days to mty</stp>
        <stp>[BTP Stripping-contributor.xlsx]BtpCurve!R21C29</stp>
        <tr r="AC21" s="4"/>
      </tp>
      <tp>
        <v>8864</v>
        <stp/>
        <stp>##V3_BDPV12</stp>
        <stp>IT0004532559 Corp</stp>
        <stp>days to mty</stp>
        <stp>[BTP Stripping-contributor.xlsx]BtpCurve!R54C29</stp>
        <tr r="AC54" s="4"/>
      </tp>
      <tp>
        <v>10325</v>
        <stp/>
        <stp>##V3_BDPV12</stp>
        <stp>IT0004923998 Corp</stp>
        <stp>days to mty</stp>
        <stp>[BTP Stripping-contributor.xlsx]BtpCurve!R55C29</stp>
        <tr r="AC55" s="4"/>
      </tp>
      <tp>
        <v>1162</v>
        <stp/>
        <stp>##V3_BDPV12</stp>
        <stp>IT0005030504 Corp</stp>
        <stp>days to mty</stp>
        <stp>[BTP Stripping-contributor.xlsx]BtpCurve!R18C29</stp>
        <tr r="AC18" s="4"/>
      </tp>
      <tp>
        <v>2105</v>
        <stp/>
        <stp>##V3_BDPV12</stp>
        <stp>IT0004759673 Corp</stp>
        <stp>days to mty</stp>
        <stp>[BTP Stripping-contributor.xlsx]BtpCurve!R30C29</stp>
        <tr r="AC30" s="4"/>
      </tp>
      <tp>
        <v>4176</v>
        <stp/>
        <stp>##V3_BDPV12</stp>
        <stp>IT0001174611 Corp</stp>
        <stp>days to mty</stp>
        <stp>[BTP Stripping-contributor.xlsx]BtpCurve!R44C29</stp>
        <tr r="AC44" s="4"/>
      </tp>
      <tp>
        <v>6095</v>
        <stp/>
        <stp>##V3_BDPV12</stp>
        <stp>IT0003256820 Corp</stp>
        <stp>days to mty</stp>
        <stp>[BTP Stripping-contributor.xlsx]BtpCurve!R50C29</stp>
        <tr r="AC50" s="4"/>
      </tp>
      <tp>
        <v>6641</v>
        <stp/>
        <stp>##V3_BDPV12</stp>
        <stp>IT0003535157 Corp</stp>
        <stp>days to mty</stp>
        <stp>[BTP Stripping-contributor.xlsx]BtpCurve!R51C29</stp>
        <tr r="AC51" s="4"/>
      </tp>
      <tp>
        <v>2029</v>
        <stp/>
        <stp>##V3_BDPV12</stp>
        <stp>IT0005028003 Corp</stp>
        <stp>days to mty</stp>
        <stp>[BTP Stripping-contributor.xlsx]BtpCurve!R29C29</stp>
        <tr r="AC29" s="4"/>
      </tp>
      <tp>
        <v>7006</v>
        <stp/>
        <stp>##V3_BDPV12</stp>
        <stp>IT0004002827 Corp</stp>
        <stp>days to mty</stp>
        <stp>[BTP Stripping-contributor.xlsx]Contribution!R123C3</stp>
        <tr r="C123" s="7"/>
      </tp>
      <tp>
        <v>7921</v>
        <stp/>
        <stp>##V3_BDPV12</stp>
        <stp>IT0004288608 Corp</stp>
        <stp>days to mty</stp>
        <stp>[BTP Stripping-contributor.xlsx]Contribution!R133C3</stp>
        <tr r="C133" s="7"/>
      </tp>
      <tp>
        <v>1924</v>
        <stp/>
        <stp>##V3_BDPV12</stp>
        <stp>IT0004695075 Corp</stp>
        <stp>days to mty</stp>
        <stp>[BTP Stripping-contributor.xlsx]BtpCurve!R28C29</stp>
        <tr r="AC28" s="4"/>
      </tp>
      <tp>
        <v>1375</v>
        <stp/>
        <stp>##V3_BDPV12</stp>
        <stp>IT0004536949 Corp</stp>
        <stp>days to mty</stp>
        <stp>[BTP Stripping-contributor.xlsx]BtpCurve!R22C29</stp>
        <tr r="AC22" s="4"/>
      </tp>
      <tp>
        <v>1436</v>
        <stp/>
        <stp>##V3_BDPV12</stp>
        <stp>IT0005107708 Corp</stp>
        <stp>days to mty</stp>
        <stp>[BTP Stripping-contributor.xlsx]BtpCurve!R23C29</stp>
        <tr r="AC23" s="4"/>
      </tp>
      <tp>
        <v>1009</v>
        <stp/>
        <stp>##V3_BDPV12</stp>
        <stp>IT0004423957 Corp</stp>
        <stp>days to mty</stp>
        <stp>[BTP Stripping-contributor.xlsx]BtpCurve!R16C29</stp>
        <tr r="AC16" s="4"/>
      </tp>
      <tp>
        <v>3293</v>
        <stp/>
        <stp>##V3_BDPV12</stp>
        <stp>IT0005090318 Corp</stp>
        <stp>days to mty</stp>
        <stp>[BTP Stripping-contributor.xlsx]BtpCurve!R41C29</stp>
        <tr r="AC41" s="4"/>
      </tp>
      <tp>
        <v>981</v>
        <stp/>
        <stp>##V3_BDPV12</stp>
        <stp>IT0003493258 Corp</stp>
        <stp>days to mty</stp>
        <stp>[BTP Stripping-contributor.xlsx]BtpCurve!R15C29</stp>
        <tr r="AC15" s="4"/>
      </tp>
      <tp>
        <v>3201</v>
        <stp/>
        <stp>##V3_BDPV12</stp>
        <stp>IT0004513641 Corp</stp>
        <stp>days to mty</stp>
        <stp>[BTP Stripping-contributor.xlsx]BtpCurve!R40C29</stp>
        <tr r="AC40" s="4"/>
      </tp>
      <tp>
        <v>5758</v>
        <stp/>
        <stp>##V3_BDPV12</stp>
        <stp>IT0004976590 Corp</stp>
        <stp>days to mty</stp>
        <stp>[BTP Stripping-contributor.xlsx]Contribution!R110C3</stp>
        <tr r="C110" s="7"/>
      </tp>
      <tp>
        <v>5911</v>
        <stp/>
        <stp>##V3_BDPV12</stp>
        <stp>IT0003269039 Corp</stp>
        <stp>days to mty</stp>
        <stp>[BTP Stripping-contributor.xlsx]Contribution!R111C3</stp>
        <tr r="C111" s="7"/>
      </tp>
      <tp>
        <v>7584</v>
        <stp/>
        <stp>##V3_BDPV12</stp>
        <stp>IT0004976699 Corp</stp>
        <stp>days to mty</stp>
        <stp>[BTP Stripping-contributor.xlsx]Contribution!R130C3</stp>
        <tr r="C130" s="7"/>
      </tp>
      <tp>
        <v>6825</v>
        <stp/>
        <stp>##V3_BDPV12</stp>
        <stp>IT0004002819 Corp</stp>
        <stp>days to mty</stp>
        <stp>[BTP Stripping-contributor.xlsx]Contribution!R121C3</stp>
        <tr r="C121" s="7"/>
      </tp>
      <tp>
        <v>63.088999999999999</v>
        <stp/>
        <stp>##V3_BDPV12</stp>
        <stp>IT0004002819@rbsm Corp</stp>
        <stp>ask</stp>
        <stp>[BTP Stripping-contributor.xlsx]Contribution!R121C28</stp>
        <tr r="AB121" s="7"/>
      </tp>
      <tp>
        <v>62.06</v>
        <stp/>
        <stp>##V3_BDPV12</stp>
        <stp>IT0004002827@rbsm Corp</stp>
        <stp>ask</stp>
        <stp>[BTP Stripping-contributor.xlsx]Contribution!R123C28</stp>
        <tr r="AB123" s="7"/>
      </tp>
      <tp>
        <v>60.917000000000002</v>
        <stp/>
        <stp>##V3_BDPV12</stp>
        <stp>IT0004002835@rbsm Corp</stp>
        <stp>ask</stp>
        <stp>[BTP Stripping-contributor.xlsx]Contribution!R125C28</stp>
        <tr r="AB125" s="7"/>
      </tp>
      <tp>
        <v>59.918999999999997</v>
        <stp/>
        <stp>##V3_BDPV12</stp>
        <stp>IT0004002843@rbsm Corp</stp>
        <stp>ask</stp>
        <stp>[BTP Stripping-contributor.xlsx]Contribution!R127C28</stp>
        <tr r="AB127" s="7"/>
      </tp>
    </main>
    <main first="marketviewexcelplugin.mkvxp">
      <tp t="s">
        <v>Not connected</v>
        <stp/>
        <stp>4</stp>
        <stp>EUR.PRICING.XLS_STRIPS.IT0003268809</stp>
        <stp>XLS_STRIPS</stp>
        <tr r="W62" s="7"/>
      </tp>
      <tp t="s">
        <v>Not connected</v>
        <stp/>
        <stp>4</stp>
        <stp>EUR.PRICING.XLS_STRIPS.IT0003268817</stp>
        <stp>XLS_STRIPS</stp>
        <tr r="W65" s="7"/>
      </tp>
      <tp t="s">
        <v>Not connected</v>
        <stp/>
        <stp>4</stp>
        <stp>EUR.PRICING.XLS_STRIPS.IT0003268825</stp>
        <stp>XLS_STRIPS</stp>
        <tr r="W68" s="7"/>
      </tp>
      <tp t="s">
        <v>Not connected</v>
        <stp/>
        <stp>4</stp>
        <stp>EUR.PRICING.XLS_STRIPS.IT0003268833</stp>
        <stp>XLS_STRIPS</stp>
        <tr r="W71" s="7"/>
      </tp>
      <tp t="s">
        <v>Not connected</v>
        <stp/>
        <stp>4</stp>
        <stp>EUR.PRICING.XLS_STRIPS.IT0003268841</stp>
        <stp>XLS_STRIPS</stp>
        <tr r="W74" s="7"/>
      </tp>
      <tp t="s">
        <v>Not connected</v>
        <stp/>
        <stp>4</stp>
        <stp>EUR.PRICING.XLS_STRIPS.IT0003268858</stp>
        <stp>XLS_STRIPS</stp>
        <tr r="W77" s="7"/>
      </tp>
      <tp t="s">
        <v>Not connected</v>
        <stp/>
        <stp>4</stp>
        <stp>EUR.PRICING.XLS_STRIPS.IT0003268874</stp>
        <stp>XLS_STRIPS</stp>
        <tr r="W80" s="7"/>
      </tp>
      <tp t="s">
        <v>Not connected</v>
        <stp/>
        <stp>4</stp>
        <stp>EUR.PRICING.XLS_STRIPS.IT0003268882</stp>
        <stp>XLS_STRIPS</stp>
        <tr r="W83" s="7"/>
      </tp>
      <tp t="s">
        <v>Not connected</v>
        <stp/>
        <stp>4</stp>
        <stp>EUR.PRICING.XLS_STRIPS.IT0003268890</stp>
        <stp>XLS_STRIPS</stp>
        <tr r="W86" s="7"/>
      </tp>
      <tp t="s">
        <v>Not connected</v>
        <stp/>
        <stp>4</stp>
        <stp>EUR.PRICING.XLS_STRIPS.IT0003268908</stp>
        <stp>XLS_STRIPS</stp>
        <tr r="W89" s="7"/>
      </tp>
      <tp t="s">
        <v>Not connected</v>
        <stp/>
        <stp>4</stp>
        <stp>EUR.PRICING.XLS_STRIPS.IT0003268924</stp>
        <stp>XLS_STRIPS</stp>
        <tr r="W92" s="7"/>
      </tp>
      <tp t="s">
        <v>Not connected</v>
        <stp/>
        <stp>4</stp>
        <stp>EUR.PRICING.XLS_STRIPS.IT0003268932</stp>
        <stp>XLS_STRIPS</stp>
        <tr r="W95" s="7"/>
      </tp>
      <tp t="s">
        <v>Not connected</v>
        <stp/>
        <stp>4</stp>
        <stp>EUR.PRICING.XLS_STRIPS.IT0003268957</stp>
        <stp>XLS_STRIPS</stp>
        <tr r="W98" s="7"/>
      </tp>
      <tp t="s">
        <v>Not connected</v>
        <stp/>
        <stp>4</stp>
        <stp>EUR.PRICING.XLS_STRIPS.IT0003268973</stp>
        <stp>XLS_STRIPS</stp>
        <tr r="W101" s="7"/>
      </tp>
      <tp t="s">
        <v>Not connected</v>
        <stp/>
        <stp>4</stp>
        <stp>EUR.PRICING.XLS_STRIPS.IT0003268999</stp>
        <stp>XLS_STRIPS</stp>
        <tr r="W104" s="7"/>
      </tp>
      <tp t="s">
        <v>Not connected</v>
        <stp/>
        <stp>4</stp>
        <stp>EUR.PRICING.XLS_STRIPS.IT0004848807</stp>
        <stp>XLS_STRIPS</stp>
        <tr r="W22" s="7"/>
      </tp>
      <tp t="s">
        <v>Not connected</v>
        <stp/>
        <stp>4</stp>
        <stp>EUR.PRICING.XLS_STRIPS.IT0004848708</stp>
        <stp>XLS_STRIPS</stp>
        <tr r="W59" s="7"/>
      </tp>
      <tp t="s">
        <v>Not connected</v>
        <stp/>
        <stp>4</stp>
        <stp>EUR.PRICING.XLS_STRIPS.IT0004848716</stp>
        <stp>XLS_STRIPS</stp>
        <tr r="W29" s="7"/>
      </tp>
      <tp t="s">
        <v>Not connected</v>
        <stp/>
        <stp>4</stp>
        <stp>EUR.PRICING.XLS_STRIPS.IT0004288608</stp>
        <stp>XLS_STRIPS</stp>
        <tr r="W133" s="7"/>
      </tp>
      <tp t="s">
        <v>Not connected</v>
        <stp/>
        <stp>4</stp>
        <stp>EUR.PRICING.XLS_STRIPS.IT0004288616</stp>
        <stp>XLS_STRIPS</stp>
        <tr r="W135" s="7"/>
      </tp>
      <tp t="s">
        <v>Not connected</v>
        <stp/>
        <stp>4</stp>
        <stp>EUR.PRICING.XLS_STRIPS.IT0004848682</stp>
        <stp>XLS_STRIPS</stp>
        <tr r="W26" s="7"/>
      </tp>
      <tp t="s">
        <v>Not connected</v>
        <stp/>
        <stp>4</stp>
        <stp>EUR.PRICING.XLS_STRIPS.IT0004288624</stp>
        <stp>XLS_STRIPS</stp>
        <tr r="W137" s="7"/>
      </tp>
      <tp t="s">
        <v>Not connected</v>
        <stp/>
        <stp>4</stp>
        <stp>EUR.PRICING.XLS_STRIPS.IT0004848690</stp>
        <stp>XLS_STRIPS</stp>
        <tr r="W139" s="7"/>
      </tp>
      <tp t="s">
        <v>Not connected</v>
        <stp/>
        <stp>4</stp>
        <stp>EUR.PRICING.XLS_STRIPS.IT0004848625</stp>
        <stp>XLS_STRIPS</stp>
        <tr r="W8" s="7"/>
      </tp>
      <tp t="s">
        <v>Not connected</v>
        <stp/>
        <stp>4</stp>
        <stp>EUR.PRICING.XLS_STRIPS.IT0004848633</stp>
        <stp>XLS_STRIPS</stp>
        <tr r="W11" s="7"/>
      </tp>
      <tp t="s">
        <v>Not connected</v>
        <stp/>
        <stp>4</stp>
        <stp>EUR.PRICING.XLS_STRIPS.IT0004848609</stp>
        <stp>XLS_STRIPS</stp>
        <tr r="W5" s="7"/>
      </tp>
      <tp t="s">
        <v>Not connected</v>
        <stp/>
        <stp>4</stp>
        <stp>EUR.PRICING.XLS_STRIPS.IT0004848617</stp>
        <stp>XLS_STRIPS</stp>
        <tr r="W38" s="7"/>
      </tp>
      <tp t="s">
        <v>Not connected</v>
        <stp/>
        <stp>4</stp>
        <stp>EUR.PRICING.XLS_STRIPS.IT0004848666</stp>
        <stp>XLS_STRIPS</stp>
        <tr r="W17" s="7"/>
      </tp>
      <tp t="s">
        <v>Not connected</v>
        <stp/>
        <stp>4</stp>
        <stp>EUR.PRICING.XLS_STRIPS.IT0004848674</stp>
        <stp>XLS_STRIPS</stp>
        <tr r="W20" s="7"/>
      </tp>
      <tp t="s">
        <v>Not connected</v>
        <stp/>
        <stp>4</stp>
        <stp>EUR.PRICING.XLS_STRIPS.IT0004848641</stp>
        <stp>XLS_STRIPS</stp>
        <tr r="W129" s="7"/>
      </tp>
      <tp t="s">
        <v>Not connected</v>
        <stp/>
        <stp>4</stp>
        <stp>EUR.PRICING.XLS_STRIPS.IT0004848658</stp>
        <stp>XLS_STRIPS</stp>
        <tr r="W47" s="7"/>
      </tp>
      <tp t="s">
        <v>Not connected</v>
        <stp/>
        <stp>4</stp>
        <stp>EUR.PRICING.XLS_STRIPS.IT0004848583</stp>
        <stp>XLS_STRIPS</stp>
        <tr r="W32" s="7"/>
      </tp>
      <tp t="s">
        <v>Not connected</v>
        <stp/>
        <stp>4</stp>
        <stp>EUR.PRICING.XLS_STRIPS.IT0004848591</stp>
        <stp>XLS_STRIPS</stp>
        <tr r="W119" s="7"/>
      </tp>
      <tp t="s">
        <v>Not connected</v>
        <stp/>
        <stp>4</stp>
        <stp>EUR.PRICING.XLS_STRIPS.IT0004848534</stp>
        <stp>XLS_STRIPS</stp>
        <tr r="W113" s="7"/>
      </tp>
      <tp t="s">
        <v>Not connected</v>
        <stp/>
        <stp>4</stp>
        <stp>EUR.PRICING.XLS_STRIPS.IT0004288590</stp>
        <stp>XLS_STRIPS</stp>
        <tr r="W131" s="7"/>
      </tp>
      <tp t="s">
        <v>Not connected</v>
        <stp/>
        <stp>4</stp>
        <stp>EUR.PRICING.XLS_STRIPS.IT0004848500</stp>
        <stp>XLS_STRIPS</stp>
        <tr r="W23" s="7"/>
      </tp>
      <tp t="s">
        <v>Not connected</v>
        <stp/>
        <stp>4</stp>
        <stp>EUR.PRICING.XLS_STRIPS.IT0004848484</stp>
        <stp>XLS_STRIPS</stp>
        <tr r="W97" s="7"/>
      </tp>
      <tp t="s">
        <v>Not connected</v>
        <stp/>
        <stp>4</stp>
        <stp>EUR.PRICING.XLS_STRIPS.IT0004848492</stp>
        <stp>XLS_STRIPS</stp>
        <tr r="W106" s="7"/>
      </tp>
      <tp t="s">
        <v>Not connected</v>
        <stp/>
        <stp>4</stp>
        <stp>EUR.PRICING.XLS_STRIPS.IT0004848435</stp>
        <stp>XLS_STRIPS</stp>
        <tr r="W61" s="7"/>
      </tp>
      <tp t="s">
        <v>Not connected</v>
        <stp/>
        <stp>4</stp>
        <stp>EUR.PRICING.XLS_STRIPS.IT0004848476</stp>
        <stp>XLS_STRIPS</stp>
        <tr r="W85" s="7"/>
      </tp>
      <tp t="s">
        <v>Not connected</v>
        <stp/>
        <stp>4</stp>
        <stp>EUR.PRICING.XLS_STRIPS.IT0004848443</stp>
        <stp>XLS_STRIPS</stp>
        <tr r="W79" s="7"/>
      </tp>
      <tp t="s">
        <v>Not connected</v>
        <stp/>
        <stp>4</stp>
        <stp>EUR.PRICING.XLS_STRIPS.IT0003268585</stp>
        <stp>XLS_STRIPS</stp>
        <tr r="W35" s="7"/>
      </tp>
      <tp t="s">
        <v>Not connected</v>
        <stp/>
        <stp>4</stp>
        <stp>EUR.PRICING.XLS_STRIPS.IT0003268635</stp>
        <stp>XLS_STRIPS</stp>
        <tr r="W41" s="7"/>
      </tp>
      <tp t="s">
        <v>Not connected</v>
        <stp/>
        <stp>4</stp>
        <stp>EUR.PRICING.XLS_STRIPS.IT0003268676</stp>
        <stp>XLS_STRIPS</stp>
        <tr r="W44" s="7"/>
      </tp>
      <tp t="s">
        <v>Not connected</v>
        <stp/>
        <stp>4</stp>
        <stp>EUR.PRICING.XLS_STRIPS.IT0003268726</stp>
        <stp>XLS_STRIPS</stp>
        <tr r="W50" s="7"/>
      </tp>
      <tp t="s">
        <v>Not connected</v>
        <stp/>
        <stp>4</stp>
        <stp>EUR.PRICING.XLS_STRIPS.IT0003268742</stp>
        <stp>XLS_STRIPS</stp>
        <tr r="W53" s="7"/>
      </tp>
      <tp t="s">
        <v>Not connected</v>
        <stp/>
        <stp>4</stp>
        <stp>EUR.PRICING.XLS_STRIPS.IT0003268775</stp>
        <stp>XLS_STRIPS</stp>
        <tr r="W56" s="7"/>
      </tp>
    </main>
    <main first="bloomberg.rtd">
      <tp>
        <v>3811</v>
        <stp/>
        <stp>##V3_BDPV12</stp>
        <stp>IT0001086567 Corp</stp>
        <stp>days to mty</stp>
        <stp>[BTP Stripping-contributor.xlsx]BtpCurve!R43C29</stp>
        <tr r="AC43" s="4"/>
      </tp>
      <tp>
        <v>1559</v>
        <stp/>
        <stp>##V3_BDPV12</stp>
        <stp>IT0004594930 Corp</stp>
        <stp>days to mty</stp>
        <stp>[BTP Stripping-contributor.xlsx]BtpCurve!R24C29</stp>
        <tr r="AC24" s="4"/>
      </tp>
      <tp>
        <v>599</v>
        <stp/>
        <stp>##V3_BDPV12</stp>
        <stp>IT0005058463 Corp</stp>
        <stp>days to mty</stp>
        <stp>[BTP Stripping-contributor.xlsx]BtpCurve!R10C29</stp>
        <tr r="AC10" s="4"/>
      </tp>
      <tp>
        <v>2715</v>
        <stp/>
        <stp>##V3_BDPV12</stp>
        <stp>IT0000366655 Corp</stp>
        <stp>days to mty</stp>
        <stp>[BTP Stripping-contributor.xlsx]BtpCurve!R36C29</stp>
        <tr r="AC36" s="4"/>
      </tp>
      <tp>
        <v>5453</v>
        <stp/>
        <stp>##V3_BDPV12</stp>
        <stp>IT0004848492 Corp</stp>
        <stp>days to mty</stp>
        <stp>[BTP Stripping-contributor.xlsx]Contribution!R106C3</stp>
        <tr r="C106" s="7"/>
      </tp>
      <tp>
        <v>5272</v>
        <stp/>
        <stp>##V3_BDPV12</stp>
        <stp>IT0001464202 Corp</stp>
        <stp>days to mty</stp>
        <stp>[BTP Stripping-contributor.xlsx]Contribution!R103C3</stp>
        <tr r="C103" s="7"/>
      </tp>
      <tp>
        <v>8286</v>
        <stp/>
        <stp>##V3_BDPV12</stp>
        <stp>IT0004288624 Corp</stp>
        <stp>days to mty</stp>
        <stp>[BTP Stripping-contributor.xlsx]Contribution!R137C3</stp>
        <tr r="C137" s="7"/>
      </tp>
    </main>
    <main first="marketviewexcelplugin.mkvxp">
      <tp t="s">
        <v>Not connected</v>
        <stp/>
        <stp>4</stp>
        <stp>EUR.PRICING.XLS_STRIPS.IT0003269013</stp>
        <stp>XLS_STRIPS</stp>
        <tr r="W107" s="7"/>
      </tp>
      <tp t="s">
        <v>Not connected</v>
        <stp/>
        <stp>4</stp>
        <stp>EUR.PRICING.XLS_STRIPS.IT0003269021</stp>
        <stp>XLS_STRIPS</stp>
        <tr r="W109" s="7"/>
      </tp>
      <tp t="s">
        <v>Not connected</v>
        <stp/>
        <stp>4</stp>
        <stp>EUR.PRICING.XLS_STRIPS.IT0003269039</stp>
        <stp>XLS_STRIPS</stp>
        <tr r="W111" s="7"/>
      </tp>
      <tp t="s">
        <v>Not connected</v>
        <stp/>
        <stp>4</stp>
        <stp>EUR.PRICING.XLS_STRIPS.IT0004869324</stp>
        <stp>XLS_STRIPS</stp>
        <tr r="W55" s="7"/>
      </tp>
      <tp t="s">
        <v>Not connected</v>
        <stp/>
        <stp>4</stp>
        <stp>EUR.PRICING.XLS_STRIPS.IT0004869316</stp>
        <stp>XLS_STRIPS</stp>
        <tr r="W25" s="7"/>
      </tp>
    </main>
    <main first="bloomberg.rtd">
      <tp>
        <v>797</v>
        <stp/>
        <stp>##V3_BDPV12</stp>
        <stp>IT0004361041 Corp</stp>
        <stp>days to mty</stp>
        <stp>[BTP Stripping-contributor.xlsx]BtpCurve!R13C29</stp>
        <tr r="AC13" s="4"/>
      </tp>
      <tp>
        <v>2623</v>
        <stp/>
        <stp>##V3_BDPV12</stp>
        <stp>IT0004356843 Corp</stp>
        <stp>days to mty</stp>
        <stp>[BTP Stripping-contributor.xlsx]BtpCurve!R35C29</stp>
        <tr r="AC35" s="4"/>
      </tp>
      <tp>
        <v>3111</v>
        <stp/>
        <stp>##V3_BDPV12</stp>
        <stp>IT0005045270 Corp</stp>
        <stp>days to mty</stp>
        <stp>[BTP Stripping-contributor.xlsx]BtpCurve!R39C29</stp>
        <tr r="AC39" s="4"/>
      </tp>
      <tp>
        <v>1893</v>
        <stp/>
        <stp>##V3_BDPV12</stp>
        <stp>IT0004009673 Corp</stp>
        <stp>days to mty</stp>
        <stp>[BTP Stripping-contributor.xlsx]BtpCurve!R27C29</stp>
        <tr r="AC27" s="4"/>
      </tp>
      <tp>
        <v>7190</v>
        <stp/>
        <stp>##V3_BDPV12</stp>
        <stp>IT0004002835 Corp</stp>
        <stp>days to mty</stp>
        <stp>[BTP Stripping-contributor.xlsx]Contribution!R125C3</stp>
        <tr r="C125" s="7"/>
      </tp>
      <tp>
        <v>8102</v>
        <stp/>
        <stp>##V3_BDPV12</stp>
        <stp>IT0004288616 Corp</stp>
        <stp>days to mty</stp>
        <stp>[BTP Stripping-contributor.xlsx]Contribution!R135C3</stp>
        <tr r="C135" s="7"/>
      </tp>
      <tp>
        <v>66.361000000000004</v>
        <stp/>
        <stp>##V3_BDPV12</stp>
        <stp>IT0003540389@rbsm Corp</stp>
        <stp>ask</stp>
        <stp>[BTP Stripping-contributor.xlsx]Contribution!R115C28</stp>
        <tr r="AB115" s="7"/>
      </tp>
      <tp>
        <v>64.786000000000001</v>
        <stp/>
        <stp>##V3_BDPV12</stp>
        <stp>IT0003540397@rbsm Corp</stp>
        <stp>ask</stp>
        <stp>[BTP Stripping-contributor.xlsx]Contribution!R117C28</stp>
        <tr r="AB117" s="7"/>
      </tp>
      <tp>
        <v>112</v>
        <stp/>
        <stp>##V3_BDPV12</stp>
        <stp>IT0004761950 Corp</stp>
        <stp>days to mty</stp>
        <stp>[BTP Stripping-contributor.xlsx]BtpCurve!R3C29</stp>
        <tr r="AC3" s="4"/>
      </tp>
      <tp>
        <v>8467</v>
        <stp/>
        <stp>##V3_BDPV12</stp>
        <stp>IT0004286966 Corp</stp>
        <stp>days to mty</stp>
        <stp>[BTP Stripping-contributor.xlsx]BtpCurve!R53C29</stp>
        <tr r="AC53" s="4"/>
      </tp>
      <tp>
        <v>3020</v>
        <stp/>
        <stp>##V3_BDPV12</stp>
        <stp>IT0005001547 Corp</stp>
        <stp>days to mty</stp>
        <stp>[BTP Stripping-contributor.xlsx]BtpCurve!R38C29</stp>
        <tr r="AC38" s="4"/>
      </tp>
      <tp>
        <v>9229</v>
        <stp/>
        <stp>##V3_BDPV12</stp>
        <stp>IT0004976780 Corp</stp>
        <stp>days to mty</stp>
        <stp>[BTP Stripping-contributor.xlsx]Contribution!R144C3</stp>
        <tr r="C144" s="7"/>
      </tp>
      <tp>
        <v>7556</v>
        <stp/>
        <stp>##V3_BDPV12</stp>
        <stp>IT0004848641 Corp</stp>
        <stp>days to mty</stp>
        <stp>[BTP Stripping-contributor.xlsx]Contribution!R129C3</stp>
        <tr r="C129" s="7"/>
      </tp>
      <tp>
        <v>9410</v>
        <stp/>
        <stp>##V3_BDPV12</stp>
        <stp>IT0004976798 Corp</stp>
        <stp>days to mty</stp>
        <stp>[BTP Stripping-contributor.xlsx]Contribution!R145C3</stp>
        <tr r="C145" s="7"/>
      </tp>
      <tp>
        <v>11055</v>
        <stp/>
        <stp>##V3_BDPV12</stp>
        <stp>IT0005083057 Corp</stp>
        <stp>days to mty</stp>
        <stp>[BTP Stripping-contributor.xlsx]BtpCurve!R56C29</stp>
        <tr r="AC56" s="4"/>
      </tp>
      <tp>
        <v>1193</v>
        <stp/>
        <stp>##V3_BDPV12</stp>
        <stp>IT0004489610 Corp</stp>
        <stp>days to mty</stp>
        <stp>[BTP Stripping-contributor.xlsx]BtpCurve!R19C29</stp>
        <tr r="AC19" s="4"/>
      </tp>
      <tp>
        <v>1740</v>
        <stp/>
        <stp>##V3_BDPV12</stp>
        <stp>IT0004634132 Corp</stp>
        <stp>days to mty</stp>
        <stp>[BTP Stripping-contributor.xlsx]BtpCurve!R25C29</stp>
        <tr r="AC25" s="4"/>
      </tp>
      <tp>
        <v>3566</v>
        <stp/>
        <stp>##V3_BDPV12</stp>
        <stp>IT0004644735 Corp</stp>
        <stp>days to mty</stp>
        <stp>[BTP Stripping-contributor.xlsx]BtpCurve!R42C29</stp>
        <tr r="AC42" s="4"/>
      </tp>
      <tp>
        <v>5545</v>
        <stp/>
        <stp>##V3_BDPV12</stp>
        <stp>IT0003269013 Corp</stp>
        <stp>days to mty</stp>
        <stp>[BTP Stripping-contributor.xlsx]Contribution!R107C3</stp>
        <tr r="C107" s="7"/>
      </tp>
      <tp>
        <v>5180</v>
        <stp/>
        <stp>##V3_BDPV12</stp>
        <stp>IT0003268973 Corp</stp>
        <stp>days to mty</stp>
        <stp>[BTP Stripping-contributor.xlsx]Contribution!R101C3</stp>
        <tr r="C101" s="7"/>
      </tp>
    </main>
    <main first="bloomberg.rtd">
      <tp>
        <v>4115</v>
        <stp/>
        <stp>##V3_BDPV12</stp>
        <stp>IT0004976509 Corp</stp>
        <stp>days to mty</stp>
        <stp>[BTP Stripping-contributor.xlsx]Contribution!R84C3</stp>
        <tr r="C84" s="7"/>
      </tp>
      <tp>
        <v>1893</v>
        <stp/>
        <stp>##V3_BDPV12</stp>
        <stp>IT0004848658 Corp</stp>
        <stp>days to mty</stp>
        <stp>[BTP Stripping-contributor.xlsx]Contribution!R47C3</stp>
        <tr r="C47" s="7"/>
      </tp>
      <tp>
        <v>3566</v>
        <stp/>
        <stp>##V3_BDPV12</stp>
        <stp>IT0004976475 Corp</stp>
        <stp>days to mty</stp>
        <stp>[BTP Stripping-contributor.xlsx]Contribution!R75C3</stp>
        <tr r="C75" s="7"/>
      </tp>
      <tp>
        <v>67</v>
        <stp/>
        <stp>##V3_BDPV12</stp>
        <stp>IT0004848666 Corp</stp>
        <stp>days to mty</stp>
        <stp>[BTP Stripping-contributor.xlsx]Contribution!R17C3</stp>
        <tr r="C17" s="7"/>
      </tp>
      <tp>
        <v>1375</v>
        <stp/>
        <stp>##V3_BDPV12</stp>
        <stp>IT0004957863 Corp</stp>
        <stp>days to mty</stp>
        <stp>[BTP Stripping-contributor.xlsx]Contribution!R39C3</stp>
        <tr r="C39" s="7"/>
      </tp>
      <tp>
        <v>4176</v>
        <stp/>
        <stp>##V3_BDPV12</stp>
        <stp>IT0004848476 Corp</stp>
        <stp>days to mty</stp>
        <stp>[BTP Stripping-contributor.xlsx]Contribution!R85C3</stp>
        <tr r="C85" s="7"/>
      </tp>
      <tp>
        <v>1801</v>
        <stp/>
        <stp>##V3_BDPV12</stp>
        <stp>IT0001247276 Corp</stp>
        <stp>days to mty</stp>
        <stp>[BTP Stripping-contributor.xlsx]Contribution!R46C3</stp>
        <tr r="C46" s="7"/>
      </tp>
      <tp>
        <v>3081</v>
        <stp/>
        <stp>##V3_BDPV12</stp>
        <stp>IT0001247342 Corp</stp>
        <stp>days to mty</stp>
        <stp>[BTP Stripping-contributor.xlsx]Contribution!R67C3</stp>
        <tr r="C67" s="7"/>
      </tp>
    </main>
    <main first="marketviewexcelplugin.mkvxp">
      <tp t="e">
        <v>#REF!</v>
        <stp/>
        <stp>0</stp>
        <stp>EUR.CM_DEPTH.XLS_GOVIES.IT0004907843</stp>
        <stp>Ask</stp>
        <tr r="U12" s="4"/>
      </tp>
      <tp t="e">
        <v>#REF!</v>
        <stp/>
        <stp>0</stp>
        <stp>EUR.CM_DEPTH.XLS_GOVIES.IT0004848831</stp>
        <stp>Ask</stp>
        <tr r="U33" s="4"/>
      </tp>
      <tp t="e">
        <v>#REF!</v>
        <stp/>
        <stp>0</stp>
        <stp>EUR.CM_DEPTH.XLS_GOVIES.IT0004356843</stp>
        <stp>Ask</stp>
        <tr r="U35" s="4"/>
      </tp>
    </main>
    <main first="bloomberg.rtd">
      <tp t="s">
        <v>#N/A Field Not Applicable</v>
        <stp/>
        <stp>##V3_BDPV12</stp>
        <stp>IT0004871353 Corp</stp>
        <stp>days to mty</stp>
        <stp>[BTP Stripping-contributor.xlsx]Contribution!R13C3</stp>
        <tr r="C13" s="7"/>
      </tp>
      <tp>
        <v>616</v>
        <stp/>
        <stp>##V3_BDPV12</stp>
        <stp>IT0004848682 Corp</stp>
        <stp>days to mty</stp>
        <stp>[BTP Stripping-contributor.xlsx]Contribution!R26C3</stp>
        <tr r="C26" s="7"/>
      </tp>
      <tp>
        <v>1924</v>
        <stp/>
        <stp>##V3_BDPV12</stp>
        <stp>IT0004957897 Corp</stp>
        <stp>days to mty</stp>
        <stp>[BTP Stripping-contributor.xlsx]Contribution!R48C3</stp>
        <tr r="C48" s="7"/>
      </tp>
      <tp>
        <v>2077</v>
        <stp/>
        <stp>##V3_BDPV12</stp>
        <stp>IT0003268726 Corp</stp>
        <stp>days to mty</stp>
        <stp>[BTP Stripping-contributor.xlsx]Contribution!R50C3</stp>
        <tr r="C50" s="7"/>
      </tp>
      <tp>
        <v>1528</v>
        <stp/>
        <stp>##V3_BDPV12</stp>
        <stp>IT0003268635 Corp</stp>
        <stp>days to mty</stp>
        <stp>[BTP Stripping-contributor.xlsx]Contribution!R41C3</stp>
        <tr r="C41" s="7"/>
      </tp>
      <tp t="s">
        <v>#N/A Field Not Applicable</v>
        <stp/>
        <stp>##V3_BDPV12</stp>
        <stp>IT0003246318 Corp</stp>
        <stp>days to mty</stp>
        <stp>[BTP Stripping-contributor.xlsx]Contribution!R14C3</stp>
        <tr r="C14" s="7"/>
      </tp>
      <tp>
        <v>3627</v>
        <stp/>
        <stp>##V3_BDPV12</stp>
        <stp>IT0001247375 Corp</stp>
        <stp>days to mty</stp>
        <stp>[BTP Stripping-contributor.xlsx]Contribution!R76C3</stp>
        <tr r="C76" s="7"/>
      </tp>
      <tp>
        <v>1254</v>
        <stp/>
        <stp>##V3_BDPV12</stp>
        <stp>IT0001247243 Corp</stp>
        <stp>days to mty</stp>
        <stp>[BTP Stripping-contributor.xlsx]Contribution!R37C3</stp>
        <tr r="C37" s="7"/>
      </tp>
    </main>
    <main first="marketviewexcelplugin.mkvxp">
      <tp t="e">
        <v>#REF!</v>
        <stp/>
        <stp>0</stp>
        <stp>EUR.CM_DEPTH.XLS_GOVIES.IT0005086886</stp>
        <stp>Ask</stp>
        <tr r="U31" s="4"/>
      </tp>
      <tp t="e">
        <v>#REF!</v>
        <stp/>
        <stp>0</stp>
        <stp>EUR.CM_DEPTH.XLS_GOVIES.IT0004594930</stp>
        <stp>Ask</stp>
        <tr r="U24" s="4"/>
      </tp>
      <tp t="e">
        <v>#REF!</v>
        <stp/>
        <stp>0</stp>
        <stp>EUR.CM_DEPTH.XLS_GOVIES.IT0004286966</stp>
        <stp>Ask</stp>
        <tr r="U53" s="4"/>
      </tp>
      <tp t="e">
        <v>#REF!</v>
        <stp/>
        <stp>0</stp>
        <stp>EUR.CM_DEPTH.XLS_GOVIES.IT0004761950</stp>
        <stp>Ask</stp>
        <tr r="U3" s="4"/>
      </tp>
      <tp t="e">
        <v>#REF!</v>
        <stp/>
        <stp>0</stp>
        <stp>EUR.CM_DEPTH.XLS_GOVIES.IT0004923998</stp>
        <stp>Ask</stp>
        <tr r="U55" s="4"/>
      </tp>
      <tp t="e">
        <v>#REF!</v>
        <stp/>
        <stp>0</stp>
        <stp>EUR.CM_DEPTH.XLS_GOVIES.IT0004423957</stp>
        <stp>Ask</stp>
        <tr r="U16" s="4"/>
      </tp>
      <tp t="e">
        <v>#REF!</v>
        <stp/>
        <stp>0</stp>
        <stp>EUR.CM_DEPTH.XLS_GOVIES.IT0004536949</stp>
        <stp>Ask</stp>
        <tr r="U22" s="4"/>
      </tp>
    </main>
    <main first="bloomberg.rtd">
      <tp>
        <v>4542</v>
        <stp/>
        <stp>##V3_BDPV12</stp>
        <stp>IT0001312799 Corp</stp>
        <stp>days to mty</stp>
        <stp>[BTP Stripping-contributor.xlsx]Contribution!R91C3</stp>
        <tr r="C91" s="7"/>
      </tp>
      <tp>
        <v>4846</v>
        <stp/>
        <stp>##V3_BDPV12</stp>
        <stp>IT0004976541 Corp</stp>
        <stp>days to mty</stp>
        <stp>[BTP Stripping-contributor.xlsx]Contribution!R96C3</stp>
        <tr r="C96" s="7"/>
      </tp>
    </main>
    <main first="marketviewexcelplugin.mkvxp">
      <tp t="s">
        <v>Not connected</v>
        <stp/>
        <stp>2</stp>
        <stp>XLS_STRIPS</stp>
        <stp>Id</stp>
        <stp>string</stp>
        <stp>Bid</stp>
        <stp>real</stp>
        <stp>Ask</stp>
        <stp>real</stp>
        <stp>Mid</stp>
        <stp>real</stp>
        <stp>Name</stp>
        <stp>string</stp>
        <stp>DV01</stp>
        <stp>real</stp>
        <stp>MidYield</stp>
        <stp>real</stp>
        <stp>BidYield</stp>
        <stp>real</stp>
        <stp>AskYield</stp>
        <stp>real</stp>
        <tr r="W3" s="7"/>
      </tp>
    </main>
    <main first="bloomberg.rtd">
      <tp>
        <v>4907</v>
        <stp/>
        <stp>##V3_BDPV12</stp>
        <stp>IT0004848484 Corp</stp>
        <stp>days to mty</stp>
        <stp>[BTP Stripping-contributor.xlsx]Contribution!R97C3</stp>
        <tr r="C97" s="7"/>
      </tp>
      <tp>
        <v>1070</v>
        <stp/>
        <stp>##V3_BDPV12</stp>
        <stp>IT0001247235 Corp</stp>
        <stp>days to mty</stp>
        <stp>[BTP Stripping-contributor.xlsx]Contribution!R34C3</stp>
        <tr r="C34" s="7"/>
      </tp>
      <tp>
        <v>2258</v>
        <stp/>
        <stp>##V3_BDPV12</stp>
        <stp>IT0003268742 Corp</stp>
        <stp>days to mty</stp>
        <stp>[BTP Stripping-contributor.xlsx]Contribution!R53C3</stp>
        <tr r="C53" s="7"/>
      </tp>
    </main>
    <main first="marketviewexcelplugin.mkvxp">
      <tp t="e">
        <v>#REF!</v>
        <stp/>
        <stp>0</stp>
        <stp>EUR.CM_DEPTH.XLS_GOVIES.IT0004286966</stp>
        <stp>Bid</stp>
        <tr r="T53" s="4"/>
      </tp>
      <tp t="e">
        <v>#REF!</v>
        <stp/>
        <stp>0</stp>
        <stp>EUR.CM_DEPTH.XLS_GOVIES.IT0004594930</stp>
        <stp>Bid</stp>
        <tr r="T24" s="4"/>
      </tp>
      <tp t="e">
        <v>#REF!</v>
        <stp/>
        <stp>0</stp>
        <stp>EUR.CM_DEPTH.XLS_GOVIES.IT0004923998</stp>
        <stp>Bid</stp>
        <tr r="T55" s="4"/>
      </tp>
      <tp t="e">
        <v>#REF!</v>
        <stp/>
        <stp>0</stp>
        <stp>EUR.CM_DEPTH.XLS_GOVIES.IT0004536949</stp>
        <stp>Bid</stp>
        <tr r="T22" s="4"/>
      </tp>
      <tp t="e">
        <v>#REF!</v>
        <stp/>
        <stp>0</stp>
        <stp>EUR.CM_DEPTH.XLS_GOVIES.IT0004423957</stp>
        <stp>Bid</stp>
        <tr r="T16" s="4"/>
      </tp>
      <tp t="e">
        <v>#REF!</v>
        <stp/>
        <stp>0</stp>
        <stp>EUR.CM_DEPTH.XLS_GOVIES.IT0004761950</stp>
        <stp>Bid</stp>
        <tr r="T3" s="4"/>
      </tp>
      <tp t="e">
        <v>#REF!</v>
        <stp/>
        <stp>0</stp>
        <stp>EUR.CM_DEPTH.XLS_GOVIES.IT0005086886</stp>
        <stp>Bid</stp>
        <tr r="T31" s="4"/>
      </tp>
    </main>
    <main first="bloomberg.rtd">
      <tp>
        <v>4297</v>
        <stp/>
        <stp>##V3_BDPV12</stp>
        <stp>IT0004976517 Corp</stp>
        <stp>days to mty</stp>
        <stp>[BTP Stripping-contributor.xlsx]Contribution!R87C3</stp>
        <tr r="C87" s="7"/>
      </tp>
      <tp>
        <v>3020</v>
        <stp/>
        <stp>##V3_BDPV12</stp>
        <stp>IT0004976442 Corp</stp>
        <stp>days to mty</stp>
        <stp>[BTP Stripping-contributor.xlsx]Contribution!R66C3</stp>
        <tr r="C66" s="7"/>
      </tp>
      <tp t="s">
        <v>#N/A Field Not Applicable</v>
        <stp/>
        <stp>##V3_BDPV12</stp>
        <stp>IT0004957780 Corp</stp>
        <stp>days to mty</stp>
        <stp>[BTP Stripping-contributor.xlsx]Contribution!R15C3</stp>
        <tr r="C15" s="7"/>
      </tp>
      <tp>
        <v>2897</v>
        <stp/>
        <stp>##V3_BDPV12</stp>
        <stp>IT0001247334 Corp</stp>
        <stp>days to mty</stp>
        <stp>[BTP Stripping-contributor.xlsx]Contribution!R64C3</stp>
        <tr r="C64" s="7"/>
      </tp>
      <tp t="s">
        <v>#N/A Field Not Applicable</v>
        <stp/>
        <stp>##V3_BDPV12</stp>
        <stp>IT0001247177 Corp</stp>
        <stp>days to mty</stp>
        <stp>[BTP Stripping-contributor.xlsx]Contribution!R16C3</stp>
        <tr r="C16" s="7"/>
      </tp>
    </main>
    <main first="marketviewexcelplugin.mkvxp">
      <tp t="e">
        <v>#REF!</v>
        <stp/>
        <stp>0</stp>
        <stp>EUR.CM_DEPTH.XLS_GOVIES.IT0004356843</stp>
        <stp>Bid</stp>
        <tr r="T35" s="4"/>
      </tp>
      <tp t="e">
        <v>#REF!</v>
        <stp/>
        <stp>0</stp>
        <stp>EUR.CM_DEPTH.XLS_GOVIES.IT0004907843</stp>
        <stp>Bid</stp>
        <tr r="T12" s="4"/>
      </tp>
      <tp t="e">
        <v>#REF!</v>
        <stp/>
        <stp>0</stp>
        <stp>EUR.CM_DEPTH.XLS_GOVIES.IT0004848831</stp>
        <stp>Bid</stp>
        <tr r="T33" s="4"/>
      </tp>
    </main>
    <main first="bloomberg.rtd">
      <tp>
        <v>2166</v>
        <stp/>
        <stp>##V3_BDPV12</stp>
        <stp>IT0001247292 Corp</stp>
        <stp>days to mty</stp>
        <stp>[BTP Stripping-contributor.xlsx]Contribution!R52C3</stp>
        <tr r="C52" s="7"/>
      </tp>
      <tp>
        <v>4481</v>
        <stp/>
        <stp>##V3_BDPV12</stp>
        <stp>IT0004976525 Corp</stp>
        <stp>days to mty</stp>
        <stp>[BTP Stripping-contributor.xlsx]Contribution!R90C3</stp>
        <tr r="C90" s="7"/>
      </tp>
      <tp>
        <v>2715</v>
        <stp/>
        <stp>##V3_BDPV12</stp>
        <stp>IT0004848435 Corp</stp>
        <stp>days to mty</stp>
        <stp>[BTP Stripping-contributor.xlsx]Contribution!R61C3</stp>
        <tr r="C61" s="7"/>
      </tp>
      <tp t="s">
        <v>#N/A Field Not Applicable</v>
        <stp/>
        <stp>##V3_BDPV12</stp>
        <stp>IT0004957772 Corp</stp>
        <stp>days to mty</stp>
        <stp>[BTP Stripping-contributor.xlsx]Contribution!R12C3</stp>
        <tr r="C12" s="7"/>
      </tp>
      <tp>
        <v>3931</v>
        <stp/>
        <stp>##V3_BDPV12</stp>
        <stp>IT0004976491 Corp</stp>
        <stp>days to mty</stp>
        <stp>[BTP Stripping-contributor.xlsx]Contribution!R81C3</stp>
        <tr r="C81" s="7"/>
      </tp>
      <tp>
        <v>3446</v>
        <stp/>
        <stp>##V3_BDPV12</stp>
        <stp>IT0001247367 Corp</stp>
        <stp>days to mty</stp>
        <stp>[BTP Stripping-contributor.xlsx]Contribution!R73C3</stp>
        <tr r="C73" s="7"/>
      </tp>
      <tp>
        <v>1712</v>
        <stp/>
        <stp>##V3_BDPV12</stp>
        <stp>IT0003268676 Corp</stp>
        <stp>days to mty</stp>
        <stp>[BTP Stripping-contributor.xlsx]Contribution!R44C3</stp>
        <tr r="C44" s="7"/>
      </tp>
    </main>
    <main first="marketviewexcelplugin.mkvxp">
      <tp t="e">
        <v>#REF!</v>
        <stp/>
        <stp>0</stp>
        <stp>EUR.CM_DEPTH.XLS_GOVIES.IT0003256820</stp>
        <stp>Bid</stp>
        <tr r="T50" s="4"/>
      </tp>
    </main>
    <main first="bloomberg.rtd">
      <tp>
        <v>3992</v>
        <stp/>
        <stp>##V3_BDPV12</stp>
        <stp>IT0001247391 Corp</stp>
        <stp>days to mty</stp>
        <stp>[BTP Stripping-contributor.xlsx]Contribution!R82C3</stp>
        <tr r="C82" s="7"/>
      </tp>
      <tp>
        <v>1620</v>
        <stp/>
        <stp>##V3_BDPV12</stp>
        <stp>IT0001247268 Corp</stp>
        <stp>days to mty</stp>
        <stp>[BTP Stripping-contributor.xlsx]Contribution!R43C3</stp>
        <tr r="C43" s="7"/>
      </tp>
      <tp t="s">
        <v>#N/A Field Not Applicable</v>
        <stp/>
        <stp>##V3_BDPV12</stp>
        <stp>IT0001247151 Corp</stp>
        <stp>days to mty</stp>
        <stp>[BTP Stripping-contributor.xlsx]Contribution!R10C3</stp>
        <tr r="C10" s="7"/>
      </tp>
      <tp>
        <v>1162</v>
        <stp/>
        <stp>##V3_BDPV12</stp>
        <stp>IT0003268585 Corp</stp>
        <stp>days to mty</stp>
        <stp>[BTP Stripping-contributor.xlsx]Contribution!R35C3</stp>
        <tr r="C35" s="7"/>
      </tp>
      <tp t="s">
        <v>#N/A Field Not Applicable</v>
        <stp/>
        <stp>##V3_BDPV12</stp>
        <stp>IT0004848633 Corp</stp>
        <stp>days to mty</stp>
        <stp>[BTP Stripping-contributor.xlsx]Contribution!R11C3</stp>
        <tr r="C11" s="7"/>
      </tp>
      <tp>
        <v>981</v>
        <stp/>
        <stp>##V3_BDPV12</stp>
        <stp>IT0004848583 Corp</stp>
        <stp>days to mty</stp>
        <stp>[BTP Stripping-contributor.xlsx]Contribution!R32C3</stp>
        <tr r="C32" s="7"/>
      </tp>
      <tp>
        <v>3173</v>
        <stp/>
        <stp>##V3_BDPV12</stp>
        <stp>IT0003268825 Corp</stp>
        <stp>days to mty</stp>
        <stp>[BTP Stripping-contributor.xlsx]Contribution!R68C3</stp>
        <tr r="C68" s="7"/>
      </tp>
      <tp>
        <v>4450</v>
        <stp/>
        <stp>##V3_BDPV12</stp>
        <stp>IT0003268908 Corp</stp>
        <stp>days to mty</stp>
        <stp>[BTP Stripping-contributor.xlsx]Contribution!R89C3</stp>
        <tr r="C89" s="7"/>
      </tp>
      <tp>
        <v>1436</v>
        <stp/>
        <stp>##V3_BDPV12</stp>
        <stp>IT0001247250 Corp</stp>
        <stp>days to mty</stp>
        <stp>[BTP Stripping-contributor.xlsx]Contribution!R40C3</stp>
        <tr r="C40" s="7"/>
      </tp>
      <tp>
        <v>432</v>
        <stp/>
        <stp>##V3_BDPV12</stp>
        <stp>IT0004848500 Corp</stp>
        <stp>days to mty</stp>
        <stp>[BTP Stripping-contributor.xlsx]Contribution!R23C3</stp>
        <tr r="C23" s="7"/>
      </tp>
      <tp>
        <v>524</v>
        <stp/>
        <stp>##V3_BDPV12</stp>
        <stp>IT0004869316 Corp</stp>
        <stp>days to mty</stp>
        <stp>[BTP Stripping-contributor.xlsx]Contribution!R25C3</stp>
        <tr r="C25" s="7"/>
      </tp>
      <tp>
        <v>4662</v>
        <stp/>
        <stp>##V3_BDPV12</stp>
        <stp>IT0004976533 Corp</stp>
        <stp>days to mty</stp>
        <stp>[BTP Stripping-contributor.xlsx]Contribution!R93C3</stp>
        <tr r="C93" s="7"/>
      </tp>
      <tp>
        <v>2350</v>
        <stp/>
        <stp>##V3_BDPV12</stp>
        <stp>IT0004869324 Corp</stp>
        <stp>days to mty</stp>
        <stp>[BTP Stripping-contributor.xlsx]Contribution!R55C3</stp>
        <tr r="C55" s="7"/>
      </tp>
      <tp>
        <v>3385</v>
        <stp/>
        <stp>##V3_BDPV12</stp>
        <stp>IT0004976467 Corp</stp>
        <stp>days to mty</stp>
        <stp>[BTP Stripping-contributor.xlsx]Contribution!R72C3</stp>
        <tr r="C72" s="7"/>
      </tp>
      <tp>
        <v>251</v>
        <stp/>
        <stp>##V3_BDPV12</stp>
        <stp>IT0004848674 Corp</stp>
        <stp>days to mty</stp>
        <stp>[BTP Stripping-contributor.xlsx]Contribution!R20C3</stp>
        <tr r="C20" s="7"/>
      </tp>
      <tp>
        <v>889</v>
        <stp/>
        <stp>##V3_BDPV12</stp>
        <stp>IT0001247227 Corp</stp>
        <stp>days to mty</stp>
        <stp>[BTP Stripping-contributor.xlsx]Contribution!R31C3</stp>
        <tr r="C31" s="7"/>
      </tp>
      <tp>
        <v>2442</v>
        <stp/>
        <stp>##V3_BDPV12</stp>
        <stp>IT0003268775 Corp</stp>
        <stp>days to mty</stp>
        <stp>[BTP Stripping-contributor.xlsx]Contribution!R56C3</stp>
        <tr r="C56" s="7"/>
      </tp>
      <tp>
        <v>4999</v>
        <stp/>
        <stp>##V3_BDPV12</stp>
        <stp>IT0003268957 Corp</stp>
        <stp>days to mty</stp>
        <stp>[BTP Stripping-contributor.xlsx]Contribution!R98C3</stp>
        <tr r="C98" s="7"/>
      </tp>
      <tp>
        <v>3262</v>
        <stp/>
        <stp>##V3_BDPV12</stp>
        <stp>IT0001247359 Corp</stp>
        <stp>days to mty</stp>
        <stp>[BTP Stripping-contributor.xlsx]Contribution!R70C3</stp>
        <tr r="C70" s="7"/>
      </tp>
    </main>
    <main first="marketviewexcelplugin.mkvxp">
      <tp t="e">
        <v>#REF!</v>
        <stp/>
        <stp>0</stp>
        <stp>EUR.CM_DEPTH.XLS_GOVIES.IT0003256820</stp>
        <stp>Ask</stp>
        <tr r="U50" s="4"/>
      </tp>
    </main>
    <main first="bloomberg.rtd">
      <tp>
        <v>279</v>
        <stp/>
        <stp>##V3_BDPV12</stp>
        <stp>IT0004957806 Corp</stp>
        <stp>days to mty</stp>
        <stp>[BTP Stripping-contributor.xlsx]Contribution!R21C3</stp>
        <tr r="C21" s="7"/>
      </tp>
      <tp>
        <v>2654</v>
        <stp/>
        <stp>##V3_BDPV12</stp>
        <stp>IT0004957939 Corp</stp>
        <stp>days to mty</stp>
        <stp>[BTP Stripping-contributor.xlsx]Contribution!R60C3</stp>
        <tr r="C60" s="7"/>
      </tp>
      <tp>
        <v>4268</v>
        <stp/>
        <stp>##V3_BDPV12</stp>
        <stp>IT0003268890 Corp</stp>
        <stp>days to mty</stp>
        <stp>[BTP Stripping-contributor.xlsx]Contribution!R86C3</stp>
        <tr r="C86" s="7"/>
      </tp>
      <tp>
        <v>4723</v>
        <stp/>
        <stp>##V3_BDPV12</stp>
        <stp>IT0001312807 Corp</stp>
        <stp>days to mty</stp>
        <stp>[BTP Stripping-contributor.xlsx]Contribution!R94C3</stp>
        <tr r="C94" s="7"/>
      </tp>
    </main>
    <main first="marketviewexcelplugin.mkvxp">
      <tp t="e">
        <v>#REF!</v>
        <stp/>
        <stp>0</stp>
        <stp>EUR.CM_DEPTH.XLS_GOVIES.IT0005045270</stp>
        <stp>Bid</stp>
        <tr r="T39" s="4"/>
      </tp>
      <tp t="e">
        <v>#REF!</v>
        <stp/>
        <stp>0</stp>
        <stp>EUR.CM_DEPTH.XLS_GOVIES.IT0001174611</stp>
        <stp>Bid</stp>
        <tr r="T44" s="4"/>
      </tp>
      <tp t="e">
        <v>#REF!</v>
        <stp/>
        <stp>0</stp>
        <stp>EUR.CM_DEPTH.XLS_GOVIES.IT0005024234</stp>
        <stp>Bid</stp>
        <tr r="T47" s="4"/>
      </tp>
      <tp t="e">
        <v>#REF!</v>
        <stp/>
        <stp>0</stp>
        <stp>EUR.CM_DEPTH.XLS_GOVIES.IT0004992308</stp>
        <stp>Bid</stp>
        <tr r="T17" s="4"/>
      </tp>
      <tp t="e">
        <v>#REF!</v>
        <stp/>
        <stp>0</stp>
        <stp>EUR.CM_DEPTH.XLS_GOVIES.IT0004867070</stp>
        <stp>Ask</stp>
        <tr r="U9" s="4"/>
      </tp>
      <tp t="e">
        <v>#REF!</v>
        <stp/>
        <stp>0</stp>
        <stp>EUR.CM_DEPTH.XLS_GOVIES.IT0004889033</stp>
        <stp>Ask</stp>
        <tr r="U45" s="4"/>
      </tp>
      <tp t="e">
        <v>#REF!</v>
        <stp/>
        <stp>0</stp>
        <stp>EUR.CM_DEPTH.XLS_GOVIES.IT0004898034</stp>
        <stp>Ask</stp>
        <tr r="U34" s="4"/>
      </tp>
      <tp t="e">
        <v>#REF!</v>
        <stp/>
        <stp>0</stp>
        <stp>EUR.CM_DEPTH.XLS_GOVIES.IT0003242747</stp>
        <stp>Ask</stp>
        <tr r="U8" s="4"/>
      </tp>
      <tp t="e">
        <v>#REF!</v>
        <stp/>
        <stp>0</stp>
        <stp>EUR.CM_DEPTH.XLS_GOVIES.IT0001086567</stp>
        <stp>Ask</stp>
        <tr r="U43" s="4"/>
      </tp>
      <tp t="e">
        <v>#REF!</v>
        <stp/>
        <stp>0</stp>
        <stp>EUR.CM_DEPTH.XLS_GOVIES.IT0004361041</stp>
        <stp>Ask</stp>
        <tr r="U13" s="4"/>
      </tp>
      <tp t="e">
        <v>#REF!</v>
        <stp/>
        <stp>0</stp>
        <stp>EUR.CM_DEPTH.XLS_GOVIES.IT0001278511</stp>
        <stp>Ask</stp>
        <tr r="U46" s="4"/>
      </tp>
      <tp t="e">
        <v>#REF!</v>
        <stp/>
        <stp>0</stp>
        <stp>EUR.CM_DEPTH.XLS_GOVIES.IT0003644769</stp>
        <stp>Ask</stp>
        <tr r="U21" s="4"/>
      </tp>
      <tp t="e">
        <v>#REF!</v>
        <stp/>
        <stp>0</stp>
        <stp>EUR.CM_DEPTH.XLS_GOVIES.IT0004695075</stp>
        <stp>Ask</stp>
        <tr r="U28" s="4"/>
      </tp>
    </main>
    <main first="bloomberg.rtd">
      <tp>
        <v>2105</v>
        <stp/>
        <stp>##V3_BDPV12</stp>
        <stp>IT0004957905 Corp</stp>
        <stp>days to mty</stp>
        <stp>[BTP Stripping-contributor.xlsx]Contribution!R51C3</stp>
        <tr r="C51" s="7"/>
      </tp>
      <tp>
        <v>828</v>
        <stp/>
        <stp>##V3_BDPV12</stp>
        <stp>IT0004957830 Corp</stp>
        <stp>days to mty</stp>
        <stp>[BTP Stripping-contributor.xlsx]Contribution!R30C3</stp>
        <tr r="C30" s="7"/>
      </tp>
      <tp>
        <v>3719</v>
        <stp/>
        <stp>##V3_BDPV12</stp>
        <stp>IT0003268858 Corp</stp>
        <stp>days to mty</stp>
        <stp>[BTP Stripping-contributor.xlsx]Contribution!R77C3</stp>
        <tr r="C77" s="7"/>
      </tp>
    </main>
    <main first="marketviewexcelplugin.mkvxp">
      <tp t="e">
        <v>#REF!</v>
        <stp/>
        <stp>0</stp>
        <stp>EUR.CM_DEPTH.XLS_GOVIES.IT0000366655</stp>
        <stp>Bid</stp>
        <tr r="T36" s="4"/>
      </tp>
      <tp t="e">
        <v>#REF!</v>
        <stp/>
        <stp>0</stp>
        <stp>EUR.CM_DEPTH.XLS_GOVIES.IT0005090318</stp>
        <stp>Bid</stp>
        <tr r="T41" s="4"/>
      </tp>
      <tp t="e">
        <v>#REF!</v>
        <stp/>
        <stp>0</stp>
        <stp>EUR.CM_DEPTH.XLS_GOVIES.IT0005069395</stp>
        <stp>Bid</stp>
        <tr r="T20" s="4"/>
      </tp>
      <tp t="e">
        <v>#REF!</v>
        <stp/>
        <stp>0</stp>
        <stp>EUR.CM_DEPTH.XLS_GOVIES.IT0003934657</stp>
        <stp>Ask</stp>
        <tr r="U52" s="4"/>
      </tp>
      <tp t="e">
        <v>#REF!</v>
        <stp/>
        <stp>0</stp>
        <stp>EUR.CM_DEPTH.XLS_GOVIES.IT0005094088</stp>
        <stp>Ask</stp>
        <tr r="U49" s="4"/>
      </tp>
      <tp t="e">
        <v>#REF!</v>
        <stp/>
        <stp>0</stp>
        <stp>EUR.CM_DEPTH.XLS_GOVIES.IT0004634132</stp>
        <stp>Ask</stp>
        <tr r="U25" s="4"/>
      </tp>
      <tp t="e">
        <v>#REF!</v>
        <stp/>
        <stp>0</stp>
        <stp>EUR.CM_DEPTH.XLS_GOVIES.IT0005083057</stp>
        <stp>Ask</stp>
        <tr r="U56" s="4"/>
      </tp>
      <tp t="e">
        <v>#REF!</v>
        <stp/>
        <stp>0</stp>
        <stp>EUR.CM_DEPTH.XLS_GOVIES.IT0005028003</stp>
        <stp>Ask</stp>
        <tr r="U29" s="4"/>
      </tp>
    </main>
    <main first="bloomberg.rtd">
      <tp>
        <v>1009</v>
        <stp/>
        <stp>##V3_BDPV12</stp>
        <stp>IT0004957848 Corp</stp>
        <stp>days to mty</stp>
        <stp>[BTP Stripping-contributor.xlsx]Contribution!R33C3</stp>
        <tr r="C33" s="7"/>
      </tp>
      <tp>
        <v>4815</v>
        <stp/>
        <stp>##V3_BDPV12</stp>
        <stp>IT0003268932 Corp</stp>
        <stp>days to mty</stp>
        <stp>[BTP Stripping-contributor.xlsx]Contribution!R95C3</stp>
        <tr r="C95" s="7"/>
      </tp>
      <tp>
        <v>3538</v>
        <stp/>
        <stp>##V3_BDPV12</stp>
        <stp>IT0003268841 Corp</stp>
        <stp>days to mty</stp>
        <stp>[BTP Stripping-contributor.xlsx]Contribution!R74C3</stp>
        <tr r="C74" s="7"/>
      </tp>
    </main>
    <main first="marketviewexcelplugin.mkvxp">
      <tp t="e">
        <v>#REF!</v>
        <stp/>
        <stp>0</stp>
        <stp>EUR.CM_DEPTH.XLS_GOVIES.IT0005083057</stp>
        <stp>Bid</stp>
        <tr r="T56" s="4"/>
      </tp>
      <tp t="e">
        <v>#REF!</v>
        <stp/>
        <stp>0</stp>
        <stp>EUR.CM_DEPTH.XLS_GOVIES.IT0004634132</stp>
        <stp>Bid</stp>
        <tr r="T25" s="4"/>
      </tp>
      <tp t="e">
        <v>#REF!</v>
        <stp/>
        <stp>0</stp>
        <stp>EUR.CM_DEPTH.XLS_GOVIES.IT0005028003</stp>
        <stp>Bid</stp>
        <tr r="T29" s="4"/>
      </tp>
      <tp t="e">
        <v>#REF!</v>
        <stp/>
        <stp>0</stp>
        <stp>EUR.CM_DEPTH.XLS_GOVIES.IT0003934657</stp>
        <stp>Bid</stp>
        <tr r="T52" s="4"/>
      </tp>
      <tp t="e">
        <v>#REF!</v>
        <stp/>
        <stp>0</stp>
        <stp>EUR.CM_DEPTH.XLS_GOVIES.IT0005094088</stp>
        <stp>Bid</stp>
        <tr r="T49" s="4"/>
      </tp>
      <tp t="e">
        <v>#REF!</v>
        <stp/>
        <stp>0</stp>
        <stp>EUR.CM_DEPTH.XLS_GOVIES.IT0005069395</stp>
        <stp>Ask</stp>
        <tr r="U20" s="4"/>
      </tp>
      <tp t="e">
        <v>#REF!</v>
        <stp/>
        <stp>0</stp>
        <stp>EUR.CM_DEPTH.XLS_GOVIES.IT0000366655</stp>
        <stp>Ask</stp>
        <tr r="U36" s="4"/>
      </tp>
      <tp t="e">
        <v>#REF!</v>
        <stp/>
        <stp>0</stp>
        <stp>EUR.CM_DEPTH.XLS_GOVIES.IT0005090318</stp>
        <stp>Ask</stp>
        <tr r="U41" s="4"/>
      </tp>
    </main>
    <main first="bloomberg.rtd">
      <tp>
        <v>340</v>
        <stp/>
        <stp>##V3_BDPV12</stp>
        <stp>IT0004848807 Corp</stp>
        <stp>days to mty</stp>
        <stp>[BTP Stripping-contributor.xlsx]Contribution!R22C3</stp>
        <tr r="C22" s="7"/>
      </tp>
      <tp>
        <v>4358</v>
        <stp/>
        <stp>##V3_BDPV12</stp>
        <stp>IT0001312781 Corp</stp>
        <stp>days to mty</stp>
        <stp>[BTP Stripping-contributor.xlsx]Contribution!R88C3</stp>
        <tr r="C88" s="7"/>
      </tp>
      <tp>
        <v>2836</v>
        <stp/>
        <stp>##V3_BDPV12</stp>
        <stp>IT0004957947 Corp</stp>
        <stp>days to mty</stp>
        <stp>[BTP Stripping-contributor.xlsx]Contribution!R63C3</stp>
        <tr r="C63" s="7"/>
      </tp>
      <tp>
        <v>1559</v>
        <stp/>
        <stp>##V3_BDPV12</stp>
        <stp>IT0004957871 Corp</stp>
        <stp>days to mty</stp>
        <stp>[BTP Stripping-contributor.xlsx]Contribution!R42C3</stp>
        <tr r="C42" s="7"/>
      </tp>
      <tp>
        <v>2989</v>
        <stp/>
        <stp>##V3_BDPV12</stp>
        <stp>IT0003268817 Corp</stp>
        <stp>days to mty</stp>
        <stp>[BTP Stripping-contributor.xlsx]Contribution!R65C3</stp>
        <tr r="C65" s="7"/>
      </tp>
    </main>
    <main first="marketviewexcelplugin.mkvxp">
      <tp t="e">
        <v>#REF!</v>
        <stp/>
        <stp>0</stp>
        <stp>EUR.CM_DEPTH.XLS_GOVIES.IT0001086567</stp>
        <stp>Bid</stp>
        <tr r="T43" s="4"/>
      </tp>
      <tp t="e">
        <v>#REF!</v>
        <stp/>
        <stp>0</stp>
        <stp>EUR.CM_DEPTH.XLS_GOVIES.IT0003242747</stp>
        <stp>Bid</stp>
        <tr r="T8" s="4"/>
      </tp>
      <tp t="e">
        <v>#REF!</v>
        <stp/>
        <stp>0</stp>
        <stp>EUR.CM_DEPTH.XLS_GOVIES.IT0004361041</stp>
        <stp>Bid</stp>
        <tr r="T13" s="4"/>
      </tp>
      <tp t="e">
        <v>#REF!</v>
        <stp/>
        <stp>0</stp>
        <stp>EUR.CM_DEPTH.XLS_GOVIES.IT0003644769</stp>
        <stp>Bid</stp>
        <tr r="T21" s="4"/>
      </tp>
      <tp t="e">
        <v>#REF!</v>
        <stp/>
        <stp>0</stp>
        <stp>EUR.CM_DEPTH.XLS_GOVIES.IT0004695075</stp>
        <stp>Bid</stp>
        <tr r="T28" s="4"/>
      </tp>
      <tp t="e">
        <v>#REF!</v>
        <stp/>
        <stp>0</stp>
        <stp>EUR.CM_DEPTH.XLS_GOVIES.IT0001278511</stp>
        <stp>Bid</stp>
        <tr r="T46" s="4"/>
      </tp>
      <tp t="e">
        <v>#REF!</v>
        <stp/>
        <stp>0</stp>
        <stp>EUR.CM_DEPTH.XLS_GOVIES.IT0004867070</stp>
        <stp>Bid</stp>
        <tr r="T9" s="4"/>
      </tp>
      <tp t="e">
        <v>#REF!</v>
        <stp/>
        <stp>0</stp>
        <stp>EUR.CM_DEPTH.XLS_GOVIES.IT0004898034</stp>
        <stp>Bid</stp>
        <tr r="T34" s="4"/>
      </tp>
      <tp t="e">
        <v>#REF!</v>
        <stp/>
        <stp>0</stp>
        <stp>EUR.CM_DEPTH.XLS_GOVIES.IT0004889033</stp>
        <stp>Bid</stp>
        <tr r="T45" s="4"/>
      </tp>
      <tp t="e">
        <v>#REF!</v>
        <stp/>
        <stp>0</stp>
        <stp>EUR.CM_DEPTH.XLS_GOVIES.IT0004992308</stp>
        <stp>Ask</stp>
        <tr r="U17" s="4"/>
      </tp>
      <tp t="e">
        <v>#REF!</v>
        <stp/>
        <stp>0</stp>
        <stp>EUR.CM_DEPTH.XLS_GOVIES.IT0005045270</stp>
        <stp>Ask</stp>
        <tr r="U39" s="4"/>
      </tp>
      <tp t="e">
        <v>#REF!</v>
        <stp/>
        <stp>0</stp>
        <stp>EUR.CM_DEPTH.XLS_GOVIES.IT0005024234</stp>
        <stp>Ask</stp>
        <tr r="U47" s="4"/>
      </tp>
      <tp t="e">
        <v>#REF!</v>
        <stp/>
        <stp>0</stp>
        <stp>EUR.CM_DEPTH.XLS_GOVIES.IT0001174611</stp>
        <stp>Ask</stp>
        <tr r="U44" s="4"/>
      </tp>
    </main>
    <main first="bloomberg.rtd">
      <tp>
        <v>2289</v>
        <stp/>
        <stp>##V3_BDPV12</stp>
        <stp>IT0004957913 Corp</stp>
        <stp>days to mty</stp>
        <stp>[BTP Stripping-contributor.xlsx]Contribution!R54C3</stp>
        <tr r="C54" s="7"/>
      </tp>
      <tp>
        <v>159</v>
        <stp/>
        <stp>##V3_BDPV12</stp>
        <stp>IT0001247185 Corp</stp>
        <stp>days to mty</stp>
        <stp>[BTP Stripping-contributor.xlsx]Contribution!R19C3</stp>
        <tr r="C19" s="7"/>
      </tp>
      <tp>
        <v>3811</v>
        <stp/>
        <stp>##V3_BDPV12</stp>
        <stp>IT0004848443 Corp</stp>
        <stp>days to mty</stp>
        <stp>[BTP Stripping-contributor.xlsx]Contribution!R79C3</stp>
        <tr r="C79" s="7"/>
      </tp>
      <tp>
        <v>3201</v>
        <stp/>
        <stp>##V3_BDPV12</stp>
        <stp>IT0004976459 Corp</stp>
        <stp>days to mty</stp>
        <stp>[BTP Stripping-contributor.xlsx]Contribution!R69C3</stp>
        <tr r="C69" s="7"/>
      </tp>
      <tp>
        <v>1740</v>
        <stp/>
        <stp>##V3_BDPV12</stp>
        <stp>IT0004957889 Corp</stp>
        <stp>days to mty</stp>
        <stp>[BTP Stripping-contributor.xlsx]Contribution!R45C3</stp>
        <tr r="C45" s="7"/>
      </tp>
      <tp>
        <v>2807</v>
        <stp/>
        <stp>##V3_BDPV12</stp>
        <stp>IT0003268809 Corp</stp>
        <stp>days to mty</stp>
        <stp>[BTP Stripping-contributor.xlsx]Contribution!R62C3</stp>
        <tr r="C62" s="7"/>
      </tp>
    </main>
    <main first="marketviewexcelplugin.mkvxp">
      <tp t="e">
        <v>#REF!</v>
        <stp/>
        <stp>0</stp>
        <stp>EUR.CM_DEPTH.XLS_GOVIES.IT0004644735</stp>
        <stp>Bid</stp>
        <tr r="T42" s="4"/>
      </tp>
      <tp t="e">
        <v>#REF!</v>
        <stp/>
        <stp>0</stp>
        <stp>EUR.CM_DEPTH.XLS_GOVIES.IT0004164775</stp>
        <stp>Bid</stp>
        <tr r="T4" s="4"/>
      </tp>
      <tp t="e">
        <v>#REF!</v>
        <stp/>
        <stp>0</stp>
        <stp>EUR.CM_DEPTH.XLS_GOVIES.IT0004820426</stp>
        <stp>Ask</stp>
        <tr r="U7" s="4"/>
      </tp>
      <tp t="e">
        <v>#REF!</v>
        <stp/>
        <stp>0</stp>
        <stp>EUR.CM_DEPTH.XLS_GOVIES.IT0004273493</stp>
        <stp>Ask</stp>
        <tr r="U11" s="4"/>
      </tp>
      <tp t="e">
        <v>#REF!</v>
        <stp/>
        <stp>0</stp>
        <stp>EUR.CM_DEPTH.XLS_GOVIES.IT0004953417</stp>
        <stp>Ask</stp>
        <tr r="U37" s="4"/>
      </tp>
      <tp t="e">
        <v>#REF!</v>
        <stp/>
        <stp>0</stp>
        <stp>EUR.CM_DEPTH.XLS_GOVIES.IT0004966401</stp>
        <stp>Ask</stp>
        <tr r="U26" s="4"/>
      </tp>
      <tp t="e">
        <v>#REF!</v>
        <stp/>
        <stp>0</stp>
        <stp>EUR.CM_DEPTH.XLS_GOVIES.IT0005001547</stp>
        <stp>Ask</stp>
        <tr r="U38" s="4"/>
      </tp>
      <tp t="e">
        <v>#REF!</v>
        <stp/>
        <stp>0</stp>
        <stp>EUR.CM_DEPTH.XLS_GOVIES.IT0005030504</stp>
        <stp>Ask</stp>
        <tr r="U18" s="4"/>
      </tp>
      <tp t="e">
        <v>#REF!</v>
        <stp/>
        <stp>0</stp>
        <stp>EUR.CM_DEPTH.XLS_GOVIES.IT0004793474</stp>
        <stp>Ask</stp>
        <tr r="U5" s="4"/>
      </tp>
    </main>
    <main first="bloomberg.rtd">
      <tp>
        <v>463</v>
        <stp/>
        <stp>##V3_BDPV12</stp>
        <stp>IT0004957814 Corp</stp>
        <stp>days to mty</stp>
        <stp>[BTP Stripping-contributor.xlsx]Contribution!R24C3</stp>
        <tr r="C24" s="7"/>
      </tp>
      <tp>
        <v>4084</v>
        <stp/>
        <stp>##V3_BDPV12</stp>
        <stp>IT0003268882 Corp</stp>
        <stp>days to mty</stp>
        <stp>[BTP Stripping-contributor.xlsx]Contribution!R83C3</stp>
        <tr r="C83" s="7"/>
      </tp>
      <tp>
        <v>5027</v>
        <stp/>
        <stp>##V3_BDPV12</stp>
        <stp>IT0004976558 Corp</stp>
        <stp>days to mty</stp>
        <stp>[BTP Stripping-contributor.xlsx]Contribution!R99C3</stp>
        <tr r="C99" s="7"/>
      </tp>
      <tp>
        <v>4634</v>
        <stp/>
        <stp>##V3_BDPV12</stp>
        <stp>IT0003268924 Corp</stp>
        <stp>days to mty</stp>
        <stp>[BTP Stripping-contributor.xlsx]Contribution!R92C3</stp>
        <tr r="C92" s="7"/>
      </tp>
      <tp>
        <v>3750</v>
        <stp/>
        <stp>##V3_BDPV12</stp>
        <stp>IT0004976483 Corp</stp>
        <stp>days to mty</stp>
        <stp>[BTP Stripping-contributor.xlsx]Contribution!R78C3</stp>
        <tr r="C78" s="7"/>
      </tp>
    </main>
    <main first="marketviewexcelplugin.mkvxp">
      <tp t="e">
        <v>#REF!</v>
        <stp/>
        <stp>0</stp>
        <stp>EUR.CM_DEPTH.XLS_GOVIES.IT0004489610</stp>
        <stp>Bid</stp>
        <tr r="T19" s="4"/>
      </tp>
      <tp t="e">
        <v>#REF!</v>
        <stp/>
        <stp>0</stp>
        <stp>EUR.CM_DEPTH.XLS_GOVIES.IT0004009673</stp>
        <stp>Bid</stp>
        <tr r="T27" s="4"/>
      </tp>
      <tp t="e">
        <v>#REF!</v>
        <stp/>
        <stp>0</stp>
        <stp>EUR.CM_DEPTH.XLS_GOVIES.IT0004759673</stp>
        <stp>Bid</stp>
        <tr r="T30" s="4"/>
      </tp>
      <tp t="e">
        <v>#REF!</v>
        <stp/>
        <stp>0</stp>
        <stp>EUR.CM_DEPTH.XLS_GOVIES.IT0003535157</stp>
        <stp>Bid</stp>
        <tr r="T51" s="4"/>
      </tp>
      <tp t="e">
        <v>#REF!</v>
        <stp/>
        <stp>0</stp>
        <stp>EUR.CM_DEPTH.XLS_GOVIES.IT0005107708</stp>
        <stp>Bid</stp>
        <tr r="T23" s="4"/>
      </tp>
      <tp t="e">
        <v>#REF!</v>
        <stp/>
        <stp>0</stp>
        <stp>EUR.CM_DEPTH.XLS_GOVIES.IT0004513641</stp>
        <stp>Bid</stp>
        <tr r="T40" s="4"/>
      </tp>
      <tp t="e">
        <v>#REF!</v>
        <stp/>
        <stp>0</stp>
        <stp>EUR.CM_DEPTH.XLS_GOVIES.IT0001444378</stp>
        <stp>Bid</stp>
        <tr r="T48" s="4"/>
      </tp>
      <tp t="e">
        <v>#REF!</v>
        <stp/>
        <stp>0</stp>
        <stp>EUR.CM_DEPTH.XLS_GOVIES.IT0004957574</stp>
        <stp>Ask</stp>
        <tr r="U14" s="4"/>
      </tp>
      <tp t="e">
        <v>#REF!</v>
        <stp/>
        <stp>0</stp>
        <stp>EUR.CM_DEPTH.XLS_GOVIES.IT0004801541</stp>
        <stp>Ask</stp>
        <tr r="U32" s="4"/>
      </tp>
      <tp t="e">
        <v>#REF!</v>
        <stp/>
        <stp>0</stp>
        <stp>EUR.CM_DEPTH.XLS_GOVIES.IT0004019581</stp>
        <stp>Ask</stp>
        <tr r="U2" s="4"/>
      </tp>
      <tp t="e">
        <v>#REF!</v>
        <stp/>
        <stp>0</stp>
        <stp>EUR.CM_DEPTH.XLS_GOVIES.IT0005058463</stp>
        <stp>Ask</stp>
        <tr r="U10" s="4"/>
      </tp>
      <tp t="e">
        <v>#REF!</v>
        <stp/>
        <stp>0</stp>
        <stp>EUR.CM_DEPTH.XLS_GOVIES.IT0005023459</stp>
        <stp>Ask</stp>
        <tr r="U6" s="4"/>
      </tp>
      <tp t="e">
        <v>#REF!</v>
        <stp/>
        <stp>0</stp>
        <stp>EUR.CM_DEPTH.XLS_GOVIES.IT0004532559</stp>
        <stp>Ask</stp>
        <tr r="U54" s="4"/>
      </tp>
      <tp t="e">
        <v>#REF!</v>
        <stp/>
        <stp>0</stp>
        <stp>EUR.CM_DEPTH.XLS_GOVIES.IT0003493258</stp>
        <stp>Ask</stp>
        <tr r="U15" s="4"/>
      </tp>
    </main>
    <main first="bloomberg.rtd">
      <tp>
        <v>644</v>
        <stp/>
        <stp>##V3_BDPV12</stp>
        <stp>IT0004957822 Corp</stp>
        <stp>days to mty</stp>
        <stp>[BTP Stripping-contributor.xlsx]Contribution!R27C3</stp>
        <tr r="C27" s="7"/>
      </tp>
      <tp>
        <v>98</v>
        <stp/>
        <stp>##V3_BDPV12</stp>
        <stp>IT0004957798 Corp</stp>
        <stp>days to mty</stp>
        <stp>[BTP Stripping-contributor.xlsx]Contribution!R18C3</stp>
        <tr r="C18" s="7"/>
      </tp>
      <tp>
        <v>705</v>
        <stp/>
        <stp>##V3_BDPV12</stp>
        <stp>IT0001247219 Corp</stp>
        <stp>days to mty</stp>
        <stp>[BTP Stripping-contributor.xlsx]Contribution!R28C3</stp>
        <tr r="C28" s="7"/>
      </tp>
      <tp>
        <v>3903</v>
        <stp/>
        <stp>##V3_BDPV12</stp>
        <stp>IT0003268874 Corp</stp>
        <stp>days to mty</stp>
        <stp>[BTP Stripping-contributor.xlsx]Contribution!R80C3</stp>
        <tr r="C80" s="7"/>
      </tp>
    </main>
    <main first="marketviewexcelplugin.mkvxp">
      <tp t="e">
        <v>#REF!</v>
        <stp/>
        <stp>0</stp>
        <stp>EUR.CM_DEPTH.XLS_GOVIES.IT0005023459</stp>
        <stp>Bid</stp>
        <tr r="T6" s="4"/>
      </tp>
      <tp t="e">
        <v>#REF!</v>
        <stp/>
        <stp>0</stp>
        <stp>EUR.CM_DEPTH.XLS_GOVIES.IT0005058463</stp>
        <stp>Bid</stp>
        <tr r="T10" s="4"/>
      </tp>
      <tp t="e">
        <v>#REF!</v>
        <stp/>
        <stp>0</stp>
        <stp>EUR.CM_DEPTH.XLS_GOVIES.IT0004532559</stp>
        <stp>Bid</stp>
        <tr r="T54" s="4"/>
      </tp>
      <tp t="e">
        <v>#REF!</v>
        <stp/>
        <stp>0</stp>
        <stp>EUR.CM_DEPTH.XLS_GOVIES.IT0003493258</stp>
        <stp>Bid</stp>
        <tr r="T15" s="4"/>
      </tp>
      <tp t="e">
        <v>#REF!</v>
        <stp/>
        <stp>0</stp>
        <stp>EUR.CM_DEPTH.XLS_GOVIES.IT0004801541</stp>
        <stp>Bid</stp>
        <tr r="T32" s="4"/>
      </tp>
      <tp t="e">
        <v>#REF!</v>
        <stp/>
        <stp>0</stp>
        <stp>EUR.CM_DEPTH.XLS_GOVIES.IT0004957574</stp>
        <stp>Bid</stp>
        <tr r="T14" s="4"/>
      </tp>
      <tp t="e">
        <v>#REF!</v>
        <stp/>
        <stp>0</stp>
        <stp>EUR.CM_DEPTH.XLS_GOVIES.IT0004019581</stp>
        <stp>Bid</stp>
        <tr r="T2" s="4"/>
      </tp>
      <tp t="e">
        <v>#REF!</v>
        <stp/>
        <stp>0</stp>
        <stp>EUR.CM_DEPTH.XLS_GOVIES.IT0004009673</stp>
        <stp>Ask</stp>
        <tr r="U27" s="4"/>
      </tp>
      <tp t="e">
        <v>#REF!</v>
        <stp/>
        <stp>0</stp>
        <stp>EUR.CM_DEPTH.XLS_GOVIES.IT0004489610</stp>
        <stp>Ask</stp>
        <tr r="U19" s="4"/>
      </tp>
      <tp t="e">
        <v>#REF!</v>
        <stp/>
        <stp>0</stp>
        <stp>EUR.CM_DEPTH.XLS_GOVIES.IT0001444378</stp>
        <stp>Ask</stp>
        <tr r="U48" s="4"/>
      </tp>
      <tp t="e">
        <v>#REF!</v>
        <stp/>
        <stp>0</stp>
        <stp>EUR.CM_DEPTH.XLS_GOVIES.IT0003535157</stp>
        <stp>Ask</stp>
        <tr r="U51" s="4"/>
      </tp>
      <tp t="e">
        <v>#REF!</v>
        <stp/>
        <stp>0</stp>
        <stp>EUR.CM_DEPTH.XLS_GOVIES.IT0004759673</stp>
        <stp>Ask</stp>
        <tr r="U30" s="4"/>
      </tp>
      <tp t="e">
        <v>#REF!</v>
        <stp/>
        <stp>0</stp>
        <stp>EUR.CM_DEPTH.XLS_GOVIES.IT0004513641</stp>
        <stp>Ask</stp>
        <tr r="U40" s="4"/>
      </tp>
      <tp t="e">
        <v>#REF!</v>
        <stp/>
        <stp>0</stp>
        <stp>EUR.CM_DEPTH.XLS_GOVIES.IT0005107708</stp>
        <stp>Ask</stp>
        <tr r="U23" s="4"/>
      </tp>
    </main>
    <main first="bloomberg.rtd">
      <tp>
        <v>2623</v>
        <stp/>
        <stp>##V3_BDPV12</stp>
        <stp>IT0004848708 Corp</stp>
        <stp>days to mty</stp>
        <stp>[BTP Stripping-contributor.xlsx]Contribution!R59C3</stp>
        <tr r="C59" s="7"/>
      </tp>
      <tp>
        <v>1346</v>
        <stp/>
        <stp>##V3_BDPV12</stp>
        <stp>IT0004848617 Corp</stp>
        <stp>days to mty</stp>
        <stp>[BTP Stripping-contributor.xlsx]Contribution!R38C3</stp>
        <tr r="C38" s="7"/>
      </tp>
      <tp>
        <v>797</v>
        <stp/>
        <stp>##V3_BDPV12</stp>
        <stp>IT0004848716 Corp</stp>
        <stp>days to mty</stp>
        <stp>[BTP Stripping-contributor.xlsx]Contribution!R29C3</stp>
        <tr r="C29" s="7"/>
      </tp>
      <tp>
        <v>1985</v>
        <stp/>
        <stp>##V3_BDPV12</stp>
        <stp>IT0001247284 Corp</stp>
        <stp>days to mty</stp>
        <stp>[BTP Stripping-contributor.xlsx]Contribution!R49C3</stp>
        <tr r="C49" s="7"/>
      </tp>
      <tp>
        <v>2470</v>
        <stp/>
        <stp>##V3_BDPV12</stp>
        <stp>IT0004957921 Corp</stp>
        <stp>days to mty</stp>
        <stp>[BTP Stripping-contributor.xlsx]Contribution!R57C3</stp>
        <tr r="C57" s="7"/>
      </tp>
      <tp>
        <v>1193</v>
        <stp/>
        <stp>##V3_BDPV12</stp>
        <stp>IT0004957855 Corp</stp>
        <stp>days to mty</stp>
        <stp>[BTP Stripping-contributor.xlsx]Contribution!R36C3</stp>
        <tr r="C36" s="7"/>
      </tp>
      <tp>
        <v>3354</v>
        <stp/>
        <stp>##V3_BDPV12</stp>
        <stp>IT0003268833 Corp</stp>
        <stp>days to mty</stp>
        <stp>[BTP Stripping-contributor.xlsx]Contribution!R71C3</stp>
        <tr r="C71" s="7"/>
      </tp>
      <tp>
        <v>2531</v>
        <stp/>
        <stp>##V3_BDPV12</stp>
        <stp>IT0001247318 Corp</stp>
        <stp>days to mty</stp>
        <stp>[BTP Stripping-contributor.xlsx]Contribution!R58C3</stp>
        <tr r="C58" s="7"/>
      </tp>
    </main>
    <main first="marketviewexcelplugin.mkvxp">
      <tp t="e">
        <v>#REF!</v>
        <stp/>
        <stp>0</stp>
        <stp>EUR.CM_DEPTH.XLS_GOVIES.IT0005001547</stp>
        <stp>Bid</stp>
        <tr r="T38" s="4"/>
      </tp>
      <tp t="e">
        <v>#REF!</v>
        <stp/>
        <stp>0</stp>
        <stp>EUR.CM_DEPTH.XLS_GOVIES.IT0004793474</stp>
        <stp>Bid</stp>
        <tr r="T5" s="4"/>
      </tp>
      <tp t="e">
        <v>#REF!</v>
        <stp/>
        <stp>0</stp>
        <stp>EUR.CM_DEPTH.XLS_GOVIES.IT0005030504</stp>
        <stp>Bid</stp>
        <tr r="T18" s="4"/>
      </tp>
      <tp t="e">
        <v>#REF!</v>
        <stp/>
        <stp>0</stp>
        <stp>EUR.CM_DEPTH.XLS_GOVIES.IT0004953417</stp>
        <stp>Bid</stp>
        <tr r="T37" s="4"/>
      </tp>
      <tp t="e">
        <v>#REF!</v>
        <stp/>
        <stp>0</stp>
        <stp>EUR.CM_DEPTH.XLS_GOVIES.IT0004966401</stp>
        <stp>Bid</stp>
        <tr r="T26" s="4"/>
      </tp>
      <tp t="e">
        <v>#REF!</v>
        <stp/>
        <stp>0</stp>
        <stp>EUR.CM_DEPTH.XLS_GOVIES.IT0004820426</stp>
        <stp>Bid</stp>
        <tr r="T7" s="4"/>
      </tp>
      <tp t="e">
        <v>#REF!</v>
        <stp/>
        <stp>0</stp>
        <stp>EUR.CM_DEPTH.XLS_GOVIES.IT0004273493</stp>
        <stp>Bid</stp>
        <tr r="T11" s="4"/>
      </tp>
      <tp t="e">
        <v>#REF!</v>
        <stp/>
        <stp>0</stp>
        <stp>EUR.CM_DEPTH.XLS_GOVIES.IT0004164775</stp>
        <stp>Ask</stp>
        <tr r="U4" s="4"/>
      </tp>
      <tp t="e">
        <v>#REF!</v>
        <stp/>
        <stp>0</stp>
        <stp>EUR.CM_DEPTH.XLS_GOVIES.IT0004644735</stp>
        <stp>Ask</stp>
        <tr r="U42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3"/>
  <sheetViews>
    <sheetView workbookViewId="0">
      <selection activeCell="B13" sqref="B13"/>
    </sheetView>
  </sheetViews>
  <sheetFormatPr defaultColWidth="9.140625" defaultRowHeight="11.25" x14ac:dyDescent="0.2"/>
  <cols>
    <col min="1" max="1" width="25.5703125" style="27" bestFit="1" customWidth="1"/>
    <col min="2" max="2" width="31.7109375" style="27" bestFit="1" customWidth="1"/>
    <col min="3" max="3" width="15.42578125" style="27" bestFit="1" customWidth="1"/>
    <col min="4" max="4" width="13.140625" style="27" bestFit="1" customWidth="1"/>
    <col min="5" max="5" width="9.140625" style="27"/>
    <col min="6" max="7" width="15.140625" style="27" bestFit="1" customWidth="1"/>
    <col min="8" max="8" width="23.42578125" style="27" bestFit="1" customWidth="1"/>
    <col min="9" max="16384" width="9.140625" style="27"/>
  </cols>
  <sheetData>
    <row r="1" spans="1:2" x14ac:dyDescent="0.2">
      <c r="A1" s="64" t="s">
        <v>17</v>
      </c>
      <c r="B1" s="93"/>
    </row>
    <row r="2" spans="1:2" x14ac:dyDescent="0.2">
      <c r="A2" s="84" t="s">
        <v>102</v>
      </c>
      <c r="B2" s="94">
        <f>_xll.qlSettingsEvaluationDate(Trigger)</f>
        <v>42514</v>
      </c>
    </row>
    <row r="4" spans="1:2" x14ac:dyDescent="0.2">
      <c r="A4" s="64" t="s">
        <v>97</v>
      </c>
      <c r="B4" s="95">
        <f>_xll.qlCalendarAdvance("TARGET",B2,"2D")</f>
        <v>42516</v>
      </c>
    </row>
    <row r="5" spans="1:2" x14ac:dyDescent="0.2">
      <c r="A5" s="66" t="s">
        <v>16</v>
      </c>
      <c r="B5" s="43" t="s">
        <v>526</v>
      </c>
    </row>
    <row r="6" spans="1:2" x14ac:dyDescent="0.2">
      <c r="A6" s="66" t="s">
        <v>15</v>
      </c>
      <c r="B6" s="43" t="s">
        <v>13</v>
      </c>
    </row>
    <row r="7" spans="1:2" x14ac:dyDescent="0.2">
      <c r="A7" s="84" t="s">
        <v>14</v>
      </c>
      <c r="B7" s="53" t="s">
        <v>527</v>
      </c>
    </row>
    <row r="9" spans="1:2" x14ac:dyDescent="0.2">
      <c r="A9" s="64" t="s">
        <v>20</v>
      </c>
      <c r="B9" s="65" t="s">
        <v>21</v>
      </c>
    </row>
    <row r="10" spans="1:2" x14ac:dyDescent="0.2">
      <c r="A10" s="84" t="s">
        <v>22</v>
      </c>
      <c r="B10" s="53" t="b">
        <v>0</v>
      </c>
    </row>
    <row r="12" spans="1:2" x14ac:dyDescent="0.2">
      <c r="A12" s="88" t="s">
        <v>108</v>
      </c>
      <c r="B12" s="96" t="str">
        <f>VLOOKUP(ReferenceBondDescription,BtpCurve!$B$2:$K$56,10,FALSE)</f>
        <v>obj_00a06#0000</v>
      </c>
    </row>
    <row r="14" spans="1:2" x14ac:dyDescent="0.2">
      <c r="A14" s="88" t="s">
        <v>23</v>
      </c>
      <c r="B14" s="96" t="s">
        <v>530</v>
      </c>
    </row>
    <row r="16" spans="1:2" x14ac:dyDescent="0.2">
      <c r="A16" s="64" t="s">
        <v>93</v>
      </c>
      <c r="B16" s="65" t="s">
        <v>91</v>
      </c>
    </row>
    <row r="17" spans="1:3" x14ac:dyDescent="0.2">
      <c r="A17" s="84" t="s">
        <v>94</v>
      </c>
      <c r="B17" s="53" t="s">
        <v>92</v>
      </c>
    </row>
    <row r="18" spans="1:3" x14ac:dyDescent="0.2">
      <c r="A18" s="41"/>
      <c r="B18" s="41"/>
    </row>
    <row r="19" spans="1:3" x14ac:dyDescent="0.2">
      <c r="A19" s="88" t="s">
        <v>112</v>
      </c>
      <c r="B19" s="96" t="b">
        <v>0</v>
      </c>
    </row>
    <row r="20" spans="1:3" x14ac:dyDescent="0.2">
      <c r="A20" s="88" t="s">
        <v>110</v>
      </c>
      <c r="B20" s="96" t="b">
        <v>1</v>
      </c>
    </row>
    <row r="21" spans="1:3" x14ac:dyDescent="0.2">
      <c r="A21" s="88" t="s">
        <v>105</v>
      </c>
      <c r="B21" s="96" t="str">
        <f>_xll.qlPiecewiseYieldCurve(,2,"TARGET",_xll.ohFilter(BtpCurve!J2:J80,BtpCurve!X2:X80),,,,,YieldCurveTraits,YieldCurveInterpolation)</f>
        <v>obj_00aab#0000</v>
      </c>
    </row>
    <row r="22" spans="1:3" x14ac:dyDescent="0.2">
      <c r="A22" s="27" t="str">
        <f>_xll.ohRangeRetrieveError(BtpCurve)</f>
        <v/>
      </c>
      <c r="B22" s="27" t="b">
        <f>_xll.qlExtrapolatorEnableExtrapolation(BtpCurve,C22)</f>
        <v>1</v>
      </c>
      <c r="C22" s="27" t="b">
        <v>1</v>
      </c>
    </row>
    <row r="23" spans="1:3" x14ac:dyDescent="0.2">
      <c r="B23" s="27">
        <f>_xll.ohTrigger(BtpCurve!N2:N41,PriceSelector)</f>
        <v>90</v>
      </c>
    </row>
  </sheetData>
  <phoneticPr fontId="2" type="noConversion"/>
  <dataValidations count="5">
    <dataValidation type="list" allowBlank="1" showInputMessage="1" showErrorMessage="1" sqref="B16">
      <formula1>"Discount,ZeroYield,ForwardRate"</formula1>
    </dataValidation>
    <dataValidation type="list" allowBlank="1" showInputMessage="1" showErrorMessage="1" sqref="B17:B18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  <dataValidation type="list" allowBlank="1" showInputMessage="1" showErrorMessage="1" sqref="B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B6">
      <formula1>"Simple,Compounded,Continuous,SimpleThenCompounded"</formula1>
    </dataValidation>
    <dataValidation type="list" allowBlank="1" showInputMessage="1" showErrorMessage="1" sqref="B7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80"/>
  <sheetViews>
    <sheetView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O55" sqref="O55"/>
    </sheetView>
  </sheetViews>
  <sheetFormatPr defaultColWidth="8" defaultRowHeight="11.25" outlineLevelCol="1" x14ac:dyDescent="0.2"/>
  <cols>
    <col min="1" max="1" width="2.28515625" style="2" customWidth="1"/>
    <col min="2" max="2" width="22.42578125" style="2" bestFit="1" customWidth="1"/>
    <col min="3" max="3" width="13.140625" style="2" bestFit="1" customWidth="1"/>
    <col min="4" max="4" width="17.28515625" style="2" customWidth="1"/>
    <col min="5" max="5" width="8" style="2" hidden="1" customWidth="1" outlineLevel="1"/>
    <col min="6" max="6" width="11" style="2" hidden="1" customWidth="1" outlineLevel="1"/>
    <col min="7" max="8" width="19.28515625" style="2" hidden="1" customWidth="1" outlineLevel="1"/>
    <col min="9" max="12" width="15.140625" style="2" hidden="1" customWidth="1" outlineLevel="1"/>
    <col min="13" max="13" width="10" style="2" hidden="1" customWidth="1" outlineLevel="1"/>
    <col min="14" max="14" width="8.140625" style="2" hidden="1" customWidth="1" outlineLevel="1"/>
    <col min="15" max="15" width="9" style="2" bestFit="1" customWidth="1" collapsed="1"/>
    <col min="16" max="16" width="7" style="2" bestFit="1" customWidth="1"/>
    <col min="17" max="17" width="12" style="2" hidden="1" customWidth="1" outlineLevel="1"/>
    <col min="18" max="21" width="8.140625" style="2" hidden="1" customWidth="1" outlineLevel="1"/>
    <col min="22" max="22" width="10" style="2" bestFit="1" customWidth="1" collapsed="1"/>
    <col min="23" max="23" width="8" style="2" customWidth="1"/>
    <col min="24" max="24" width="9.7109375" style="2" customWidth="1"/>
    <col min="25" max="25" width="8" style="2" bestFit="1" customWidth="1"/>
    <col min="26" max="26" width="6.85546875" style="2" customWidth="1"/>
    <col min="27" max="27" width="8" style="2" bestFit="1" customWidth="1"/>
    <col min="28" max="28" width="21.42578125" style="2" bestFit="1" customWidth="1"/>
    <col min="29" max="29" width="6" style="2" bestFit="1" customWidth="1"/>
    <col min="30" max="30" width="5.7109375" style="2" customWidth="1"/>
    <col min="31" max="31" width="7" style="2" bestFit="1" customWidth="1"/>
    <col min="32" max="32" width="7" style="2" customWidth="1"/>
    <col min="33" max="33" width="8" style="2" customWidth="1"/>
    <col min="34" max="34" width="8.42578125" style="2" customWidth="1"/>
    <col min="35" max="35" width="13.140625" style="2" bestFit="1" customWidth="1"/>
    <col min="36" max="16384" width="8" style="2"/>
  </cols>
  <sheetData>
    <row r="1" spans="1:41" ht="33.75" x14ac:dyDescent="0.2">
      <c r="A1" s="3"/>
      <c r="B1" s="9" t="s">
        <v>2</v>
      </c>
      <c r="C1" s="10" t="s">
        <v>101</v>
      </c>
      <c r="D1" s="10" t="s">
        <v>3</v>
      </c>
      <c r="E1" s="10" t="s">
        <v>4</v>
      </c>
      <c r="F1" s="11" t="s">
        <v>5</v>
      </c>
      <c r="G1" s="10" t="s">
        <v>98</v>
      </c>
      <c r="H1" s="9" t="s">
        <v>100</v>
      </c>
      <c r="I1" s="87" t="s">
        <v>103</v>
      </c>
      <c r="J1" s="16" t="s">
        <v>12</v>
      </c>
      <c r="K1" s="17" t="s">
        <v>104</v>
      </c>
      <c r="L1" s="10" t="str">
        <f>_xll.qlBondEngine(,'General Settings'!B21)</f>
        <v>obj_00aac#0000</v>
      </c>
      <c r="M1" s="10" t="s">
        <v>18</v>
      </c>
      <c r="N1" s="9" t="s">
        <v>99</v>
      </c>
      <c r="O1" s="9" t="s">
        <v>19</v>
      </c>
      <c r="P1" s="11" t="s">
        <v>24</v>
      </c>
      <c r="Q1" s="10" t="str">
        <f>_xll.RData(Q2:Q80,R1:S1,"RTFEED:IDN",,,R2)</f>
        <v>Updated at 10:36:50</v>
      </c>
      <c r="R1" s="10" t="s">
        <v>0</v>
      </c>
      <c r="S1" s="10" t="s">
        <v>1</v>
      </c>
      <c r="T1" s="10" t="s">
        <v>493</v>
      </c>
      <c r="U1" s="11" t="s">
        <v>494</v>
      </c>
      <c r="V1" s="10" t="s">
        <v>6</v>
      </c>
      <c r="W1" s="10" t="s">
        <v>107</v>
      </c>
      <c r="X1" s="10" t="s">
        <v>106</v>
      </c>
      <c r="Y1" s="11" t="s">
        <v>25</v>
      </c>
      <c r="Z1" s="7"/>
      <c r="AB1" s="28"/>
      <c r="AC1" s="28"/>
      <c r="AD1" s="28"/>
      <c r="AE1" s="28"/>
      <c r="AF1" s="28"/>
      <c r="AG1" s="28"/>
    </row>
    <row r="2" spans="1:41" x14ac:dyDescent="0.2">
      <c r="A2" s="4"/>
      <c r="B2" s="18" t="str">
        <f>IF(ISNA(C2),NA(),_xll.qlBondDescription(C2,Trigger))</f>
        <v>BTP 2016-08-01 3.75%</v>
      </c>
      <c r="C2" s="12" t="str">
        <f t="array" ref="C2:C80">_xll.qlBondAlive(_xll.ohGroupList("StrippableBTPs",Trigger))</f>
        <v>IT0004019581</v>
      </c>
      <c r="D2" s="14">
        <f>IF(ISNA(C2),NA(),_xll.qlBondMaturityDate(C2,Trigger))</f>
        <v>42583</v>
      </c>
      <c r="E2" s="15">
        <f>IF(ISNA(C2),NA(),_xll.qlBondNextCouponRate(C2,BondSettlementDate))</f>
        <v>3.7499999999999999E-2</v>
      </c>
      <c r="F2" s="24">
        <f>IF(ISNA(C2),NA(),_xll.qlBondRedemptionAmount(C2,Trigger))</f>
        <v>100</v>
      </c>
      <c r="G2" s="13" t="str">
        <f>$C2&amp;"_Quote"</f>
        <v>IT0004019581_Quote</v>
      </c>
      <c r="H2" s="23" t="str">
        <f>G2</f>
        <v>IT0004019581_Quote</v>
      </c>
      <c r="I2" s="12" t="str">
        <f>IF(LEFT(B2,3)="BTP",_xll.qlBTP2(,B2,D2,E2,F2,,,,Trigger),_xll.qlCCTEU(,B2,D2,E2,F2,,,,Trigger))</f>
        <v>obj_00a47#0000</v>
      </c>
      <c r="J2" s="25" t="str">
        <f>_xll.qlBondHelper(,H2,I2)</f>
        <v>obj_00a9d#0000</v>
      </c>
      <c r="K2" s="22" t="str">
        <f>_xll.qlBTP2(,B2,D2,E2,F2,,,,Trigger)</f>
        <v>obj_00a6e#0000</v>
      </c>
      <c r="L2" s="22" t="b">
        <f>_xll.qlInstrumentSetPricingEngine(K2,BondPricingEngine)</f>
        <v>1</v>
      </c>
      <c r="M2" s="19">
        <f>_xll.qlBondCleanPrice(K2,AND(ISERROR(L2),ISERROR(N2)))</f>
        <v>100.75350274725277</v>
      </c>
      <c r="N2" s="23">
        <f>_xll.qlSimpleQuoteSetValue(G2,O2)</f>
        <v>0</v>
      </c>
      <c r="O2" s="23">
        <f t="shared" ref="O2:O33" si="0">IF(ISNA(C2),NA(),IF(ISERROR((T2+U2)/2),IF(PriceSelector="MID",(R2+S2)/2,IF(PriceSelector="BID",R2,S2)),IF(PriceSelector="MID",(T2+U2)/2,IF(PriceSelector="BID",T2,U2))))</f>
        <v>100.7535</v>
      </c>
      <c r="P2" s="20">
        <f t="shared" ref="P2:P33" si="1">IF(ISNA(C2),NA(),S2-R2)</f>
        <v>4.4999999999987494E-2</v>
      </c>
      <c r="Q2" s="22" t="str">
        <f t="shared" ref="Q2:Q33" si="2">"IT"&amp;(LEFT(RIGHT(C2,7),6)*1)&amp;"=TT"</f>
        <v>IT401958=TT</v>
      </c>
      <c r="R2" s="19">
        <v>100.73100000000001</v>
      </c>
      <c r="S2" s="19">
        <v>100.776</v>
      </c>
      <c r="T2" s="13" t="e">
        <f>_xll.MKV("EUR.CM_DEPTH.XLS_GOVIES."&amp;$C2,T$1)</f>
        <v>#REF!</v>
      </c>
      <c r="U2" s="13" t="e">
        <f>_xll.MKV("EUR.CM_DEPTH.XLS_GOVIES."&amp;$C2,U$1)</f>
        <v>#REF!</v>
      </c>
      <c r="V2" s="21">
        <f>IF(ISNA(C2),NA(),_xll.qlBondYieldFromCleanPrice(C2,O2,YieldDayCounter,YieldCompounding,YieldFrequency))</f>
        <v>-3.3662990994378886E-3</v>
      </c>
      <c r="W2" s="15" t="b">
        <v>1</v>
      </c>
      <c r="X2" s="22" t="b">
        <f t="shared" ref="X2:X33" si="3">IF(ISNA(C2),FALSE,IF(OR(LEFT(B2,3)="CCT",ExcludeMarchSeptember,NOT(IgnoreResiduePremium)),FALSE,IF((W2),TRUE,FALSE)))</f>
        <v>1</v>
      </c>
      <c r="Y2" s="20">
        <f>IF(ISNA(C2),NA(),M2-_xll.qlQuoteValue(H2))</f>
        <v>2.7472527648342293E-6</v>
      </c>
      <c r="Z2" s="8"/>
      <c r="AA2" s="1"/>
      <c r="AB2" s="64" t="str">
        <f t="shared" ref="AB2:AB33" si="4">+B2</f>
        <v>BTP 2016-08-01 3.75%</v>
      </c>
      <c r="AC2" s="132">
        <f>_xll.BDP(C2&amp;" Corp", "days to mty")</f>
        <v>67</v>
      </c>
      <c r="AD2" s="135">
        <f>IF(ISNA(ROUND(VLOOKUP(AC2,Contribution!C:J,8,FALSE),2)),"",ROUND(VLOOKUP(AC2,Contribution!C:J,8,FALSE),2))</f>
        <v>-0.33</v>
      </c>
      <c r="AE2" s="133">
        <f>IFERROR((AD2-V2*100)*100,"")</f>
        <v>0.66299099437888698</v>
      </c>
      <c r="AF2" s="1"/>
      <c r="AG2" s="1"/>
      <c r="AH2" s="1"/>
    </row>
    <row r="3" spans="1:41" x14ac:dyDescent="0.2">
      <c r="A3" s="4"/>
      <c r="B3" s="18" t="str">
        <f>IF(ISNA(C3),NA(),_xll.qlBondDescription(C3,Trigger))</f>
        <v>BTP 2016-09-15 4.75%</v>
      </c>
      <c r="C3" s="12" t="str">
        <v>IT0004761950</v>
      </c>
      <c r="D3" s="14">
        <f>IF(ISNA(C3),NA(),_xll.qlBondMaturityDate(C3,Trigger))</f>
        <v>42628</v>
      </c>
      <c r="E3" s="15">
        <f>IF(ISNA(C3),NA(),_xll.qlBondNextCouponRate(C3,BondSettlementDate))</f>
        <v>4.7500000000000001E-2</v>
      </c>
      <c r="F3" s="24">
        <f>IF(ISNA(C3),NA(),_xll.qlBondRedemptionAmount(C3,Trigger))</f>
        <v>100</v>
      </c>
      <c r="G3" s="13" t="str">
        <f t="shared" ref="G3:G66" si="5">$C3&amp;"_Quote"</f>
        <v>IT0004761950_Quote</v>
      </c>
      <c r="H3" s="23" t="str">
        <f t="shared" ref="H3:H50" si="6">G3</f>
        <v>IT0004761950_Quote</v>
      </c>
      <c r="I3" s="12" t="str">
        <f>IF(LEFT(B3,3)="BTP",_xll.qlBTP2(,B3,D3,E3,F3,,,,Trigger),_xll.qlCCTEU(,B3,D3,E3,F3,,,,Trigger))</f>
        <v>obj_009ff#0000</v>
      </c>
      <c r="J3" s="25" t="str">
        <f>_xll.qlBondHelper(,H3,I3)</f>
        <v>obj_00a4c#0000</v>
      </c>
      <c r="K3" s="22" t="str">
        <f>_xll.qlBTP2(,B3,D3,E3,F3,,,,Trigger)</f>
        <v>obj_00a02#0000</v>
      </c>
      <c r="L3" s="22" t="b">
        <f>_xll.qlInstrumentSetPricingEngine(K3,BondPricingEngine)</f>
        <v>1</v>
      </c>
      <c r="M3" s="19">
        <f>_xll.qlBondCleanPrice(K3,AND(ISERROR(L3),ISERROR(N3)))</f>
        <v>101.54649782608696</v>
      </c>
      <c r="N3" s="23">
        <f>_xll.qlSimpleQuoteSetValue(G3,O3)</f>
        <v>0</v>
      </c>
      <c r="O3" s="23">
        <f t="shared" si="0"/>
        <v>101.54650000000001</v>
      </c>
      <c r="P3" s="20">
        <f t="shared" si="1"/>
        <v>1.7000000000010118E-2</v>
      </c>
      <c r="Q3" s="22" t="str">
        <f t="shared" si="2"/>
        <v>IT476195=TT</v>
      </c>
      <c r="R3" s="19">
        <v>101.538</v>
      </c>
      <c r="S3" s="19">
        <v>101.55500000000001</v>
      </c>
      <c r="T3" s="13" t="e">
        <f>_xll.MKV("EUR.CM_DEPTH.XLS_GOVIES."&amp;$C3,T$1)</f>
        <v>#REF!</v>
      </c>
      <c r="U3" s="13" t="e">
        <f>_xll.MKV("EUR.CM_DEPTH.XLS_GOVIES."&amp;$C3,U$1)</f>
        <v>#REF!</v>
      </c>
      <c r="V3" s="21">
        <f>IF(ISNA(C3),NA(),_xll.qlBondYieldFromCleanPrice(C3,O3,YieldDayCounter,YieldCompounding,YieldFrequency))</f>
        <v>-3.2299487899753198E-3</v>
      </c>
      <c r="W3" s="15" t="b">
        <v>1</v>
      </c>
      <c r="X3" s="22" t="b">
        <f t="shared" si="3"/>
        <v>1</v>
      </c>
      <c r="Y3" s="20">
        <f>IF(ISNA(C3),NA(),M3-_xll.qlQuoteValue(H3))</f>
        <v>-2.1739130460218803E-6</v>
      </c>
      <c r="Z3" s="8"/>
      <c r="AA3" s="1"/>
      <c r="AB3" s="66" t="str">
        <f t="shared" si="4"/>
        <v>BTP 2016-09-15 4.75%</v>
      </c>
      <c r="AC3" s="131">
        <f>_xll.BDP(C3&amp;" Corp", "days to mty")</f>
        <v>112</v>
      </c>
      <c r="AD3" s="136" t="str">
        <f>IF(ISNA(ROUND(VLOOKUP(AC3,Contribution!C:J,8,FALSE),2)),"",ROUND(VLOOKUP(AC3,Contribution!C:J,8,FALSE),2))</f>
        <v/>
      </c>
      <c r="AE3" s="134" t="str">
        <f t="shared" ref="AE3:AE48" si="7">IFERROR((AD3-V3*100)*100,"")</f>
        <v/>
      </c>
      <c r="AF3" s="1"/>
      <c r="AG3" s="1"/>
      <c r="AH3" s="1"/>
    </row>
    <row r="4" spans="1:41" x14ac:dyDescent="0.2">
      <c r="A4" s="4"/>
      <c r="B4" s="18" t="str">
        <f>IF(ISNA(C4),NA(),_xll.qlBondDescription(C4,Trigger))</f>
        <v>BTP 2017-02-01 4%</v>
      </c>
      <c r="C4" s="12" t="str">
        <v>IT0004164775</v>
      </c>
      <c r="D4" s="14">
        <f>IF(ISNA(C4),NA(),_xll.qlBondMaturityDate(C4,Trigger))</f>
        <v>42767</v>
      </c>
      <c r="E4" s="15">
        <f>IF(ISNA(C4),NA(),_xll.qlBondNextCouponRate(C4,BondSettlementDate))</f>
        <v>0.04</v>
      </c>
      <c r="F4" s="24">
        <f>IF(ISNA(C4),NA(),_xll.qlBondRedemptionAmount(C4,Trigger))</f>
        <v>100</v>
      </c>
      <c r="G4" s="13" t="str">
        <f t="shared" si="5"/>
        <v>IT0004164775_Quote</v>
      </c>
      <c r="H4" s="23" t="str">
        <f t="shared" si="6"/>
        <v>IT0004164775_Quote</v>
      </c>
      <c r="I4" s="12" t="str">
        <f>IF(LEFT(B4,3)="BTP",_xll.qlBTP2(,B4,D4,E4,F4,,,,Trigger),_xll.qlCCTEU(,B4,D4,E4,F4,,,,Trigger))</f>
        <v>obj_00a6d#0000</v>
      </c>
      <c r="J4" s="25" t="str">
        <f>_xll.qlBondHelper(,H4,I4)</f>
        <v>obj_00a8a#0000</v>
      </c>
      <c r="K4" s="22" t="str">
        <f>_xll.qlBTP2(,B4,D4,E4,F4,,,,Trigger)</f>
        <v>obj_00a51#0000</v>
      </c>
      <c r="L4" s="22" t="b">
        <f>_xll.qlInstrumentSetPricingEngine(K4,BondPricingEngine)</f>
        <v>1</v>
      </c>
      <c r="M4" s="19">
        <f>_xll.qlBondCleanPrice(K4,AND(ISERROR(L4),ISERROR(N4)))</f>
        <v>102.86299626373626</v>
      </c>
      <c r="N4" s="23">
        <f>_xll.qlSimpleQuoteSetValue(G4,O4)</f>
        <v>0</v>
      </c>
      <c r="O4" s="23">
        <f t="shared" si="0"/>
        <v>102.863</v>
      </c>
      <c r="P4" s="20">
        <f t="shared" si="1"/>
        <v>6.0000000000002274E-3</v>
      </c>
      <c r="Q4" s="22" t="str">
        <f t="shared" si="2"/>
        <v>IT416477=TT</v>
      </c>
      <c r="R4" s="19">
        <v>102.86</v>
      </c>
      <c r="S4" s="19">
        <v>102.866</v>
      </c>
      <c r="T4" s="13" t="e">
        <f>_xll.MKV("EUR.CM_DEPTH.XLS_GOVIES."&amp;$C4,T$1)</f>
        <v>#REF!</v>
      </c>
      <c r="U4" s="13" t="e">
        <f>_xll.MKV("EUR.CM_DEPTH.XLS_GOVIES."&amp;$C4,U$1)</f>
        <v>#REF!</v>
      </c>
      <c r="V4" s="21">
        <f>IF(ISNA(C4),NA(),_xll.qlBondYieldFromCleanPrice(C4,O4,YieldDayCounter,YieldCompounding,YieldFrequency))</f>
        <v>-1.8041429642215332E-3</v>
      </c>
      <c r="W4" s="15" t="b">
        <v>1</v>
      </c>
      <c r="X4" s="22" t="b">
        <f t="shared" si="3"/>
        <v>1</v>
      </c>
      <c r="Y4" s="20">
        <f>IF(ISNA(C4),NA(),M4-_xll.qlQuoteValue(H4))</f>
        <v>-3.7362637357318818E-6</v>
      </c>
      <c r="Z4" s="8"/>
      <c r="AA4" s="1"/>
      <c r="AB4" s="66" t="str">
        <f t="shared" si="4"/>
        <v>BTP 2017-02-01 4%</v>
      </c>
      <c r="AC4" s="131">
        <f>_xll.BDP(C4&amp;" Corp", "days to mty")</f>
        <v>251</v>
      </c>
      <c r="AD4" s="136">
        <f>IF(ISNA(ROUND(VLOOKUP(AC4,Contribution!C:J,8,FALSE),2)),"",ROUND(VLOOKUP(AC4,Contribution!C:J,8,FALSE),2))</f>
        <v>-0.18</v>
      </c>
      <c r="AE4" s="134">
        <f t="shared" si="7"/>
        <v>4.1429642215332074E-2</v>
      </c>
      <c r="AF4" s="1"/>
      <c r="AG4" s="1"/>
      <c r="AH4" s="1"/>
      <c r="AN4" s="2">
        <v>100.307</v>
      </c>
      <c r="AO4" s="2">
        <v>100.313</v>
      </c>
    </row>
    <row r="5" spans="1:41" x14ac:dyDescent="0.2">
      <c r="A5" s="4"/>
      <c r="B5" s="18" t="str">
        <f>IF(ISNA(C5),NA(),_xll.qlBondDescription(C5,Trigger))</f>
        <v>BTP 2017-05-01 4.75%</v>
      </c>
      <c r="C5" s="12" t="str">
        <v>IT0004793474</v>
      </c>
      <c r="D5" s="14">
        <f>IF(ISNA(C5),NA(),_xll.qlBondMaturityDate(C5,Trigger))</f>
        <v>42856</v>
      </c>
      <c r="E5" s="15">
        <f>IF(ISNA(C5),NA(),_xll.qlBondNextCouponRate(C5,BondSettlementDate))</f>
        <v>4.7500000000000001E-2</v>
      </c>
      <c r="F5" s="24">
        <f>IF(ISNA(C5),NA(),_xll.qlBondRedemptionAmount(C5,Trigger))</f>
        <v>100</v>
      </c>
      <c r="G5" s="13" t="str">
        <f t="shared" si="5"/>
        <v>IT0004793474_Quote</v>
      </c>
      <c r="H5" s="23" t="str">
        <f t="shared" si="6"/>
        <v>IT0004793474_Quote</v>
      </c>
      <c r="I5" s="12" t="str">
        <f>IF(LEFT(B5,3)="BTP",_xll.qlBTP2(,B5,D5,E5,F5,,,,Trigger),_xll.qlCCTEU(,B5,D5,E5,F5,,,,Trigger))</f>
        <v>obj_00a6f#0000</v>
      </c>
      <c r="J5" s="25" t="str">
        <f>_xll.qlBondHelper(,H5,I5)</f>
        <v>obj_00a83#0000</v>
      </c>
      <c r="K5" s="22" t="str">
        <f>_xll.qlBTP2(,B5,D5,E5,F5,,,,Trigger)</f>
        <v>obj_00a66#0000</v>
      </c>
      <c r="L5" s="22" t="b">
        <f>_xll.qlInstrumentSetPricingEngine(K5,BondPricingEngine)</f>
        <v>1</v>
      </c>
      <c r="M5" s="19">
        <f>_xll.qlBondCleanPrice(K5,AND(ISERROR(L5),ISERROR(N5)))</f>
        <v>104.58250021739133</v>
      </c>
      <c r="N5" s="23">
        <f>_xll.qlSimpleQuoteSetValue(G5,O5)</f>
        <v>0</v>
      </c>
      <c r="O5" s="23">
        <f t="shared" si="0"/>
        <v>104.58250000000001</v>
      </c>
      <c r="P5" s="20">
        <f t="shared" si="1"/>
        <v>1.1000000000009891E-2</v>
      </c>
      <c r="Q5" s="22" t="str">
        <f t="shared" si="2"/>
        <v>IT479347=TT</v>
      </c>
      <c r="R5" s="19">
        <v>104.577</v>
      </c>
      <c r="S5" s="19">
        <v>104.58800000000001</v>
      </c>
      <c r="T5" s="13" t="e">
        <f>_xll.MKV("EUR.CM_DEPTH.XLS_GOVIES."&amp;$C5,T$1)</f>
        <v>#REF!</v>
      </c>
      <c r="U5" s="13" t="e">
        <f>_xll.MKV("EUR.CM_DEPTH.XLS_GOVIES."&amp;$C5,U$1)</f>
        <v>#REF!</v>
      </c>
      <c r="V5" s="21">
        <f>IF(ISNA(C5),NA(),_xll.qlBondYieldFromCleanPrice(C5,O5,YieldDayCounter,YieldCompounding,YieldFrequency))</f>
        <v>-1.6019738019630273E-3</v>
      </c>
      <c r="W5" s="15" t="b">
        <v>1</v>
      </c>
      <c r="X5" s="22" t="b">
        <f t="shared" si="3"/>
        <v>1</v>
      </c>
      <c r="Y5" s="20">
        <f>IF(ISNA(C5),NA(),M5-_xll.qlQuoteValue(H5))</f>
        <v>2.1739131739195727E-7</v>
      </c>
      <c r="Z5" s="8"/>
      <c r="AA5" s="1"/>
      <c r="AB5" s="66" t="str">
        <f t="shared" si="4"/>
        <v>BTP 2017-05-01 4.75%</v>
      </c>
      <c r="AC5" s="131">
        <f>_xll.BDP(C5&amp;" Corp", "days to mty")</f>
        <v>340</v>
      </c>
      <c r="AD5" s="136">
        <f>IF(ISNA(ROUND(VLOOKUP(AC5,Contribution!C:J,8,FALSE),2)),"",ROUND(VLOOKUP(AC5,Contribution!C:J,8,FALSE),2))</f>
        <v>-0.16</v>
      </c>
      <c r="AE5" s="134">
        <f t="shared" si="7"/>
        <v>1.9738019630272108E-2</v>
      </c>
      <c r="AF5" s="1"/>
      <c r="AG5" s="1"/>
      <c r="AH5" s="1"/>
      <c r="AN5" s="2">
        <v>102.08</v>
      </c>
      <c r="AO5" s="2">
        <v>102.084</v>
      </c>
    </row>
    <row r="6" spans="1:41" x14ac:dyDescent="0.2">
      <c r="A6" s="4"/>
      <c r="B6" s="18" t="str">
        <f>IF(ISNA(C6),NA(),_xll.qlBondDescription(C6,Trigger))</f>
        <v>BTP 2017-05-15 1.15%</v>
      </c>
      <c r="C6" s="12" t="str">
        <v>IT0005023459</v>
      </c>
      <c r="D6" s="14">
        <f>IF(ISNA(C6),NA(),_xll.qlBondMaturityDate(C6,Trigger))</f>
        <v>42870</v>
      </c>
      <c r="E6" s="15">
        <f>IF(ISNA(C6),NA(),_xll.qlBondNextCouponRate(C6,BondSettlementDate))</f>
        <v>1.15E-2</v>
      </c>
      <c r="F6" s="24">
        <f>IF(ISNA(C6),NA(),_xll.qlBondRedemptionAmount(C6,Trigger))</f>
        <v>100</v>
      </c>
      <c r="G6" s="13" t="str">
        <f t="shared" si="5"/>
        <v>IT0005023459_Quote</v>
      </c>
      <c r="H6" s="23" t="str">
        <f t="shared" si="6"/>
        <v>IT0005023459_Quote</v>
      </c>
      <c r="I6" s="12" t="str">
        <f>IF(LEFT(B6,3)="BTP",_xll.qlBTP2(,B6,D6,E6,F6,,,,Trigger),_xll.qlCCTEU(,B6,D6,E6,F6,,,,Trigger))</f>
        <v>obj_00a08#0000</v>
      </c>
      <c r="J6" s="25" t="str">
        <f>_xll.qlBondHelper(,H6,I6)</f>
        <v>obj_00a43#0000</v>
      </c>
      <c r="K6" s="22" t="str">
        <f>_xll.qlBTP2(,B6,D6,E6,F6,,,,Trigger)</f>
        <v>obj_00a14#0000</v>
      </c>
      <c r="L6" s="22" t="b">
        <f>_xll.qlInstrumentSetPricingEngine(K6,BondPricingEngine)</f>
        <v>1</v>
      </c>
      <c r="M6" s="19">
        <f>_xll.qlBondCleanPrice(K6,AND(ISERROR(L6),ISERROR(N6)))</f>
        <v>101.24899500000002</v>
      </c>
      <c r="N6" s="23">
        <f>_xll.qlSimpleQuoteSetValue(G6,O6)</f>
        <v>0</v>
      </c>
      <c r="O6" s="23">
        <f t="shared" si="0"/>
        <v>101.249</v>
      </c>
      <c r="P6" s="20">
        <f t="shared" si="1"/>
        <v>1.3999999999995794E-2</v>
      </c>
      <c r="Q6" s="22" t="str">
        <f t="shared" si="2"/>
        <v>IT502345=TT</v>
      </c>
      <c r="R6" s="19">
        <v>101.242</v>
      </c>
      <c r="S6" s="19">
        <v>101.256</v>
      </c>
      <c r="T6" s="13" t="e">
        <f>_xll.MKV("EUR.CM_DEPTH.XLS_GOVIES."&amp;$C6,T$1)</f>
        <v>#REF!</v>
      </c>
      <c r="U6" s="13" t="e">
        <f>_xll.MKV("EUR.CM_DEPTH.XLS_GOVIES."&amp;$C6,U$1)</f>
        <v>#REF!</v>
      </c>
      <c r="V6" s="21">
        <f>IF(ISNA(C6),NA(),_xll.qlBondYieldFromCleanPrice(C6,O6,YieldDayCounter,YieldCompounding,YieldFrequency))</f>
        <v>-1.3614330954477148E-3</v>
      </c>
      <c r="W6" s="15" t="b">
        <v>1</v>
      </c>
      <c r="X6" s="22" t="b">
        <f t="shared" si="3"/>
        <v>1</v>
      </c>
      <c r="Y6" s="20">
        <f>IF(ISNA(C6),NA(),M6-_xll.qlQuoteValue(H6))</f>
        <v>-4.9999999731653588E-6</v>
      </c>
      <c r="Z6" s="8"/>
      <c r="AA6" s="1"/>
      <c r="AB6" s="66" t="str">
        <f t="shared" si="4"/>
        <v>BTP 2017-05-15 1.15%</v>
      </c>
      <c r="AC6" s="131">
        <f>_xll.BDP(C6&amp;" Corp", "days to mty")</f>
        <v>354</v>
      </c>
      <c r="AD6" s="136" t="str">
        <f>IF(ISNA(ROUND(VLOOKUP(AC6,Contribution!C:J,8,FALSE),2)),"",ROUND(VLOOKUP(AC6,Contribution!C:J,8,FALSE),2))</f>
        <v/>
      </c>
      <c r="AE6" s="134" t="str">
        <f t="shared" si="7"/>
        <v/>
      </c>
      <c r="AF6" s="1"/>
      <c r="AG6" s="1"/>
      <c r="AH6" s="1"/>
      <c r="AN6" s="2">
        <v>103.136</v>
      </c>
      <c r="AO6" s="2">
        <v>103.155</v>
      </c>
    </row>
    <row r="7" spans="1:41" x14ac:dyDescent="0.2">
      <c r="A7" s="4"/>
      <c r="B7" s="18" t="str">
        <f>IF(ISNA(C7),NA(),_xll.qlBondDescription(C7,Trigger))</f>
        <v>BTP 2017-06-01 4.75%</v>
      </c>
      <c r="C7" s="12" t="str">
        <v>IT0004820426</v>
      </c>
      <c r="D7" s="14">
        <f>IF(ISNA(C7),NA(),_xll.qlBondMaturityDate(C7,Trigger))</f>
        <v>42887</v>
      </c>
      <c r="E7" s="15">
        <f>IF(ISNA(C7),NA(),_xll.qlBondNextCouponRate(C7,BondSettlementDate))</f>
        <v>4.7500000000000001E-2</v>
      </c>
      <c r="F7" s="24">
        <f>IF(ISNA(C7),NA(),_xll.qlBondRedemptionAmount(C7,Trigger))</f>
        <v>100</v>
      </c>
      <c r="G7" s="13" t="str">
        <f t="shared" si="5"/>
        <v>IT0004820426_Quote</v>
      </c>
      <c r="H7" s="23" t="str">
        <f t="shared" si="6"/>
        <v>IT0004820426_Quote</v>
      </c>
      <c r="I7" s="12" t="str">
        <f>IF(LEFT(B7,3)="BTP",_xll.qlBTP2(,B7,D7,E7,F7,,,,Trigger),_xll.qlCCTEU(,B7,D7,E7,F7,,,,Trigger))</f>
        <v>obj_00a2b#0000</v>
      </c>
      <c r="J7" s="25" t="str">
        <f>_xll.qlBondHelper(,H7,I7)</f>
        <v>obj_00a90#0000</v>
      </c>
      <c r="K7" s="22" t="str">
        <f>_xll.qlBTP2(,B7,D7,E7,F7,,,,Trigger)</f>
        <v>obj_00a7b#0000</v>
      </c>
      <c r="L7" s="22" t="b">
        <f>_xll.qlInstrumentSetPricingEngine(K7,BondPricingEngine)</f>
        <v>1</v>
      </c>
      <c r="M7" s="19">
        <f>_xll.qlBondCleanPrice(K7,AND(ISERROR(L7),ISERROR(N7)))</f>
        <v>104.95750114754121</v>
      </c>
      <c r="N7" s="23">
        <f>_xll.qlSimpleQuoteSetValue(G7,O7)</f>
        <v>0</v>
      </c>
      <c r="O7" s="23">
        <f t="shared" si="0"/>
        <v>104.95750000000001</v>
      </c>
      <c r="P7" s="20">
        <f t="shared" si="1"/>
        <v>9.0000000000003411E-3</v>
      </c>
      <c r="Q7" s="22" t="str">
        <f t="shared" si="2"/>
        <v>IT482042=TT</v>
      </c>
      <c r="R7" s="19">
        <v>104.953</v>
      </c>
      <c r="S7" s="19">
        <v>104.962</v>
      </c>
      <c r="T7" s="13" t="e">
        <f>_xll.MKV("EUR.CM_DEPTH.XLS_GOVIES."&amp;$C7,T$1)</f>
        <v>#REF!</v>
      </c>
      <c r="U7" s="13" t="e">
        <f>_xll.MKV("EUR.CM_DEPTH.XLS_GOVIES."&amp;$C7,U$1)</f>
        <v>#REF!</v>
      </c>
      <c r="V7" s="21">
        <f>IF(ISNA(C7),NA(),_xll.qlBondYieldFromCleanPrice(C7,O7,YieldDayCounter,YieldCompounding,YieldFrequency))</f>
        <v>-1.2293153638531591E-3</v>
      </c>
      <c r="W7" s="15" t="b">
        <v>1</v>
      </c>
      <c r="X7" s="22" t="b">
        <f t="shared" si="3"/>
        <v>1</v>
      </c>
      <c r="Y7" s="20">
        <f>IF(ISNA(C7),NA(),M7-_xll.qlQuoteValue(H7))</f>
        <v>1.1475411980654826E-6</v>
      </c>
      <c r="Z7" s="8"/>
      <c r="AA7" s="1"/>
      <c r="AB7" s="66" t="str">
        <f t="shared" si="4"/>
        <v>BTP 2017-06-01 4.75%</v>
      </c>
      <c r="AC7" s="131">
        <f>_xll.BDP(C7&amp;" Corp", "days to mty")</f>
        <v>371</v>
      </c>
      <c r="AD7" s="136" t="str">
        <f>IF(ISNA(ROUND(VLOOKUP(AC7,Contribution!C:J,8,FALSE),2)),"",ROUND(VLOOKUP(AC7,Contribution!C:J,8,FALSE),2))</f>
        <v/>
      </c>
      <c r="AE7" s="134" t="str">
        <f t="shared" si="7"/>
        <v/>
      </c>
      <c r="AF7" s="1"/>
      <c r="AG7" s="1"/>
      <c r="AH7" s="1"/>
      <c r="AN7" s="2">
        <v>104.539</v>
      </c>
      <c r="AO7" s="2">
        <v>104.56699999999999</v>
      </c>
    </row>
    <row r="8" spans="1:41" x14ac:dyDescent="0.2">
      <c r="A8" s="4"/>
      <c r="B8" s="18" t="str">
        <f>IF(ISNA(C8),NA(),_xll.qlBondDescription(C8,Trigger))</f>
        <v>BTP 2017-08-01 5.25%</v>
      </c>
      <c r="C8" s="12" t="str">
        <v>IT0003242747</v>
      </c>
      <c r="D8" s="14">
        <f>IF(ISNA(C8),NA(),_xll.qlBondMaturityDate(C8,Trigger))</f>
        <v>42948</v>
      </c>
      <c r="E8" s="15">
        <f>IF(ISNA(C8),NA(),_xll.qlBondNextCouponRate(C8,BondSettlementDate))</f>
        <v>5.2499999999999998E-2</v>
      </c>
      <c r="F8" s="24">
        <f>IF(ISNA(C8),NA(),_xll.qlBondRedemptionAmount(C8,Trigger))</f>
        <v>100</v>
      </c>
      <c r="G8" s="13" t="str">
        <f t="shared" si="5"/>
        <v>IT0003242747_Quote</v>
      </c>
      <c r="H8" s="23" t="str">
        <f t="shared" si="6"/>
        <v>IT0003242747_Quote</v>
      </c>
      <c r="I8" s="12" t="str">
        <f>IF(LEFT(B8,3)="BTP",_xll.qlBTP2(,B8,D8,E8,F8,,,,Trigger),_xll.qlCCTEU(,B8,D8,E8,F8,,,,Trigger))</f>
        <v>obj_00a7a#0000</v>
      </c>
      <c r="J8" s="25" t="str">
        <f>_xll.qlBondHelper(,H8,I8)</f>
        <v>obj_00a89#0000</v>
      </c>
      <c r="K8" s="22" t="str">
        <f>_xll.qlBTP2(,B8,D8,E8,F8,,,,Trigger)</f>
        <v>obj_00a65#0000</v>
      </c>
      <c r="L8" s="22" t="b">
        <f>_xll.qlInstrumentSetPricingEngine(K8,BondPricingEngine)</f>
        <v>1</v>
      </c>
      <c r="M8" s="19">
        <f>_xll.qlBondCleanPrice(K8,AND(ISERROR(L8),ISERROR(N8)))</f>
        <v>106.34950384615384</v>
      </c>
      <c r="N8" s="23">
        <f>_xll.qlSimpleQuoteSetValue(G8,O8)</f>
        <v>0</v>
      </c>
      <c r="O8" s="23">
        <f t="shared" si="0"/>
        <v>106.34950000000001</v>
      </c>
      <c r="P8" s="20">
        <f t="shared" si="1"/>
        <v>7.0000000000050022E-3</v>
      </c>
      <c r="Q8" s="22" t="str">
        <f t="shared" si="2"/>
        <v>IT324274=TT</v>
      </c>
      <c r="R8" s="19">
        <v>106.346</v>
      </c>
      <c r="S8" s="19">
        <v>106.35300000000001</v>
      </c>
      <c r="T8" s="13" t="e">
        <f>_xll.MKV("EUR.CM_DEPTH.XLS_GOVIES."&amp;$C8,T$1)</f>
        <v>#REF!</v>
      </c>
      <c r="U8" s="13" t="e">
        <f>_xll.MKV("EUR.CM_DEPTH.XLS_GOVIES."&amp;$C8,U$1)</f>
        <v>#REF!</v>
      </c>
      <c r="V8" s="21">
        <f>IF(ISNA(C8),NA(),_xll.qlBondYieldFromCleanPrice(C8,O8,YieldDayCounter,YieldCompounding,YieldFrequency))</f>
        <v>-1.0743250873312309E-3</v>
      </c>
      <c r="W8" s="15" t="b">
        <v>1</v>
      </c>
      <c r="X8" s="22" t="b">
        <f t="shared" si="3"/>
        <v>1</v>
      </c>
      <c r="Y8" s="20">
        <f>IF(ISNA(C8),NA(),M8-_xll.qlQuoteValue(H8))</f>
        <v>3.8461538309775278E-6</v>
      </c>
      <c r="Z8" s="8"/>
      <c r="AA8" s="1"/>
      <c r="AB8" s="66" t="str">
        <f t="shared" si="4"/>
        <v>BTP 2017-08-01 5.25%</v>
      </c>
      <c r="AC8" s="131">
        <f>_xll.BDP(C8&amp;" Corp", "days to mty")</f>
        <v>432</v>
      </c>
      <c r="AD8" s="136">
        <f>IF(ISNA(ROUND(VLOOKUP(AC8,Contribution!C:J,8,FALSE),2)),"",ROUND(VLOOKUP(AC8,Contribution!C:J,8,FALSE),2))</f>
        <v>-0.11</v>
      </c>
      <c r="AE8" s="134">
        <f t="shared" si="7"/>
        <v>-0.25674912668769145</v>
      </c>
      <c r="AF8" s="1"/>
      <c r="AG8" s="1"/>
      <c r="AH8" s="1"/>
      <c r="AN8" s="2">
        <v>105.258</v>
      </c>
      <c r="AO8" s="2">
        <v>105.268</v>
      </c>
    </row>
    <row r="9" spans="1:41" x14ac:dyDescent="0.2">
      <c r="A9" s="4"/>
      <c r="B9" s="18" t="str">
        <f>IF(ISNA(C9),NA(),_xll.qlBondDescription(C9,Trigger))</f>
        <v>BTP 2017-11-01 3.5%</v>
      </c>
      <c r="C9" s="12" t="str">
        <v>IT0004867070</v>
      </c>
      <c r="D9" s="14">
        <f>IF(ISNA(C9),NA(),_xll.qlBondMaturityDate(C9,Trigger))</f>
        <v>43040</v>
      </c>
      <c r="E9" s="15">
        <f>IF(ISNA(C9),NA(),_xll.qlBondNextCouponRate(C9,BondSettlementDate))</f>
        <v>3.5000000000000003E-2</v>
      </c>
      <c r="F9" s="24">
        <f>IF(ISNA(C9),NA(),_xll.qlBondRedemptionAmount(C9,Trigger))</f>
        <v>100</v>
      </c>
      <c r="G9" s="13" t="str">
        <f t="shared" si="5"/>
        <v>IT0004867070_Quote</v>
      </c>
      <c r="H9" s="23" t="str">
        <f t="shared" si="6"/>
        <v>IT0004867070_Quote</v>
      </c>
      <c r="I9" s="12" t="str">
        <f>IF(LEFT(B9,3)="BTP",_xll.qlBTP2(,B9,D9,E9,F9,,,,Trigger),_xll.qlCCTEU(,B9,D9,E9,F9,,,,Trigger))</f>
        <v>obj_00a4e#0000</v>
      </c>
      <c r="J9" s="25" t="str">
        <f>_xll.qlBondHelper(,H9,I9)</f>
        <v>obj_00a92#0000</v>
      </c>
      <c r="K9" s="22" t="str">
        <f>_xll.qlBTP2(,B9,D9,E9,F9,,,,Trigger)</f>
        <v>obj_00a24#0000</v>
      </c>
      <c r="L9" s="22" t="b">
        <f>_xll.qlInstrumentSetPricingEngine(K9,BondPricingEngine)</f>
        <v>1</v>
      </c>
      <c r="M9" s="19">
        <f>_xll.qlBondCleanPrice(K9,AND(ISERROR(L9),ISERROR(N9)))</f>
        <v>105.12300173913042</v>
      </c>
      <c r="N9" s="23">
        <f>_xll.qlSimpleQuoteSetValue(G9,O9)</f>
        <v>0</v>
      </c>
      <c r="O9" s="23">
        <f t="shared" si="0"/>
        <v>105.12299999999999</v>
      </c>
      <c r="P9" s="20">
        <f t="shared" si="1"/>
        <v>4.0000000000048885E-3</v>
      </c>
      <c r="Q9" s="22" t="str">
        <f t="shared" si="2"/>
        <v>IT486707=TT</v>
      </c>
      <c r="R9" s="19">
        <v>105.121</v>
      </c>
      <c r="S9" s="19">
        <v>105.125</v>
      </c>
      <c r="T9" s="13" t="e">
        <f>_xll.MKV("EUR.CM_DEPTH.XLS_GOVIES."&amp;$C9,T$1)</f>
        <v>#REF!</v>
      </c>
      <c r="U9" s="13" t="e">
        <f>_xll.MKV("EUR.CM_DEPTH.XLS_GOVIES."&amp;$C9,U$1)</f>
        <v>#REF!</v>
      </c>
      <c r="V9" s="21">
        <f>IF(ISNA(C9),NA(),_xll.qlBondYieldFromCleanPrice(C9,O9,YieldDayCounter,YieldCompounding,YieldFrequency))</f>
        <v>-7.472405618056616E-4</v>
      </c>
      <c r="W9" s="15" t="b">
        <v>1</v>
      </c>
      <c r="X9" s="22" t="b">
        <f t="shared" si="3"/>
        <v>1</v>
      </c>
      <c r="Y9" s="20">
        <f>IF(ISNA(C9),NA(),M9-_xll.qlQuoteValue(H9))</f>
        <v>1.7391304254488205E-6</v>
      </c>
      <c r="Z9" s="8"/>
      <c r="AA9" s="1"/>
      <c r="AB9" s="66" t="str">
        <f t="shared" si="4"/>
        <v>BTP 2017-11-01 3.5%</v>
      </c>
      <c r="AC9" s="131">
        <f>_xll.BDP(C9&amp;" Corp", "days to mty")</f>
        <v>524</v>
      </c>
      <c r="AD9" s="136">
        <f>IF(ISNA(ROUND(VLOOKUP(AC9,Contribution!C:J,8,FALSE),2)),"",ROUND(VLOOKUP(AC9,Contribution!C:J,8,FALSE),2))</f>
        <v>-7.0000000000000007E-2</v>
      </c>
      <c r="AE9" s="134">
        <f t="shared" si="7"/>
        <v>0.47240561805661496</v>
      </c>
      <c r="AF9" s="1"/>
      <c r="AG9" s="1"/>
      <c r="AH9" s="1"/>
      <c r="AN9" s="2">
        <v>107.36</v>
      </c>
      <c r="AO9" s="2">
        <v>107.39</v>
      </c>
    </row>
    <row r="10" spans="1:41" x14ac:dyDescent="0.2">
      <c r="A10" s="4"/>
      <c r="B10" s="18" t="str">
        <f>IF(ISNA(C10),NA(),_xll.qlBondDescription(C10,Trigger))</f>
        <v>BTP 2018-01-15 0.75%</v>
      </c>
      <c r="C10" s="12" t="str">
        <v>IT0005058463</v>
      </c>
      <c r="D10" s="14">
        <f>IF(ISNA(C10),NA(),_xll.qlBondMaturityDate(C10,Trigger))</f>
        <v>43115</v>
      </c>
      <c r="E10" s="15">
        <f>IF(ISNA(C10),NA(),_xll.qlBondNextCouponRate(C10,BondSettlementDate))</f>
        <v>7.4999999999999997E-3</v>
      </c>
      <c r="F10" s="24">
        <f>IF(ISNA(C10),NA(),_xll.qlBondRedemptionAmount(C10,Trigger))</f>
        <v>100</v>
      </c>
      <c r="G10" s="13" t="str">
        <f t="shared" si="5"/>
        <v>IT0005058463_Quote</v>
      </c>
      <c r="H10" s="23" t="str">
        <f t="shared" si="6"/>
        <v>IT0005058463_Quote</v>
      </c>
      <c r="I10" s="12" t="str">
        <f>IF(LEFT(B10,3)="BTP",_xll.qlBTP2(,B10,D10,E10,F10,,,,Trigger),_xll.qlCCTEU(,B10,D10,E10,F10,,,,Trigger))</f>
        <v>obj_00a62#0000</v>
      </c>
      <c r="J10" s="25" t="str">
        <f>_xll.qlBondHelper(,H10,I10)</f>
        <v>obj_00a84#0000</v>
      </c>
      <c r="K10" s="22" t="str">
        <f>_xll.qlBTP2(,B10,D10,E10,F10,,,,Trigger)</f>
        <v>obj_00a57#0000</v>
      </c>
      <c r="L10" s="22" t="b">
        <f>_xll.qlInstrumentSetPricingEngine(K10,BondPricingEngine)</f>
        <v>1</v>
      </c>
      <c r="M10" s="19">
        <f>_xll.qlBondCleanPrice(K10,AND(ISERROR(L10),ISERROR(N10)))</f>
        <v>101.33499802207477</v>
      </c>
      <c r="N10" s="23">
        <f>_xll.qlSimpleQuoteSetValue(G10,O10)</f>
        <v>0</v>
      </c>
      <c r="O10" s="23">
        <f t="shared" si="0"/>
        <v>101.33500000000001</v>
      </c>
      <c r="P10" s="20">
        <f t="shared" si="1"/>
        <v>1.0000000000005116E-2</v>
      </c>
      <c r="Q10" s="22" t="str">
        <f t="shared" si="2"/>
        <v>IT505846=TT</v>
      </c>
      <c r="R10" s="19">
        <v>101.33</v>
      </c>
      <c r="S10" s="19">
        <v>101.34</v>
      </c>
      <c r="T10" s="13" t="e">
        <f>_xll.MKV("EUR.CM_DEPTH.XLS_GOVIES."&amp;$C10,T$1)</f>
        <v>#REF!</v>
      </c>
      <c r="U10" s="13" t="e">
        <f>_xll.MKV("EUR.CM_DEPTH.XLS_GOVIES."&amp;$C10,U$1)</f>
        <v>#REF!</v>
      </c>
      <c r="V10" s="21">
        <f>IF(ISNA(C10),NA(),_xll.qlBondYieldFromCleanPrice(C10,O10,YieldDayCounter,YieldCompounding,YieldFrequency))</f>
        <v>-6.4753448974340768E-4</v>
      </c>
      <c r="W10" s="15" t="b">
        <v>1</v>
      </c>
      <c r="X10" s="22" t="b">
        <f t="shared" si="3"/>
        <v>1</v>
      </c>
      <c r="Y10" s="20">
        <f>IF(ISNA(C10),NA(),M10-_xll.qlQuoteValue(H10))</f>
        <v>-1.9779252369289679E-6</v>
      </c>
      <c r="Z10" s="8"/>
      <c r="AA10" s="1"/>
      <c r="AB10" s="66" t="str">
        <f t="shared" si="4"/>
        <v>BTP 2018-01-15 0.75%</v>
      </c>
      <c r="AC10" s="131">
        <f>_xll.BDP(C10&amp;" Corp", "days to mty")</f>
        <v>599</v>
      </c>
      <c r="AD10" s="136" t="str">
        <f>IF(ISNA(ROUND(VLOOKUP(AC10,Contribution!C:J,8,FALSE),2)),"",ROUND(VLOOKUP(AC10,Contribution!C:J,8,FALSE),2))</f>
        <v/>
      </c>
      <c r="AE10" s="134" t="str">
        <f t="shared" si="7"/>
        <v/>
      </c>
      <c r="AF10" s="1"/>
      <c r="AG10" s="1"/>
      <c r="AH10" s="1"/>
      <c r="AN10" s="2">
        <v>101.65</v>
      </c>
      <c r="AO10" s="2">
        <v>101.68</v>
      </c>
    </row>
    <row r="11" spans="1:41" x14ac:dyDescent="0.2">
      <c r="A11" s="4"/>
      <c r="B11" s="18" t="str">
        <f>IF(ISNA(C11),NA(),_xll.qlBondDescription(C11,Trigger))</f>
        <v>BTP 2018-02-01 4.5%</v>
      </c>
      <c r="C11" s="12" t="str">
        <v>IT0004273493</v>
      </c>
      <c r="D11" s="14">
        <f>IF(ISNA(C11),NA(),_xll.qlBondMaturityDate(C11,Trigger))</f>
        <v>43132</v>
      </c>
      <c r="E11" s="15">
        <f>IF(ISNA(C11),NA(),_xll.qlBondNextCouponRate(C11,BondSettlementDate))</f>
        <v>4.4999999999999998E-2</v>
      </c>
      <c r="F11" s="24">
        <f>IF(ISNA(C11),NA(),_xll.qlBondRedemptionAmount(C11,Trigger))</f>
        <v>100</v>
      </c>
      <c r="G11" s="13" t="str">
        <f t="shared" si="5"/>
        <v>IT0004273493_Quote</v>
      </c>
      <c r="H11" s="23" t="str">
        <f t="shared" si="6"/>
        <v>IT0004273493_Quote</v>
      </c>
      <c r="I11" s="12" t="str">
        <f>IF(LEFT(B11,3)="BTP",_xll.qlBTP2(,B11,D11,E11,F11,,,,Trigger),_xll.qlCCTEU(,B11,D11,E11,F11,,,,Trigger))</f>
        <v>obj_00a5f#0000</v>
      </c>
      <c r="J11" s="25" t="str">
        <f>_xll.qlBondHelper(,H11,I11)</f>
        <v>obj_00aa9#0000</v>
      </c>
      <c r="K11" s="22" t="str">
        <f>_xll.qlBTP2(,B11,D11,E11,F11,,,,Trigger)</f>
        <v>obj_00a44#0000</v>
      </c>
      <c r="L11" s="22" t="b">
        <f>_xll.qlInstrumentSetPricingEngine(K11,BondPricingEngine)</f>
        <v>1</v>
      </c>
      <c r="M11" s="19">
        <f>_xll.qlBondCleanPrice(K11,AND(ISERROR(L11),ISERROR(N11)))</f>
        <v>107.6650032967033</v>
      </c>
      <c r="N11" s="23">
        <f>_xll.qlSimpleQuoteSetValue(G11,O11)</f>
        <v>0</v>
      </c>
      <c r="O11" s="23">
        <f t="shared" si="0"/>
        <v>107.66499999999999</v>
      </c>
      <c r="P11" s="20">
        <f t="shared" si="1"/>
        <v>1.0000000000005116E-2</v>
      </c>
      <c r="Q11" s="22" t="str">
        <f t="shared" si="2"/>
        <v>IT427349=TT</v>
      </c>
      <c r="R11" s="19">
        <v>107.66</v>
      </c>
      <c r="S11" s="19">
        <v>107.67</v>
      </c>
      <c r="T11" s="13" t="e">
        <f>_xll.MKV("EUR.CM_DEPTH.XLS_GOVIES."&amp;$C11,T$1)</f>
        <v>#REF!</v>
      </c>
      <c r="U11" s="13" t="e">
        <f>_xll.MKV("EUR.CM_DEPTH.XLS_GOVIES."&amp;$C11,U$1)</f>
        <v>#REF!</v>
      </c>
      <c r="V11" s="21">
        <f>IF(ISNA(C11),NA(),_xll.qlBondYieldFromCleanPrice(C11,O11,YieldDayCounter,YieldCompounding,YieldFrequency))</f>
        <v>-4.9002794090658038E-4</v>
      </c>
      <c r="W11" s="15" t="b">
        <v>1</v>
      </c>
      <c r="X11" s="22" t="b">
        <f t="shared" si="3"/>
        <v>1</v>
      </c>
      <c r="Y11" s="20">
        <f>IF(ISNA(C11),NA(),M11-_xll.qlQuoteValue(H11))</f>
        <v>3.2967033121167333E-6</v>
      </c>
      <c r="Z11" s="8"/>
      <c r="AA11" s="1"/>
      <c r="AB11" s="66" t="str">
        <f t="shared" si="4"/>
        <v>BTP 2018-02-01 4.5%</v>
      </c>
      <c r="AC11" s="131">
        <f>_xll.BDP(C11&amp;" Corp", "days to mty")</f>
        <v>616</v>
      </c>
      <c r="AD11" s="136">
        <f>IF(ISNA(ROUND(VLOOKUP(AC11,Contribution!C:J,8,FALSE),2)),"",ROUND(VLOOKUP(AC11,Contribution!C:J,8,FALSE),2))</f>
        <v>-0.05</v>
      </c>
      <c r="AE11" s="134">
        <f t="shared" si="7"/>
        <v>-9.9720590934196385E-2</v>
      </c>
      <c r="AF11" s="1"/>
      <c r="AG11" s="1"/>
      <c r="AH11" s="1"/>
      <c r="AN11" s="2">
        <v>107.71</v>
      </c>
      <c r="AO11" s="2">
        <v>107.73</v>
      </c>
    </row>
    <row r="12" spans="1:41" x14ac:dyDescent="0.2">
      <c r="A12" s="4"/>
      <c r="B12" s="18" t="str">
        <f>IF(ISNA(C12),NA(),_xll.qlBondDescription(C12,Trigger))</f>
        <v>BTP 2018-06-01 3.5%</v>
      </c>
      <c r="C12" s="12" t="str">
        <v>IT0004907843</v>
      </c>
      <c r="D12" s="14">
        <f>IF(ISNA(C12),NA(),_xll.qlBondMaturityDate(C12,Trigger))</f>
        <v>43252</v>
      </c>
      <c r="E12" s="15">
        <f>IF(ISNA(C12),NA(),_xll.qlBondNextCouponRate(C12,BondSettlementDate))</f>
        <v>3.5000000000000003E-2</v>
      </c>
      <c r="F12" s="24">
        <f>IF(ISNA(C12),NA(),_xll.qlBondRedemptionAmount(C12,Trigger))</f>
        <v>100</v>
      </c>
      <c r="G12" s="13" t="str">
        <f t="shared" si="5"/>
        <v>IT0004907843_Quote</v>
      </c>
      <c r="H12" s="23" t="str">
        <f t="shared" si="6"/>
        <v>IT0004907843_Quote</v>
      </c>
      <c r="I12" s="12" t="str">
        <f>IF(LEFT(B12,3)="BTP",_xll.qlBTP2(,B12,D12,E12,F12,,,,Trigger),_xll.qlCCTEU(,B12,D12,E12,F12,,,,Trigger))</f>
        <v>obj_00a58#0000</v>
      </c>
      <c r="J12" s="25" t="str">
        <f>_xll.qlBondHelper(,H12,I12)</f>
        <v>obj_00a82#0000</v>
      </c>
      <c r="K12" s="22" t="str">
        <f>_xll.qlBTP2(,B12,D12,E12,F12,,,,Trigger)</f>
        <v>obj_00a6a#0000</v>
      </c>
      <c r="L12" s="22" t="b">
        <f>_xll.qlInstrumentSetPricingEngine(K12,BondPricingEngine)</f>
        <v>1</v>
      </c>
      <c r="M12" s="19">
        <f>_xll.qlBondCleanPrice(K12,AND(ISERROR(L12),ISERROR(N12)))</f>
        <v>107.09500295090832</v>
      </c>
      <c r="N12" s="23">
        <f>_xll.qlSimpleQuoteSetValue(G12,O12)</f>
        <v>0</v>
      </c>
      <c r="O12" s="23">
        <f t="shared" si="0"/>
        <v>107.095</v>
      </c>
      <c r="P12" s="20">
        <f t="shared" si="1"/>
        <v>1.0000000000005116E-2</v>
      </c>
      <c r="Q12" s="22" t="str">
        <f t="shared" si="2"/>
        <v>IT490784=TT</v>
      </c>
      <c r="R12" s="19">
        <v>107.09</v>
      </c>
      <c r="S12" s="19">
        <v>107.10000000000001</v>
      </c>
      <c r="T12" s="13" t="e">
        <f>_xll.MKV("EUR.CM_DEPTH.XLS_GOVIES."&amp;$C12,T$1)</f>
        <v>#REF!</v>
      </c>
      <c r="U12" s="13" t="e">
        <f>_xll.MKV("EUR.CM_DEPTH.XLS_GOVIES."&amp;$C12,U$1)</f>
        <v>#REF!</v>
      </c>
      <c r="V12" s="21">
        <f>IF(ISNA(C12),NA(),_xll.qlBondYieldFromCleanPrice(C12,O12,YieldDayCounter,YieldCompounding,YieldFrequency))</f>
        <v>-1.7864170607179012E-4</v>
      </c>
      <c r="W12" s="15" t="b">
        <v>1</v>
      </c>
      <c r="X12" s="22" t="b">
        <f t="shared" si="3"/>
        <v>1</v>
      </c>
      <c r="Y12" s="20">
        <f>IF(ISNA(C12),NA(),M12-_xll.qlQuoteValue(H12))</f>
        <v>2.9509083248058232E-6</v>
      </c>
      <c r="Z12" s="8"/>
      <c r="AA12" s="1"/>
      <c r="AB12" s="66" t="str">
        <f t="shared" si="4"/>
        <v>BTP 2018-06-01 3.5%</v>
      </c>
      <c r="AC12" s="131">
        <f>_xll.BDP(C12&amp;" Corp", "days to mty")</f>
        <v>736</v>
      </c>
      <c r="AD12" s="136" t="str">
        <f>IF(ISNA(ROUND(VLOOKUP(AC12,Contribution!C:J,8,FALSE),2)),"",ROUND(VLOOKUP(AC12,Contribution!C:J,8,FALSE),2))</f>
        <v/>
      </c>
      <c r="AE12" s="134" t="str">
        <f t="shared" si="7"/>
        <v/>
      </c>
      <c r="AF12" s="1"/>
      <c r="AG12" s="1"/>
      <c r="AH12" s="1"/>
      <c r="AN12" s="2">
        <v>109.41</v>
      </c>
      <c r="AO12" s="2">
        <v>109.44</v>
      </c>
    </row>
    <row r="13" spans="1:41" x14ac:dyDescent="0.2">
      <c r="A13" s="4"/>
      <c r="B13" s="18" t="str">
        <f>IF(ISNA(C13),NA(),_xll.qlBondDescription(C13,Trigger))</f>
        <v>BTP 2018-08-01 4.5%</v>
      </c>
      <c r="C13" s="12" t="str">
        <v>IT0004361041</v>
      </c>
      <c r="D13" s="14">
        <f>IF(ISNA(C13),NA(),_xll.qlBondMaturityDate(C13,Trigger))</f>
        <v>43313</v>
      </c>
      <c r="E13" s="15">
        <f>IF(ISNA(C13),NA(),_xll.qlBondNextCouponRate(C13,BondSettlementDate))</f>
        <v>4.4999999999999998E-2</v>
      </c>
      <c r="F13" s="24">
        <f>IF(ISNA(C13),NA(),_xll.qlBondRedemptionAmount(C13,Trigger))</f>
        <v>100</v>
      </c>
      <c r="G13" s="13" t="str">
        <f t="shared" si="5"/>
        <v>IT0004361041_Quote</v>
      </c>
      <c r="H13" s="23" t="str">
        <f t="shared" si="6"/>
        <v>IT0004361041_Quote</v>
      </c>
      <c r="I13" s="12" t="str">
        <f>IF(LEFT(B13,3)="BTP",_xll.qlBTP2(,B13,D13,E13,F13,,,,Trigger),_xll.qlCCTEU(,B13,D13,E13,F13,,,,Trigger))</f>
        <v>obj_00a2d#0000</v>
      </c>
      <c r="J13" s="25" t="str">
        <f>_xll.qlBondHelper(,H13,I13)</f>
        <v>obj_00a99#0000</v>
      </c>
      <c r="K13" s="22" t="str">
        <f>_xll.qlBTP2(,B13,D13,E13,F13,,,,Trigger)</f>
        <v>obj_00a6b#0000</v>
      </c>
      <c r="L13" s="22" t="b">
        <f>_xll.qlInstrumentSetPricingEngine(K13,BondPricingEngine)</f>
        <v>1</v>
      </c>
      <c r="M13" s="19">
        <f>_xll.qlBondCleanPrice(K13,AND(ISERROR(L13),ISERROR(N13)))</f>
        <v>109.86000329670331</v>
      </c>
      <c r="N13" s="23">
        <f>_xll.qlSimpleQuoteSetValue(G13,O13)</f>
        <v>0</v>
      </c>
      <c r="O13" s="23">
        <f t="shared" si="0"/>
        <v>109.86000000000001</v>
      </c>
      <c r="P13" s="20">
        <f t="shared" si="1"/>
        <v>1.9999999999996021E-2</v>
      </c>
      <c r="Q13" s="22" t="str">
        <f t="shared" si="2"/>
        <v>IT436104=TT</v>
      </c>
      <c r="R13" s="19">
        <v>109.85000000000001</v>
      </c>
      <c r="S13" s="19">
        <v>109.87</v>
      </c>
      <c r="T13" s="13" t="e">
        <f>_xll.MKV("EUR.CM_DEPTH.XLS_GOVIES."&amp;$C13,T$1)</f>
        <v>#REF!</v>
      </c>
      <c r="U13" s="13" t="e">
        <f>_xll.MKV("EUR.CM_DEPTH.XLS_GOVIES."&amp;$C13,U$1)</f>
        <v>#REF!</v>
      </c>
      <c r="V13" s="21">
        <f>IF(ISNA(C13),NA(),_xll.qlBondYieldFromCleanPrice(C13,O13,YieldDayCounter,YieldCompounding,YieldFrequency))</f>
        <v>-1.367691760137638E-4</v>
      </c>
      <c r="W13" s="15" t="b">
        <v>1</v>
      </c>
      <c r="X13" s="22" t="b">
        <f t="shared" si="3"/>
        <v>1</v>
      </c>
      <c r="Y13" s="20">
        <f>IF(ISNA(C13),NA(),M13-_xll.qlQuoteValue(H13))</f>
        <v>3.2967032979058786E-6</v>
      </c>
      <c r="Z13" s="8"/>
      <c r="AA13" s="1"/>
      <c r="AB13" s="66" t="str">
        <f t="shared" si="4"/>
        <v>BTP 2018-08-01 4.5%</v>
      </c>
      <c r="AC13" s="131">
        <f>_xll.BDP(C13&amp;" Corp", "days to mty")</f>
        <v>797</v>
      </c>
      <c r="AD13" s="136">
        <f>IF(ISNA(ROUND(VLOOKUP(AC13,Contribution!C:J,8,FALSE),2)),"",ROUND(VLOOKUP(AC13,Contribution!C:J,8,FALSE),2))</f>
        <v>-0.01</v>
      </c>
      <c r="AE13" s="134">
        <f t="shared" si="7"/>
        <v>0.36769176013763794</v>
      </c>
      <c r="AF13" s="1"/>
      <c r="AG13" s="1"/>
      <c r="AH13" s="1"/>
      <c r="AN13" s="2">
        <v>106.94</v>
      </c>
      <c r="AO13" s="2">
        <v>106.97</v>
      </c>
    </row>
    <row r="14" spans="1:41" s="6" customFormat="1" x14ac:dyDescent="0.2">
      <c r="A14" s="90"/>
      <c r="B14" s="18" t="str">
        <f>IF(ISNA(C14),NA(),_xll.qlBondDescription(C14,Trigger))</f>
        <v>BTP 2018-12-01 3.5%</v>
      </c>
      <c r="C14" s="12" t="str">
        <v>IT0004957574</v>
      </c>
      <c r="D14" s="14">
        <f>IF(ISNA(C14),NA(),_xll.qlBondMaturityDate(C14,Trigger))</f>
        <v>43435</v>
      </c>
      <c r="E14" s="15">
        <f>IF(ISNA(C14),NA(),_xll.qlBondNextCouponRate(C14,BondSettlementDate))</f>
        <v>3.5000000000000003E-2</v>
      </c>
      <c r="F14" s="24">
        <f>IF(ISNA(C14),NA(),_xll.qlBondRedemptionAmount(C14,Trigger))</f>
        <v>100</v>
      </c>
      <c r="G14" s="13" t="str">
        <f t="shared" si="5"/>
        <v>IT0004957574_Quote</v>
      </c>
      <c r="H14" s="23" t="str">
        <f t="shared" si="6"/>
        <v>IT0004957574_Quote</v>
      </c>
      <c r="I14" s="12" t="str">
        <f>IF(LEFT(B14,3)="BTP",_xll.qlBTP2(,B14,D14,E14,F14,,,,Trigger),_xll.qlCCTEU(,B14,D14,E14,F14,,,,Trigger))</f>
        <v>obj_00a3a#0000</v>
      </c>
      <c r="J14" s="25" t="str">
        <f>_xll.qlBondHelper(,H14,I14)</f>
        <v>obj_00a95#0000</v>
      </c>
      <c r="K14" s="22" t="str">
        <f>_xll.qlBTP2(,B14,D14,E14,F14,,,,Trigger)</f>
        <v>obj_00a56#0000</v>
      </c>
      <c r="L14" s="22" t="b">
        <f>_xll.qlInstrumentSetPricingEngine(K14,BondPricingEngine)</f>
        <v>1</v>
      </c>
      <c r="M14" s="19">
        <f>_xll.qlBondCleanPrice(K14,AND(ISERROR(L14),ISERROR(N14)))</f>
        <v>108.79000295090816</v>
      </c>
      <c r="N14" s="23">
        <f>_xll.qlSimpleQuoteSetValue(G14,O14)</f>
        <v>0</v>
      </c>
      <c r="O14" s="23">
        <f t="shared" si="0"/>
        <v>108.78999999999999</v>
      </c>
      <c r="P14" s="20">
        <f t="shared" si="1"/>
        <v>1.9999999999996021E-2</v>
      </c>
      <c r="Q14" s="22" t="str">
        <f t="shared" si="2"/>
        <v>IT495757=TT</v>
      </c>
      <c r="R14" s="19">
        <v>108.78</v>
      </c>
      <c r="S14" s="19">
        <v>108.8</v>
      </c>
      <c r="T14" s="13" t="e">
        <f>_xll.MKV("EUR.CM_DEPTH.XLS_GOVIES."&amp;$C14,T$1)</f>
        <v>#REF!</v>
      </c>
      <c r="U14" s="13" t="e">
        <f>_xll.MKV("EUR.CM_DEPTH.XLS_GOVIES."&amp;$C14,U$1)</f>
        <v>#REF!</v>
      </c>
      <c r="V14" s="21">
        <f>IF(ISNA(C14),NA(),_xll.qlBondYieldFromCleanPrice(C14,O14,YieldDayCounter,YieldCompounding,YieldFrequency))</f>
        <v>6.5470045246187719E-5</v>
      </c>
      <c r="W14" s="15" t="b">
        <v>1</v>
      </c>
      <c r="X14" s="22" t="b">
        <f t="shared" si="3"/>
        <v>1</v>
      </c>
      <c r="Y14" s="20">
        <f>IF(ISNA(C14),NA(),M14-_xll.qlQuoteValue(H14))</f>
        <v>2.9509081684864213E-6</v>
      </c>
      <c r="Z14" s="91"/>
      <c r="AA14" s="1"/>
      <c r="AB14" s="66" t="str">
        <f t="shared" si="4"/>
        <v>BTP 2018-12-01 3.5%</v>
      </c>
      <c r="AC14" s="131">
        <f>_xll.BDP(C14&amp;" Corp", "days to mty")</f>
        <v>919</v>
      </c>
      <c r="AD14" s="136" t="str">
        <f>IF(ISNA(ROUND(VLOOKUP(AC14,Contribution!C:J,8,FALSE),2)),"",ROUND(VLOOKUP(AC14,Contribution!C:J,8,FALSE),2))</f>
        <v/>
      </c>
      <c r="AE14" s="134" t="str">
        <f t="shared" si="7"/>
        <v/>
      </c>
      <c r="AF14" s="92"/>
      <c r="AG14" s="92"/>
      <c r="AH14" s="1"/>
      <c r="AN14" s="6">
        <v>101.18</v>
      </c>
      <c r="AO14" s="6">
        <v>101.2</v>
      </c>
    </row>
    <row r="15" spans="1:41" x14ac:dyDescent="0.2">
      <c r="A15" s="4"/>
      <c r="B15" s="18" t="str">
        <f>IF(ISNA(C15),NA(),_xll.qlBondDescription(C15,Trigger))</f>
        <v>BTP 2019-02-01 4.25%</v>
      </c>
      <c r="C15" s="12" t="str">
        <v>IT0003493258</v>
      </c>
      <c r="D15" s="14">
        <f>IF(ISNA(C15),NA(),_xll.qlBondMaturityDate(C15,Trigger))</f>
        <v>43497</v>
      </c>
      <c r="E15" s="15">
        <f>IF(ISNA(C15),NA(),_xll.qlBondNextCouponRate(C15,BondSettlementDate))</f>
        <v>4.2500000000000003E-2</v>
      </c>
      <c r="F15" s="24">
        <f>IF(ISNA(C15),NA(),_xll.qlBondRedemptionAmount(C15,Trigger))</f>
        <v>100</v>
      </c>
      <c r="G15" s="13" t="str">
        <f t="shared" si="5"/>
        <v>IT0003493258_Quote</v>
      </c>
      <c r="H15" s="23" t="str">
        <f t="shared" si="6"/>
        <v>IT0003493258_Quote</v>
      </c>
      <c r="I15" s="12" t="str">
        <f>IF(LEFT(B15,3)="BTP",_xll.qlBTP2(,B15,D15,E15,F15,,,,Trigger),_xll.qlCCTEU(,B15,D15,E15,F15,,,,Trigger))</f>
        <v>obj_00a3c#0000</v>
      </c>
      <c r="J15" s="25" t="str">
        <f>_xll.qlBondHelper(,H15,I15)</f>
        <v>obj_00a8c#0000</v>
      </c>
      <c r="K15" s="22" t="str">
        <f>_xll.qlBTP2(,B15,D15,E15,F15,,,,Trigger)</f>
        <v>obj_00a53#0000</v>
      </c>
      <c r="L15" s="22" t="b">
        <f>_xll.qlInstrumentSetPricingEngine(K15,BondPricingEngine)</f>
        <v>1</v>
      </c>
      <c r="M15" s="19">
        <f>_xll.qlBondCleanPrice(K15,AND(ISERROR(L15),ISERROR(N15)))</f>
        <v>111.34499978021978</v>
      </c>
      <c r="N15" s="23">
        <f>_xll.qlSimpleQuoteSetValue(G15,O15)</f>
        <v>0</v>
      </c>
      <c r="O15" s="23">
        <f t="shared" si="0"/>
        <v>111.345</v>
      </c>
      <c r="P15" s="20">
        <f t="shared" si="1"/>
        <v>3.0000000000001137E-2</v>
      </c>
      <c r="Q15" s="22" t="str">
        <f t="shared" si="2"/>
        <v>IT349325=TT</v>
      </c>
      <c r="R15" s="19">
        <v>111.33</v>
      </c>
      <c r="S15" s="19">
        <v>111.36</v>
      </c>
      <c r="T15" s="13" t="e">
        <f>_xll.MKV("EUR.CM_DEPTH.XLS_GOVIES."&amp;$C15,T$1)</f>
        <v>#REF!</v>
      </c>
      <c r="U15" s="13" t="e">
        <f>_xll.MKV("EUR.CM_DEPTH.XLS_GOVIES."&amp;$C15,U$1)</f>
        <v>#REF!</v>
      </c>
      <c r="V15" s="21">
        <f>IF(ISNA(C15),NA(),_xll.qlBondYieldFromCleanPrice(C15,O15,YieldDayCounter,YieldCompounding,YieldFrequency))</f>
        <v>2.1732325825840615E-4</v>
      </c>
      <c r="W15" s="15" t="b">
        <v>1</v>
      </c>
      <c r="X15" s="22" t="b">
        <f t="shared" si="3"/>
        <v>1</v>
      </c>
      <c r="Y15" s="20">
        <f>IF(ISNA(C15),NA(),M15-_xll.qlQuoteValue(H15))</f>
        <v>-2.1978021891300159E-7</v>
      </c>
      <c r="Z15" s="8"/>
      <c r="AA15" s="1"/>
      <c r="AB15" s="66" t="str">
        <f t="shared" si="4"/>
        <v>BTP 2019-02-01 4.25%</v>
      </c>
      <c r="AC15" s="131">
        <f>_xll.BDP(C15&amp;" Corp", "days to mty")</f>
        <v>981</v>
      </c>
      <c r="AD15" s="136">
        <f>IF(ISNA(ROUND(VLOOKUP(AC15,Contribution!C:J,8,FALSE),2)),"",ROUND(VLOOKUP(AC15,Contribution!C:J,8,FALSE),2))</f>
        <v>0.03</v>
      </c>
      <c r="AE15" s="134">
        <f t="shared" si="7"/>
        <v>0.8267674174159384</v>
      </c>
      <c r="AF15" s="1"/>
      <c r="AG15" s="1"/>
      <c r="AH15" s="1"/>
      <c r="AN15" s="2">
        <v>110</v>
      </c>
      <c r="AO15" s="2">
        <v>110.02</v>
      </c>
    </row>
    <row r="16" spans="1:41" x14ac:dyDescent="0.2">
      <c r="A16" s="4"/>
      <c r="B16" s="18" t="str">
        <f>IF(ISNA(C16),NA(),_xll.qlBondDescription(C16,Trigger))</f>
        <v>BTP 2019-03-01 4.5%</v>
      </c>
      <c r="C16" s="12" t="str">
        <v>IT0004423957</v>
      </c>
      <c r="D16" s="14">
        <f>IF(ISNA(C16),NA(),_xll.qlBondMaturityDate(C16,Trigger))</f>
        <v>43525</v>
      </c>
      <c r="E16" s="15">
        <f>IF(ISNA(C16),NA(),_xll.qlBondNextCouponRate(C16,BondSettlementDate))</f>
        <v>4.4999999999999998E-2</v>
      </c>
      <c r="F16" s="24">
        <f>IF(ISNA(C16),NA(),_xll.qlBondRedemptionAmount(C16,Trigger))</f>
        <v>100</v>
      </c>
      <c r="G16" s="13" t="str">
        <f t="shared" si="5"/>
        <v>IT0004423957_Quote</v>
      </c>
      <c r="H16" s="23" t="str">
        <f t="shared" si="6"/>
        <v>IT0004423957_Quote</v>
      </c>
      <c r="I16" s="12" t="str">
        <f>IF(LEFT(B16,3)="BTP",_xll.qlBTP2(,B16,D16,E16,F16,,,,Trigger),_xll.qlCCTEU(,B16,D16,E16,F16,,,,Trigger))</f>
        <v>obj_00a22#0000</v>
      </c>
      <c r="J16" s="25" t="str">
        <f>_xll.qlBondHelper(,H16,I16)</f>
        <v>obj_00a5e#0000</v>
      </c>
      <c r="K16" s="22" t="str">
        <f>_xll.qlBTP2(,B16,D16,E16,F16,,,,Trigger)</f>
        <v>obj_00a20#0000</v>
      </c>
      <c r="L16" s="22" t="b">
        <f>_xll.qlInstrumentSetPricingEngine(K16,BondPricingEngine)</f>
        <v>1</v>
      </c>
      <c r="M16" s="19">
        <f>_xll.qlBondCleanPrice(K16,AND(ISERROR(L16),ISERROR(N16)))</f>
        <v>112.3550004347819</v>
      </c>
      <c r="N16" s="23">
        <f>_xll.qlSimpleQuoteSetValue(G16,O16)</f>
        <v>0</v>
      </c>
      <c r="O16" s="23">
        <f t="shared" si="0"/>
        <v>112.355</v>
      </c>
      <c r="P16" s="20">
        <f t="shared" si="1"/>
        <v>3.0000000000001137E-2</v>
      </c>
      <c r="Q16" s="22" t="str">
        <f t="shared" si="2"/>
        <v>IT442395=TT</v>
      </c>
      <c r="R16" s="19">
        <v>112.34</v>
      </c>
      <c r="S16" s="19">
        <v>112.37</v>
      </c>
      <c r="T16" s="13" t="e">
        <f>_xll.MKV("EUR.CM_DEPTH.XLS_GOVIES."&amp;$C16,T$1)</f>
        <v>#REF!</v>
      </c>
      <c r="U16" s="13" t="e">
        <f>_xll.MKV("EUR.CM_DEPTH.XLS_GOVIES."&amp;$C16,U$1)</f>
        <v>#REF!</v>
      </c>
      <c r="V16" s="21">
        <f>IF(ISNA(C16),NA(),_xll.qlBondYieldFromCleanPrice(C16,O16,YieldDayCounter,YieldCompounding,YieldFrequency))</f>
        <v>3.1444107580930365E-4</v>
      </c>
      <c r="W16" s="15" t="b">
        <v>1</v>
      </c>
      <c r="X16" s="22" t="b">
        <f t="shared" si="3"/>
        <v>1</v>
      </c>
      <c r="Y16" s="20">
        <f>IF(ISNA(C16),NA(),M16-_xll.qlQuoteValue(H16))</f>
        <v>4.3478189581946936E-7</v>
      </c>
      <c r="Z16" s="8"/>
      <c r="AA16" s="1"/>
      <c r="AB16" s="66" t="str">
        <f t="shared" si="4"/>
        <v>BTP 2019-03-01 4.5%</v>
      </c>
      <c r="AC16" s="131">
        <f>_xll.BDP(C16&amp;" Corp", "days to mty")</f>
        <v>1009</v>
      </c>
      <c r="AD16" s="136">
        <f>IF(ISNA(ROUND(VLOOKUP(AC16,Contribution!C:J,8,FALSE),2)),"",ROUND(VLOOKUP(AC16,Contribution!C:J,8,FALSE),2))</f>
        <v>0.04</v>
      </c>
      <c r="AE16" s="134">
        <f t="shared" si="7"/>
        <v>0.8555892419069635</v>
      </c>
      <c r="AF16" s="1"/>
      <c r="AG16" s="1"/>
      <c r="AH16" s="1"/>
      <c r="AN16" s="2">
        <v>108.52</v>
      </c>
      <c r="AO16" s="2">
        <v>108.54</v>
      </c>
    </row>
    <row r="17" spans="1:41" x14ac:dyDescent="0.2">
      <c r="A17" s="4"/>
      <c r="B17" s="18" t="str">
        <f>IF(ISNA(C17),NA(),_xll.qlBondDescription(C17,Trigger))</f>
        <v>BTP 2019-05-01 2.5%</v>
      </c>
      <c r="C17" s="12" t="str">
        <v>IT0004992308</v>
      </c>
      <c r="D17" s="14">
        <f>IF(ISNA(C17),NA(),_xll.qlBondMaturityDate(C17,Trigger))</f>
        <v>43586</v>
      </c>
      <c r="E17" s="15">
        <f>IF(ISNA(C17),NA(),_xll.qlBondNextCouponRate(C17,BondSettlementDate))</f>
        <v>2.5000000000000001E-2</v>
      </c>
      <c r="F17" s="24">
        <f>IF(ISNA(C17),NA(),_xll.qlBondRedemptionAmount(C17,Trigger))</f>
        <v>100</v>
      </c>
      <c r="G17" s="13" t="str">
        <f t="shared" si="5"/>
        <v>IT0004992308_Quote</v>
      </c>
      <c r="H17" s="23" t="str">
        <f t="shared" si="6"/>
        <v>IT0004992308_Quote</v>
      </c>
      <c r="I17" s="12" t="str">
        <f>IF(LEFT(B17,3)="BTP",_xll.qlBTP2(,B17,D17,E17,F17,,,,Trigger),_xll.qlCCTEU(,B17,D17,E17,F17,,,,Trigger))</f>
        <v>obj_00a32#0000</v>
      </c>
      <c r="J17" s="25" t="str">
        <f>_xll.qlBondHelper(,H17,I17)</f>
        <v>obj_00a91#0000</v>
      </c>
      <c r="K17" s="22" t="str">
        <f>_xll.qlBTP2(,B17,D17,E17,F17,,,,Trigger)</f>
        <v>obj_00a77#0000</v>
      </c>
      <c r="L17" s="22" t="b">
        <f>_xll.qlInstrumentSetPricingEngine(K17,BondPricingEngine)</f>
        <v>1</v>
      </c>
      <c r="M17" s="19">
        <f>_xll.qlBondCleanPrice(K17,AND(ISERROR(L17),ISERROR(N17)))</f>
        <v>107.07999695652758</v>
      </c>
      <c r="N17" s="23">
        <f>_xll.qlSimpleQuoteSetValue(G17,O17)</f>
        <v>0</v>
      </c>
      <c r="O17" s="23">
        <f t="shared" si="0"/>
        <v>107.08000000000001</v>
      </c>
      <c r="P17" s="20">
        <f t="shared" si="1"/>
        <v>1.9999999999996021E-2</v>
      </c>
      <c r="Q17" s="22" t="str">
        <f t="shared" si="2"/>
        <v>IT499230=TT</v>
      </c>
      <c r="R17" s="19">
        <v>107.07000000000001</v>
      </c>
      <c r="S17" s="19">
        <v>107.09</v>
      </c>
      <c r="T17" s="13" t="e">
        <f>_xll.MKV("EUR.CM_DEPTH.XLS_GOVIES."&amp;$C17,T$1)</f>
        <v>#REF!</v>
      </c>
      <c r="U17" s="13" t="e">
        <f>_xll.MKV("EUR.CM_DEPTH.XLS_GOVIES."&amp;$C17,U$1)</f>
        <v>#REF!</v>
      </c>
      <c r="V17" s="21">
        <f>IF(ISNA(C17),NA(),_xll.qlBondYieldFromCleanPrice(C17,O17,YieldDayCounter,YieldCompounding,YieldFrequency))</f>
        <v>8.1854390945285929E-4</v>
      </c>
      <c r="W17" s="15" t="b">
        <v>1</v>
      </c>
      <c r="X17" s="22" t="b">
        <f t="shared" si="3"/>
        <v>1</v>
      </c>
      <c r="Y17" s="20">
        <f>IF(ISNA(C17),NA(),M17-_xll.qlQuoteValue(H17))</f>
        <v>-3.0434724322958573E-6</v>
      </c>
      <c r="Z17" s="8"/>
      <c r="AA17" s="1"/>
      <c r="AB17" s="66" t="str">
        <f t="shared" si="4"/>
        <v>BTP 2019-05-01 2.5%</v>
      </c>
      <c r="AC17" s="131">
        <f>_xll.BDP(C17&amp;" Corp", "days to mty")</f>
        <v>1070</v>
      </c>
      <c r="AD17" s="136">
        <f>IF(ISNA(ROUND(VLOOKUP(AC17,Contribution!C:J,8,FALSE),2)),"",ROUND(VLOOKUP(AC17,Contribution!C:J,8,FALSE),2))</f>
        <v>0.09</v>
      </c>
      <c r="AE17" s="134">
        <f t="shared" si="7"/>
        <v>0.81456090547140647</v>
      </c>
      <c r="AF17" s="1"/>
      <c r="AG17" s="1"/>
      <c r="AH17" s="1"/>
      <c r="AN17" s="2">
        <v>111.84</v>
      </c>
      <c r="AO17" s="2">
        <v>111.88</v>
      </c>
    </row>
    <row r="18" spans="1:41" x14ac:dyDescent="0.2">
      <c r="A18" s="4"/>
      <c r="B18" s="18" t="str">
        <f>IF(ISNA(C18),NA(),_xll.qlBondDescription(C18,Trigger))</f>
        <v>BTP 2019-08-01 1.5%</v>
      </c>
      <c r="C18" s="12" t="str">
        <v>IT0005030504</v>
      </c>
      <c r="D18" s="14">
        <f>IF(ISNA(C18),NA(),_xll.qlBondMaturityDate(C18,Trigger))</f>
        <v>43678</v>
      </c>
      <c r="E18" s="15">
        <f>IF(ISNA(C18),NA(),_xll.qlBondNextCouponRate(C18,BondSettlementDate))</f>
        <v>1.4999999999999999E-2</v>
      </c>
      <c r="F18" s="24">
        <f>IF(ISNA(C18),NA(),_xll.qlBondRedemptionAmount(C18,Trigger))</f>
        <v>100</v>
      </c>
      <c r="G18" s="13" t="str">
        <f t="shared" si="5"/>
        <v>IT0005030504_Quote</v>
      </c>
      <c r="H18" s="23" t="str">
        <f t="shared" si="6"/>
        <v>IT0005030504_Quote</v>
      </c>
      <c r="I18" s="12" t="str">
        <f>IF(LEFT(B18,3)="BTP",_xll.qlBTP2(,B18,D18,E18,F18,,,,Trigger),_xll.qlCCTEU(,B18,D18,E18,F18,,,,Trigger))</f>
        <v>obj_00a5b#0000</v>
      </c>
      <c r="J18" s="25" t="str">
        <f>_xll.qlBondHelper(,H18,I18)</f>
        <v>obj_00a80#0000</v>
      </c>
      <c r="K18" s="22" t="str">
        <f>_xll.qlBTP2(,B18,D18,E18,F18,,,,Trigger)</f>
        <v>obj_00a52#0000</v>
      </c>
      <c r="L18" s="22" t="b">
        <f>_xll.qlInstrumentSetPricingEngine(K18,BondPricingEngine)</f>
        <v>1</v>
      </c>
      <c r="M18" s="19">
        <f>_xll.qlBondCleanPrice(K18,AND(ISERROR(L18),ISERROR(N18)))</f>
        <v>104.43500109890111</v>
      </c>
      <c r="N18" s="23">
        <f>_xll.qlSimpleQuoteSetValue(G18,O18)</f>
        <v>0</v>
      </c>
      <c r="O18" s="23">
        <f t="shared" si="0"/>
        <v>104.435</v>
      </c>
      <c r="P18" s="20">
        <f t="shared" si="1"/>
        <v>3.0000000000001137E-2</v>
      </c>
      <c r="Q18" s="22" t="str">
        <f t="shared" si="2"/>
        <v>IT503050=TT</v>
      </c>
      <c r="R18" s="19">
        <v>104.42</v>
      </c>
      <c r="S18" s="19">
        <v>104.45</v>
      </c>
      <c r="T18" s="13" t="e">
        <f>_xll.MKV("EUR.CM_DEPTH.XLS_GOVIES."&amp;$C18,T$1)</f>
        <v>#REF!</v>
      </c>
      <c r="U18" s="13" t="e">
        <f>_xll.MKV("EUR.CM_DEPTH.XLS_GOVIES."&amp;$C18,U$1)</f>
        <v>#REF!</v>
      </c>
      <c r="V18" s="21">
        <f>IF(ISNA(C18),NA(),_xll.qlBondYieldFromCleanPrice(C18,O18,YieldDayCounter,YieldCompounding,YieldFrequency))</f>
        <v>1.0445943519845641E-3</v>
      </c>
      <c r="W18" s="15" t="b">
        <v>1</v>
      </c>
      <c r="X18" s="22" t="b">
        <f t="shared" si="3"/>
        <v>1</v>
      </c>
      <c r="Y18" s="20">
        <f>IF(ISNA(C18),NA(),M18-_xll.qlQuoteValue(H18))</f>
        <v>1.0989011087758627E-6</v>
      </c>
      <c r="Z18" s="8"/>
      <c r="AA18" s="1"/>
      <c r="AB18" s="66" t="str">
        <f t="shared" si="4"/>
        <v>BTP 2019-08-01 1.5%</v>
      </c>
      <c r="AC18" s="131">
        <f>_xll.BDP(C18&amp;" Corp", "days to mty")</f>
        <v>1162</v>
      </c>
      <c r="AD18" s="136">
        <f>IF(ISNA(ROUND(VLOOKUP(AC18,Contribution!C:J,8,FALSE),2)),"",ROUND(VLOOKUP(AC18,Contribution!C:J,8,FALSE),2))</f>
        <v>0.11</v>
      </c>
      <c r="AE18" s="134">
        <f t="shared" si="7"/>
        <v>0.55405648015435927</v>
      </c>
      <c r="AF18" s="1"/>
      <c r="AG18" s="1"/>
      <c r="AH18" s="1"/>
      <c r="AN18" s="2">
        <v>109.82</v>
      </c>
      <c r="AO18" s="2">
        <v>109.86</v>
      </c>
    </row>
    <row r="19" spans="1:41" x14ac:dyDescent="0.2">
      <c r="A19" s="4"/>
      <c r="B19" s="18" t="str">
        <f>IF(ISNA(C19),NA(),_xll.qlBondDescription(C19,Trigger))</f>
        <v>BTP 2019-09-01 4.25%</v>
      </c>
      <c r="C19" s="12" t="str">
        <v>IT0004489610</v>
      </c>
      <c r="D19" s="14">
        <f>IF(ISNA(C19),NA(),_xll.qlBondMaturityDate(C19,Trigger))</f>
        <v>43709</v>
      </c>
      <c r="E19" s="15">
        <f>IF(ISNA(C19),NA(),_xll.qlBondNextCouponRate(C19,BondSettlementDate))</f>
        <v>4.2500000000000003E-2</v>
      </c>
      <c r="F19" s="24">
        <f>IF(ISNA(C19),NA(),_xll.qlBondRedemptionAmount(C19,Trigger))</f>
        <v>100</v>
      </c>
      <c r="G19" s="13" t="str">
        <f t="shared" si="5"/>
        <v>IT0004489610_Quote</v>
      </c>
      <c r="H19" s="23" t="str">
        <f t="shared" si="6"/>
        <v>IT0004489610_Quote</v>
      </c>
      <c r="I19" s="12" t="str">
        <f>IF(LEFT(B19,3)="BTP",_xll.qlBTP2(,B19,D19,E19,F19,,,,Trigger),_xll.qlCCTEU(,B19,D19,E19,F19,,,,Trigger))</f>
        <v>obj_00a03#0000</v>
      </c>
      <c r="J19" s="25" t="str">
        <f>_xll.qlBondHelper(,H19,I19)</f>
        <v>obj_00a71#0000</v>
      </c>
      <c r="K19" s="22" t="str">
        <f>_xll.qlBTP2(,B19,D19,E19,F19,,,,Trigger)</f>
        <v>obj_00a15#0000</v>
      </c>
      <c r="L19" s="22" t="b">
        <f>_xll.qlInstrumentSetPricingEngine(K19,BondPricingEngine)</f>
        <v>1</v>
      </c>
      <c r="M19" s="19">
        <f>_xll.qlBondCleanPrice(K19,AND(ISERROR(L19),ISERROR(N19)))</f>
        <v>113.41499652173516</v>
      </c>
      <c r="N19" s="23">
        <f>_xll.qlSimpleQuoteSetValue(G19,O19)</f>
        <v>0</v>
      </c>
      <c r="O19" s="23">
        <f t="shared" si="0"/>
        <v>113.41500000000001</v>
      </c>
      <c r="P19" s="20">
        <f t="shared" si="1"/>
        <v>3.0000000000001137E-2</v>
      </c>
      <c r="Q19" s="22" t="str">
        <f t="shared" si="2"/>
        <v>IT448961=TT</v>
      </c>
      <c r="R19" s="19">
        <v>113.4</v>
      </c>
      <c r="S19" s="19">
        <v>113.43</v>
      </c>
      <c r="T19" s="13" t="e">
        <f>_xll.MKV("EUR.CM_DEPTH.XLS_GOVIES."&amp;$C19,T$1)</f>
        <v>#REF!</v>
      </c>
      <c r="U19" s="13" t="e">
        <f>_xll.MKV("EUR.CM_DEPTH.XLS_GOVIES."&amp;$C19,U$1)</f>
        <v>#REF!</v>
      </c>
      <c r="V19" s="21">
        <f>IF(ISNA(C19),NA(),_xll.qlBondYieldFromCleanPrice(C19,O19,YieldDayCounter,YieldCompounding,YieldFrequency))</f>
        <v>1.3252950715646182E-3</v>
      </c>
      <c r="W19" s="15" t="b">
        <v>1</v>
      </c>
      <c r="X19" s="22" t="b">
        <f t="shared" si="3"/>
        <v>1</v>
      </c>
      <c r="Y19" s="20">
        <f>IF(ISNA(C19),NA(),M19-_xll.qlQuoteValue(H19))</f>
        <v>-3.4782648441478159E-6</v>
      </c>
      <c r="Z19" s="8"/>
      <c r="AA19" s="1"/>
      <c r="AB19" s="66" t="str">
        <f t="shared" si="4"/>
        <v>BTP 2019-09-01 4.25%</v>
      </c>
      <c r="AC19" s="131">
        <f>_xll.BDP(C19&amp;" Corp", "days to mty")</f>
        <v>1193</v>
      </c>
      <c r="AD19" s="136">
        <f>IF(ISNA(ROUND(VLOOKUP(AC19,Contribution!C:J,8,FALSE),2)),"",ROUND(VLOOKUP(AC19,Contribution!C:J,8,FALSE),2))</f>
        <v>0.14000000000000001</v>
      </c>
      <c r="AE19" s="134">
        <f t="shared" si="7"/>
        <v>0.74704928435382068</v>
      </c>
      <c r="AF19" s="1"/>
      <c r="AG19" s="1"/>
      <c r="AH19" s="1"/>
      <c r="AN19" s="2">
        <v>112.62</v>
      </c>
      <c r="AO19" s="2">
        <v>112.67</v>
      </c>
    </row>
    <row r="20" spans="1:41" x14ac:dyDescent="0.2">
      <c r="A20" s="4"/>
      <c r="B20" s="18" t="str">
        <f>IF(ISNA(C20),NA(),_xll.qlBondDescription(C20,Trigger))</f>
        <v>BTP 2019-12-01 1.05%</v>
      </c>
      <c r="C20" s="12" t="str">
        <v>IT0005069395</v>
      </c>
      <c r="D20" s="14">
        <f>IF(ISNA(C20),NA(),_xll.qlBondMaturityDate(C20,Trigger))</f>
        <v>43800</v>
      </c>
      <c r="E20" s="15">
        <f>IF(ISNA(C20),NA(),_xll.qlBondNextCouponRate(C20,BondSettlementDate))</f>
        <v>1.0500000000000001E-2</v>
      </c>
      <c r="F20" s="24">
        <f>IF(ISNA(C20),NA(),_xll.qlBondRedemptionAmount(C20,Trigger))</f>
        <v>100</v>
      </c>
      <c r="G20" s="13" t="str">
        <f t="shared" si="5"/>
        <v>IT0005069395_Quote</v>
      </c>
      <c r="H20" s="23" t="str">
        <f t="shared" si="6"/>
        <v>IT0005069395_Quote</v>
      </c>
      <c r="I20" s="12" t="str">
        <f>IF(LEFT(B20,3)="BTP",_xll.qlBTP2(,B20,D20,E20,F20,,,,Trigger),_xll.qlCCTEU(,B20,D20,E20,F20,,,,Trigger))</f>
        <v>obj_00a49#0000</v>
      </c>
      <c r="J20" s="25" t="str">
        <f>_xll.qlBondHelper(,H20,I20)</f>
        <v>obj_00a8f#0000</v>
      </c>
      <c r="K20" s="22" t="str">
        <f>_xll.qlBTP2(,B20,D20,E20,F20,,,,Trigger)</f>
        <v>obj_00a69#0000</v>
      </c>
      <c r="L20" s="22" t="b">
        <f>_xll.qlInstrumentSetPricingEngine(K20,BondPricingEngine)</f>
        <v>1</v>
      </c>
      <c r="M20" s="19">
        <f>_xll.qlBondCleanPrice(K20,AND(ISERROR(L20),ISERROR(N20)))</f>
        <v>103.15999688526715</v>
      </c>
      <c r="N20" s="23">
        <f>_xll.qlSimpleQuoteSetValue(G20,O20)</f>
        <v>-4.9999999999954525E-3</v>
      </c>
      <c r="O20" s="23">
        <f t="shared" si="0"/>
        <v>103.16</v>
      </c>
      <c r="P20" s="20">
        <f t="shared" si="1"/>
        <v>4.0000000000006253E-2</v>
      </c>
      <c r="Q20" s="22" t="str">
        <f t="shared" si="2"/>
        <v>IT506939=TT</v>
      </c>
      <c r="R20" s="19">
        <v>103.14</v>
      </c>
      <c r="S20" s="19">
        <v>103.18</v>
      </c>
      <c r="T20" s="13" t="e">
        <f>_xll.MKV("EUR.CM_DEPTH.XLS_GOVIES."&amp;$C20,T$1)</f>
        <v>#REF!</v>
      </c>
      <c r="U20" s="13" t="e">
        <f>_xll.MKV("EUR.CM_DEPTH.XLS_GOVIES."&amp;$C20,U$1)</f>
        <v>#REF!</v>
      </c>
      <c r="V20" s="21">
        <f>IF(ISNA(C20),NA(),_xll.qlBondYieldFromCleanPrice(C20,O20,YieldDayCounter,YieldCompounding,YieldFrequency))</f>
        <v>1.4860354068514216E-3</v>
      </c>
      <c r="W20" s="15" t="b">
        <v>1</v>
      </c>
      <c r="X20" s="22" t="b">
        <f t="shared" si="3"/>
        <v>1</v>
      </c>
      <c r="Y20" s="20">
        <f>IF(ISNA(C20),NA(),M20-_xll.qlQuoteValue(H20))</f>
        <v>-3.114732848530366E-6</v>
      </c>
      <c r="Z20" s="8"/>
      <c r="AA20" s="1"/>
      <c r="AB20" s="66" t="str">
        <f t="shared" si="4"/>
        <v>BTP 2019-12-01 1.05%</v>
      </c>
      <c r="AC20" s="131">
        <f>_xll.BDP(C20&amp;" Corp", "days to mty")</f>
        <v>1284</v>
      </c>
      <c r="AD20" s="136" t="str">
        <f>IF(ISNA(ROUND(VLOOKUP(AC20,Contribution!C:J,8,FALSE),2)),"",ROUND(VLOOKUP(AC20,Contribution!C:J,8,FALSE),2))</f>
        <v/>
      </c>
      <c r="AE20" s="134" t="str">
        <f t="shared" si="7"/>
        <v/>
      </c>
      <c r="AF20" s="1"/>
      <c r="AG20" s="1"/>
      <c r="AH20" s="1"/>
      <c r="AN20" s="2">
        <v>113.73</v>
      </c>
      <c r="AO20" s="2">
        <v>113.78</v>
      </c>
    </row>
    <row r="21" spans="1:41" x14ac:dyDescent="0.2">
      <c r="A21" s="4"/>
      <c r="B21" s="18" t="str">
        <f>IF(ISNA(C21),NA(),_xll.qlBondDescription(C21,Trigger))</f>
        <v>BTP 2020-02-01 4.5%</v>
      </c>
      <c r="C21" s="12" t="str">
        <v>IT0003644769</v>
      </c>
      <c r="D21" s="14">
        <f>IF(ISNA(C21),NA(),_xll.qlBondMaturityDate(C21,Trigger))</f>
        <v>43862</v>
      </c>
      <c r="E21" s="15">
        <f>IF(ISNA(C21),NA(),_xll.qlBondNextCouponRate(C21,BondSettlementDate))</f>
        <v>4.4999999999999998E-2</v>
      </c>
      <c r="F21" s="24">
        <f>IF(ISNA(C21),NA(),_xll.qlBondRedemptionAmount(C21,Trigger))</f>
        <v>100</v>
      </c>
      <c r="G21" s="13" t="str">
        <f t="shared" si="5"/>
        <v>IT0003644769_Quote</v>
      </c>
      <c r="H21" s="23" t="str">
        <f t="shared" si="6"/>
        <v>IT0003644769_Quote</v>
      </c>
      <c r="I21" s="12" t="str">
        <f>IF(LEFT(B21,3)="BTP",_xll.qlBTP2(,B21,D21,E21,F21,,,,Trigger),_xll.qlCCTEU(,B21,D21,E21,F21,,,,Trigger))</f>
        <v>obj_00a3e#0000</v>
      </c>
      <c r="J21" s="25" t="str">
        <f>_xll.qlBondHelper(,H21,I21)</f>
        <v>obj_00a85#0000</v>
      </c>
      <c r="K21" s="22" t="str">
        <f>_xll.qlBTP2(,B21,D21,E21,F21,,,,Trigger)</f>
        <v>obj_00a78#0000</v>
      </c>
      <c r="L21" s="22" t="b">
        <f>_xll.qlInstrumentSetPricingEngine(K21,BondPricingEngine)</f>
        <v>1</v>
      </c>
      <c r="M21" s="19">
        <f>_xll.qlBondCleanPrice(K21,AND(ISERROR(L21),ISERROR(N21)))</f>
        <v>115.86000329670331</v>
      </c>
      <c r="N21" s="23">
        <f>_xll.qlSimpleQuoteSetValue(G21,O21)</f>
        <v>5.0000000000096634E-3</v>
      </c>
      <c r="O21" s="23">
        <f t="shared" si="0"/>
        <v>115.86</v>
      </c>
      <c r="P21" s="20">
        <f t="shared" si="1"/>
        <v>3.9999999999992042E-2</v>
      </c>
      <c r="Q21" s="22" t="str">
        <f t="shared" si="2"/>
        <v>IT364476=TT</v>
      </c>
      <c r="R21" s="19">
        <v>115.84</v>
      </c>
      <c r="S21" s="19">
        <v>115.88</v>
      </c>
      <c r="T21" s="13" t="e">
        <f>_xll.MKV("EUR.CM_DEPTH.XLS_GOVIES."&amp;$C21,T$1)</f>
        <v>#REF!</v>
      </c>
      <c r="U21" s="13" t="e">
        <f>_xll.MKV("EUR.CM_DEPTH.XLS_GOVIES."&amp;$C21,U$1)</f>
        <v>#REF!</v>
      </c>
      <c r="V21" s="21">
        <f>IF(ISNA(C21),NA(),_xll.qlBondYieldFromCleanPrice(C21,O21,YieldDayCounter,YieldCompounding,YieldFrequency))</f>
        <v>1.7862409055605572E-3</v>
      </c>
      <c r="W21" s="15" t="b">
        <v>1</v>
      </c>
      <c r="X21" s="22" t="b">
        <f t="shared" si="3"/>
        <v>1</v>
      </c>
      <c r="Y21" s="20">
        <f>IF(ISNA(C21),NA(),M21-_xll.qlQuoteValue(H21))</f>
        <v>3.2967033121167333E-6</v>
      </c>
      <c r="Z21" s="8"/>
      <c r="AA21" s="1"/>
      <c r="AB21" s="66" t="str">
        <f t="shared" si="4"/>
        <v>BTP 2020-02-01 4.5%</v>
      </c>
      <c r="AC21" s="131">
        <f>_xll.BDP(C21&amp;" Corp", "days to mty")</f>
        <v>1346</v>
      </c>
      <c r="AD21" s="136">
        <f>IF(ISNA(ROUND(VLOOKUP(AC21,Contribution!C:J,8,FALSE),2)),"",ROUND(VLOOKUP(AC21,Contribution!C:J,8,FALSE),2))</f>
        <v>0.19</v>
      </c>
      <c r="AE21" s="134">
        <f t="shared" si="7"/>
        <v>1.1375909443944288</v>
      </c>
      <c r="AF21" s="1"/>
      <c r="AG21" s="1"/>
      <c r="AH21" s="1"/>
      <c r="AN21" s="2">
        <v>114.2</v>
      </c>
      <c r="AO21" s="2">
        <v>114.25</v>
      </c>
    </row>
    <row r="22" spans="1:41" x14ac:dyDescent="0.2">
      <c r="A22" s="4"/>
      <c r="B22" s="18" t="str">
        <f>IF(ISNA(C22),NA(),_xll.qlBondDescription(C22,Trigger))</f>
        <v>BTP 2020-03-01 4.25%</v>
      </c>
      <c r="C22" s="12" t="str">
        <v>IT0004536949</v>
      </c>
      <c r="D22" s="14">
        <f>IF(ISNA(C22),NA(),_xll.qlBondMaturityDate(C22,Trigger))</f>
        <v>43891</v>
      </c>
      <c r="E22" s="15">
        <f>IF(ISNA(C22),NA(),_xll.qlBondNextCouponRate(C22,BondSettlementDate))</f>
        <v>4.2500000000000003E-2</v>
      </c>
      <c r="F22" s="24">
        <f>IF(ISNA(C22),NA(),_xll.qlBondRedemptionAmount(C22,Trigger))</f>
        <v>100</v>
      </c>
      <c r="G22" s="13" t="str">
        <f t="shared" si="5"/>
        <v>IT0004536949_Quote</v>
      </c>
      <c r="H22" s="23" t="str">
        <f t="shared" si="6"/>
        <v>IT0004536949_Quote</v>
      </c>
      <c r="I22" s="12" t="str">
        <f>IF(LEFT(B22,3)="BTP",_xll.qlBTP2(,B22,D22,E22,F22,,,,Trigger),_xll.qlCCTEU(,B22,D22,E22,F22,,,,Trigger))</f>
        <v>obj_00a16#0000</v>
      </c>
      <c r="J22" s="25" t="str">
        <f>_xll.qlBondHelper(,H22,I22)</f>
        <v>obj_00a6c#0000</v>
      </c>
      <c r="K22" s="22" t="str">
        <f>_xll.qlBTP2(,B22,D22,E22,F22,,,,Trigger)</f>
        <v>obj_00a1b#0000</v>
      </c>
      <c r="L22" s="22" t="b">
        <f>_xll.qlInstrumentSetPricingEngine(K22,BondPricingEngine)</f>
        <v>1</v>
      </c>
      <c r="M22" s="19">
        <f>_xll.qlBondCleanPrice(K22,AND(ISERROR(L22),ISERROR(N22)))</f>
        <v>115.22999652173206</v>
      </c>
      <c r="N22" s="23">
        <f>_xll.qlSimpleQuoteSetValue(G22,O22)</f>
        <v>0</v>
      </c>
      <c r="O22" s="23">
        <f t="shared" si="0"/>
        <v>115.23</v>
      </c>
      <c r="P22" s="20">
        <f t="shared" si="1"/>
        <v>3.9999999999992042E-2</v>
      </c>
      <c r="Q22" s="22" t="str">
        <f t="shared" si="2"/>
        <v>IT453694=TT</v>
      </c>
      <c r="R22" s="19">
        <v>115.21000000000001</v>
      </c>
      <c r="S22" s="19">
        <v>115.25</v>
      </c>
      <c r="T22" s="13" t="e">
        <f>_xll.MKV("EUR.CM_DEPTH.XLS_GOVIES."&amp;$C22,T$1)</f>
        <v>#REF!</v>
      </c>
      <c r="U22" s="13" t="e">
        <f>_xll.MKV("EUR.CM_DEPTH.XLS_GOVIES."&amp;$C22,U$1)</f>
        <v>#REF!</v>
      </c>
      <c r="V22" s="21">
        <f>IF(ISNA(C22),NA(),_xll.qlBondYieldFromCleanPrice(C22,O22,YieldDayCounter,YieldCompounding,YieldFrequency))</f>
        <v>1.8974579477633322E-3</v>
      </c>
      <c r="W22" s="15" t="b">
        <v>1</v>
      </c>
      <c r="X22" s="22" t="b">
        <f t="shared" si="3"/>
        <v>1</v>
      </c>
      <c r="Y22" s="20">
        <f>IF(ISNA(C22),NA(),M22-_xll.qlQuoteValue(H22))</f>
        <v>-3.4782679421141438E-6</v>
      </c>
      <c r="Z22" s="8"/>
      <c r="AA22" s="1"/>
      <c r="AB22" s="66" t="str">
        <f t="shared" si="4"/>
        <v>BTP 2020-03-01 4.25%</v>
      </c>
      <c r="AC22" s="131">
        <f>_xll.BDP(C22&amp;" Corp", "days to mty")</f>
        <v>1375</v>
      </c>
      <c r="AD22" s="136">
        <f>IF(ISNA(ROUND(VLOOKUP(AC22,Contribution!C:J,8,FALSE),2)),"",ROUND(VLOOKUP(AC22,Contribution!C:J,8,FALSE),2))</f>
        <v>0.2</v>
      </c>
      <c r="AE22" s="134">
        <f t="shared" si="7"/>
        <v>1.0254205223666797</v>
      </c>
      <c r="AF22" s="1"/>
      <c r="AG22" s="1"/>
      <c r="AH22" s="1"/>
      <c r="AN22" s="2">
        <v>116.31</v>
      </c>
      <c r="AO22" s="2">
        <v>116.38</v>
      </c>
    </row>
    <row r="23" spans="1:41" x14ac:dyDescent="0.2">
      <c r="A23" s="4"/>
      <c r="B23" s="18" t="str">
        <f>IF(ISNA(C23),NA(),_xll.qlBondDescription(C23,Trigger))</f>
        <v>BTP 2020-05-01 0.7%</v>
      </c>
      <c r="C23" s="12" t="str">
        <v>IT0005107708</v>
      </c>
      <c r="D23" s="14">
        <f>IF(ISNA(C23),NA(),_xll.qlBondMaturityDate(C23,Trigger))</f>
        <v>43952</v>
      </c>
      <c r="E23" s="15">
        <f>IF(ISNA(C23),NA(),_xll.qlBondNextCouponRate(C23,BondSettlementDate))</f>
        <v>7.0000000000000001E-3</v>
      </c>
      <c r="F23" s="24">
        <f>IF(ISNA(C23),NA(),_xll.qlBondRedemptionAmount(C23,Trigger))</f>
        <v>100</v>
      </c>
      <c r="G23" s="13" t="str">
        <f t="shared" si="5"/>
        <v>IT0005107708_Quote</v>
      </c>
      <c r="H23" s="23" t="str">
        <f t="shared" si="6"/>
        <v>IT0005107708_Quote</v>
      </c>
      <c r="I23" s="12" t="str">
        <f>IF(LEFT(B23,3)="BTP",_xll.qlBTP2(,B23,D23,E23,F23,,,,Trigger),_xll.qlCCTEU(,B23,D23,E23,F23,,,,Trigger))</f>
        <v>obj_00a1c#0000</v>
      </c>
      <c r="J23" s="25" t="str">
        <f>_xll.qlBondHelper(,H23,I23)</f>
        <v>obj_00a27#0000</v>
      </c>
      <c r="K23" s="22" t="str">
        <f>_xll.qlBTP2(,B23,D23,E23,F23,,,,Trigger)</f>
        <v>obj_00a04#0000</v>
      </c>
      <c r="L23" s="22" t="b">
        <f>_xll.qlInstrumentSetPricingEngine(K23,BondPricingEngine)</f>
        <v>1</v>
      </c>
      <c r="M23" s="19">
        <f>_xll.qlBondCleanPrice(K23,AND(ISERROR(L23),ISERROR(N23)))</f>
        <v>101.79500434775852</v>
      </c>
      <c r="N23" s="23">
        <f>_xll.qlSimpleQuoteSetValue(G23,O23)</f>
        <v>0</v>
      </c>
      <c r="O23" s="23">
        <f t="shared" si="0"/>
        <v>101.795</v>
      </c>
      <c r="P23" s="20">
        <f t="shared" si="1"/>
        <v>5.0000000000011369E-2</v>
      </c>
      <c r="Q23" s="22" t="str">
        <f t="shared" si="2"/>
        <v>IT510770=TT</v>
      </c>
      <c r="R23" s="19">
        <v>101.77</v>
      </c>
      <c r="S23" s="19">
        <v>101.82000000000001</v>
      </c>
      <c r="T23" s="13" t="e">
        <f>_xll.MKV("EUR.CM_DEPTH.XLS_GOVIES."&amp;$C23,T$1)</f>
        <v>#REF!</v>
      </c>
      <c r="U23" s="13" t="e">
        <f>_xll.MKV("EUR.CM_DEPTH.XLS_GOVIES."&amp;$C23,U$1)</f>
        <v>#REF!</v>
      </c>
      <c r="V23" s="21">
        <f>IF(ISNA(C23),NA(),_xll.qlBondYieldFromCleanPrice(C23,O23,YieldDayCounter,YieldCompounding,YieldFrequency))</f>
        <v>2.4069963962212245E-3</v>
      </c>
      <c r="W23" s="15" t="b">
        <v>1</v>
      </c>
      <c r="X23" s="22" t="b">
        <f t="shared" si="3"/>
        <v>1</v>
      </c>
      <c r="Y23" s="20">
        <f>IF(ISNA(C23),NA(),M23-_xll.qlQuoteValue(H23))</f>
        <v>4.3477585194295898E-6</v>
      </c>
      <c r="Z23" s="8"/>
      <c r="AA23" s="1"/>
      <c r="AB23" s="66" t="str">
        <f t="shared" si="4"/>
        <v>BTP 2020-05-01 0.7%</v>
      </c>
      <c r="AC23" s="131">
        <f>_xll.BDP(C23&amp;" Corp", "days to mty")</f>
        <v>1436</v>
      </c>
      <c r="AD23" s="136">
        <f>IF(ISNA(ROUND(VLOOKUP(AC23,Contribution!C:J,8,FALSE),2)),"",ROUND(VLOOKUP(AC23,Contribution!C:J,8,FALSE),2))</f>
        <v>0.24</v>
      </c>
      <c r="AE23" s="134">
        <f t="shared" si="7"/>
        <v>-6.9963962212246655E-2</v>
      </c>
      <c r="AF23" s="1"/>
      <c r="AG23" s="1"/>
      <c r="AH23" s="1"/>
      <c r="AN23" s="2">
        <v>115.52</v>
      </c>
      <c r="AO23" s="2">
        <v>115.58</v>
      </c>
    </row>
    <row r="24" spans="1:41" x14ac:dyDescent="0.2">
      <c r="A24" s="4"/>
      <c r="B24" s="18" t="str">
        <f>IF(ISNA(C24),NA(),_xll.qlBondDescription(C24,Trigger))</f>
        <v>BTP 2020-09-01 4%</v>
      </c>
      <c r="C24" s="12" t="str">
        <v>IT0004594930</v>
      </c>
      <c r="D24" s="14">
        <f>IF(ISNA(C24),NA(),_xll.qlBondMaturityDate(C24,Trigger))</f>
        <v>44075</v>
      </c>
      <c r="E24" s="15">
        <f>IF(ISNA(C24),NA(),_xll.qlBondNextCouponRate(C24,BondSettlementDate))</f>
        <v>0.04</v>
      </c>
      <c r="F24" s="24">
        <f>IF(ISNA(C24),NA(),_xll.qlBondRedemptionAmount(C24,Trigger))</f>
        <v>100</v>
      </c>
      <c r="G24" s="13" t="str">
        <f t="shared" si="5"/>
        <v>IT0004594930_Quote</v>
      </c>
      <c r="H24" s="23" t="str">
        <f t="shared" si="6"/>
        <v>IT0004594930_Quote</v>
      </c>
      <c r="I24" s="12" t="str">
        <f>IF(LEFT(B24,3)="BTP",_xll.qlBTP2(,B24,D24,E24,F24,,,,Trigger),_xll.qlCCTEU(,B24,D24,E24,F24,,,,Trigger))</f>
        <v>obj_00a4b#0000</v>
      </c>
      <c r="J24" s="25" t="str">
        <f>_xll.qlBondHelper(,H24,I24)</f>
        <v>obj_00aa6#0000</v>
      </c>
      <c r="K24" s="22" t="str">
        <f>_xll.qlBTP2(,B24,D24,E24,F24,,,,Trigger)</f>
        <v>obj_00a3f#0000</v>
      </c>
      <c r="L24" s="22" t="b">
        <f>_xll.qlInstrumentSetPricingEngine(K24,BondPricingEngine)</f>
        <v>1</v>
      </c>
      <c r="M24" s="19">
        <f>_xll.qlBondCleanPrice(K24,AND(ISERROR(L24),ISERROR(N24)))</f>
        <v>115.64000260868897</v>
      </c>
      <c r="N24" s="23">
        <f>_xll.qlSimpleQuoteSetValue(G24,O24)</f>
        <v>0</v>
      </c>
      <c r="O24" s="23">
        <f t="shared" si="0"/>
        <v>115.63</v>
      </c>
      <c r="P24" s="20">
        <f t="shared" si="1"/>
        <v>5.9999999999988063E-2</v>
      </c>
      <c r="Q24" s="22" t="str">
        <f t="shared" si="2"/>
        <v>IT459493=TT</v>
      </c>
      <c r="R24" s="19">
        <v>115.60000000000001</v>
      </c>
      <c r="S24" s="19">
        <v>115.66</v>
      </c>
      <c r="T24" s="13" t="e">
        <f>_xll.MKV("EUR.CM_DEPTH.XLS_GOVIES."&amp;$C24,T$1)</f>
        <v>#REF!</v>
      </c>
      <c r="U24" s="13" t="e">
        <f>_xll.MKV("EUR.CM_DEPTH.XLS_GOVIES."&amp;$C24,U$1)</f>
        <v>#REF!</v>
      </c>
      <c r="V24" s="21">
        <f>IF(ISNA(C24),NA(),_xll.qlBondYieldFromCleanPrice(C24,O24,YieldDayCounter,YieldCompounding,YieldFrequency))</f>
        <v>3.0948805232718624E-3</v>
      </c>
      <c r="W24" s="15" t="b">
        <v>1</v>
      </c>
      <c r="X24" s="22" t="b">
        <f t="shared" si="3"/>
        <v>1</v>
      </c>
      <c r="Y24" s="20">
        <f>IF(ISNA(C24),NA(),M24-_xll.qlQuoteValue(H24))</f>
        <v>1.0002608688978398E-2</v>
      </c>
      <c r="Z24" s="8"/>
      <c r="AA24" s="1"/>
      <c r="AB24" s="66" t="str">
        <f t="shared" si="4"/>
        <v>BTP 2020-09-01 4%</v>
      </c>
      <c r="AC24" s="131">
        <f>_xll.BDP(C24&amp;" Corp", "days to mty")</f>
        <v>1559</v>
      </c>
      <c r="AD24" s="136">
        <f>IF(ISNA(ROUND(VLOOKUP(AC24,Contribution!C:J,8,FALSE),2)),"",ROUND(VLOOKUP(AC24,Contribution!C:J,8,FALSE),2))</f>
        <v>0.33</v>
      </c>
      <c r="AE24" s="134">
        <f t="shared" si="7"/>
        <v>2.0511947672813777</v>
      </c>
      <c r="AF24" s="1"/>
      <c r="AG24" s="1"/>
      <c r="AH24" s="1"/>
      <c r="AN24" s="2">
        <v>115.38</v>
      </c>
      <c r="AO24" s="2">
        <v>115.45</v>
      </c>
    </row>
    <row r="25" spans="1:41" x14ac:dyDescent="0.2">
      <c r="A25" s="4"/>
      <c r="B25" s="18" t="str">
        <f>IF(ISNA(C25),NA(),_xll.qlBondDescription(C25,Trigger))</f>
        <v>BTP 2021-03-01 3.75%</v>
      </c>
      <c r="C25" s="12" t="str">
        <v>IT0004634132</v>
      </c>
      <c r="D25" s="14">
        <f>IF(ISNA(C25),NA(),_xll.qlBondMaturityDate(C25,Trigger))</f>
        <v>44256</v>
      </c>
      <c r="E25" s="15">
        <f>IF(ISNA(C25),NA(),_xll.qlBondNextCouponRate(C25,BondSettlementDate))</f>
        <v>3.7499999999999999E-2</v>
      </c>
      <c r="F25" s="24">
        <f>IF(ISNA(C25),NA(),_xll.qlBondRedemptionAmount(C25,Trigger))</f>
        <v>100</v>
      </c>
      <c r="G25" s="13" t="str">
        <f t="shared" si="5"/>
        <v>IT0004634132_Quote</v>
      </c>
      <c r="H25" s="23" t="str">
        <f t="shared" si="6"/>
        <v>IT0004634132_Quote</v>
      </c>
      <c r="I25" s="12" t="str">
        <f>IF(LEFT(B25,3)="BTP",_xll.qlBTP2(,B25,D25,E25,F25,,,,Trigger),_xll.qlCCTEU(,B25,D25,E25,F25,,,,Trigger))</f>
        <v>obj_00a11#0000</v>
      </c>
      <c r="J25" s="25" t="str">
        <f>_xll.qlBondHelper(,H25,I25)</f>
        <v>obj_00a60#0000</v>
      </c>
      <c r="K25" s="22" t="str">
        <f>_xll.qlBTP2(,B25,D25,E25,F25,,,,Trigger)</f>
        <v>obj_00a1f#0000</v>
      </c>
      <c r="L25" s="22" t="b">
        <f>_xll.qlInstrumentSetPricingEngine(K25,BondPricingEngine)</f>
        <v>1</v>
      </c>
      <c r="M25" s="19">
        <f>_xll.qlBondCleanPrice(K25,AND(ISERROR(L25),ISERROR(N25)))</f>
        <v>115.69499869564589</v>
      </c>
      <c r="N25" s="23">
        <f>_xll.qlSimpleQuoteSetValue(G25,O25)</f>
        <v>-4.9999999999954525E-3</v>
      </c>
      <c r="O25" s="23">
        <f t="shared" si="0"/>
        <v>115.69</v>
      </c>
      <c r="P25" s="20">
        <f t="shared" si="1"/>
        <v>6.0000000000002274E-2</v>
      </c>
      <c r="Q25" s="22" t="str">
        <f t="shared" si="2"/>
        <v>IT463413=TT</v>
      </c>
      <c r="R25" s="19">
        <v>115.66</v>
      </c>
      <c r="S25" s="19">
        <v>115.72</v>
      </c>
      <c r="T25" s="13" t="e">
        <f>_xll.MKV("EUR.CM_DEPTH.XLS_GOVIES."&amp;$C25,T$1)</f>
        <v>#REF!</v>
      </c>
      <c r="U25" s="13" t="e">
        <f>_xll.MKV("EUR.CM_DEPTH.XLS_GOVIES."&amp;$C25,U$1)</f>
        <v>#REF!</v>
      </c>
      <c r="V25" s="21">
        <f>IF(ISNA(C25),NA(),_xll.qlBondYieldFromCleanPrice(C25,O25,YieldDayCounter,YieldCompounding,YieldFrequency))</f>
        <v>4.2182790667936246E-3</v>
      </c>
      <c r="W25" s="15" t="b">
        <v>1</v>
      </c>
      <c r="X25" s="22" t="b">
        <f t="shared" si="3"/>
        <v>1</v>
      </c>
      <c r="Y25" s="20">
        <f>IF(ISNA(C25),NA(),M25-_xll.qlQuoteValue(H25))</f>
        <v>4.9986956458951681E-3</v>
      </c>
      <c r="Z25" s="8"/>
      <c r="AA25" s="1"/>
      <c r="AB25" s="66" t="str">
        <f t="shared" si="4"/>
        <v>BTP 2021-03-01 3.75%</v>
      </c>
      <c r="AC25" s="131">
        <f>_xll.BDP(C25&amp;" Corp", "days to mty")</f>
        <v>1740</v>
      </c>
      <c r="AD25" s="136">
        <f>IF(ISNA(ROUND(VLOOKUP(AC25,Contribution!C:J,8,FALSE),2)),"",ROUND(VLOOKUP(AC25,Contribution!C:J,8,FALSE),2))</f>
        <v>0.45</v>
      </c>
      <c r="AE25" s="134">
        <f t="shared" si="7"/>
        <v>2.8172093320637579</v>
      </c>
      <c r="AF25" s="1"/>
      <c r="AG25" s="1"/>
      <c r="AH25" s="1"/>
      <c r="AN25" s="2">
        <v>114.76</v>
      </c>
      <c r="AO25" s="2">
        <v>114.82</v>
      </c>
    </row>
    <row r="26" spans="1:41" x14ac:dyDescent="0.2">
      <c r="A26" s="4"/>
      <c r="B26" s="18" t="str">
        <f>IF(ISNA(C26),NA(),_xll.qlBondDescription(C26,Trigger))</f>
        <v>BTP 2021-05-01 3.75%</v>
      </c>
      <c r="C26" s="12" t="str">
        <v>IT0004966401</v>
      </c>
      <c r="D26" s="14">
        <f>IF(ISNA(C26),NA(),_xll.qlBondMaturityDate(C26,Trigger))</f>
        <v>44317</v>
      </c>
      <c r="E26" s="15">
        <f>IF(ISNA(C26),NA(),_xll.qlBondNextCouponRate(C26,BondSettlementDate))</f>
        <v>3.7499999999999999E-2</v>
      </c>
      <c r="F26" s="24">
        <f>IF(ISNA(C26),NA(),_xll.qlBondRedemptionAmount(C26,Trigger))</f>
        <v>100</v>
      </c>
      <c r="G26" s="13" t="str">
        <f t="shared" si="5"/>
        <v>IT0004966401_Quote</v>
      </c>
      <c r="H26" s="23" t="str">
        <f t="shared" si="6"/>
        <v>IT0004966401_Quote</v>
      </c>
      <c r="I26" s="12" t="str">
        <f>IF(LEFT(B26,3)="BTP",_xll.qlBTP2(,B26,D26,E26,F26,,,,Trigger),_xll.qlCCTEU(,B26,D26,E26,F26,,,,Trigger))</f>
        <v>obj_00a74#0000</v>
      </c>
      <c r="J26" s="25" t="str">
        <f>_xll.qlBondHelper(,H26,I26)</f>
        <v>obj_00a8e#0000</v>
      </c>
      <c r="K26" s="22" t="str">
        <f>_xll.qlBTP2(,B26,D26,E26,F26,,,,Trigger)</f>
        <v>obj_00a41#0000</v>
      </c>
      <c r="L26" s="22" t="b">
        <f>_xll.qlInstrumentSetPricingEngine(K26,BondPricingEngine)</f>
        <v>1</v>
      </c>
      <c r="M26" s="19">
        <f>_xll.qlBondCleanPrice(K26,AND(ISERROR(L26),ISERROR(N26)))</f>
        <v>115.94499543477986</v>
      </c>
      <c r="N26" s="23">
        <f>_xll.qlSimpleQuoteSetValue(G26,O26)</f>
        <v>-4.9999999999954525E-3</v>
      </c>
      <c r="O26" s="23">
        <f t="shared" si="0"/>
        <v>115.94</v>
      </c>
      <c r="P26" s="20">
        <f t="shared" si="1"/>
        <v>6.0000000000002274E-2</v>
      </c>
      <c r="Q26" s="22" t="str">
        <f t="shared" si="2"/>
        <v>IT496640=TT</v>
      </c>
      <c r="R26" s="19">
        <v>115.91</v>
      </c>
      <c r="S26" s="19">
        <v>115.97</v>
      </c>
      <c r="T26" s="13" t="e">
        <f>_xll.MKV("EUR.CM_DEPTH.XLS_GOVIES."&amp;$C26,T$1)</f>
        <v>#REF!</v>
      </c>
      <c r="U26" s="13" t="e">
        <f>_xll.MKV("EUR.CM_DEPTH.XLS_GOVIES."&amp;$C26,U$1)</f>
        <v>#REF!</v>
      </c>
      <c r="V26" s="21">
        <f>IF(ISNA(C26),NA(),_xll.qlBondYieldFromCleanPrice(C26,O26,YieldDayCounter,YieldCompounding,YieldFrequency))</f>
        <v>4.7614429038390551E-3</v>
      </c>
      <c r="W26" s="15" t="b">
        <v>1</v>
      </c>
      <c r="X26" s="22" t="b">
        <f t="shared" si="3"/>
        <v>1</v>
      </c>
      <c r="Y26" s="20">
        <f>IF(ISNA(C26),NA(),M26-_xll.qlQuoteValue(H26))</f>
        <v>4.9954347798575327E-3</v>
      </c>
      <c r="Z26" s="8"/>
      <c r="AA26" s="1"/>
      <c r="AB26" s="66" t="str">
        <f t="shared" si="4"/>
        <v>BTP 2021-05-01 3.75%</v>
      </c>
      <c r="AC26" s="131">
        <f>_xll.BDP(C26&amp;" Corp", "days to mty")</f>
        <v>1801</v>
      </c>
      <c r="AD26" s="136">
        <f>IF(ISNA(ROUND(VLOOKUP(AC26,Contribution!C:J,8,FALSE),2)),"",ROUND(VLOOKUP(AC26,Contribution!C:J,8,FALSE),2))</f>
        <v>0.5</v>
      </c>
      <c r="AE26" s="134">
        <f t="shared" si="7"/>
        <v>2.3855709616094511</v>
      </c>
      <c r="AF26" s="1"/>
      <c r="AG26" s="1"/>
      <c r="AH26" s="1"/>
      <c r="AN26" s="2">
        <v>114.86</v>
      </c>
      <c r="AO26" s="2">
        <v>114.92</v>
      </c>
    </row>
    <row r="27" spans="1:41" x14ac:dyDescent="0.2">
      <c r="A27" s="4"/>
      <c r="B27" s="18" t="str">
        <f>IF(ISNA(C27),NA(),_xll.qlBondDescription(C27,Trigger))</f>
        <v>BTP 2021-08-01 3.75%</v>
      </c>
      <c r="C27" s="12" t="str">
        <v>IT0004009673</v>
      </c>
      <c r="D27" s="14">
        <f>IF(ISNA(C27),NA(),_xll.qlBondMaturityDate(C27,Trigger))</f>
        <v>44409</v>
      </c>
      <c r="E27" s="15">
        <f>IF(ISNA(C27),NA(),_xll.qlBondNextCouponRate(C27,BondSettlementDate))</f>
        <v>3.7499999999999999E-2</v>
      </c>
      <c r="F27" s="24">
        <f>IF(ISNA(C27),NA(),_xll.qlBondRedemptionAmount(C27,Trigger))</f>
        <v>100</v>
      </c>
      <c r="G27" s="13" t="str">
        <f t="shared" si="5"/>
        <v>IT0004009673_Quote</v>
      </c>
      <c r="H27" s="23" t="str">
        <f t="shared" si="6"/>
        <v>IT0004009673_Quote</v>
      </c>
      <c r="I27" s="12" t="str">
        <f>IF(LEFT(B27,3)="BTP",_xll.qlBTP2(,B27,D27,E27,F27,,,,Trigger),_xll.qlCCTEU(,B27,D27,E27,F27,,,,Trigger))</f>
        <v>obj_00a38#0000</v>
      </c>
      <c r="J27" s="25" t="str">
        <f>_xll.qlBondHelper(,H27,I27)</f>
        <v>obj_00a97#0000</v>
      </c>
      <c r="K27" s="22" t="str">
        <f>_xll.qlBTP2(,B27,D27,E27,F27,,,,Trigger)</f>
        <v>obj_00a70#0000</v>
      </c>
      <c r="L27" s="22" t="b">
        <f>_xll.qlInstrumentSetPricingEngine(K27,BondPricingEngine)</f>
        <v>1</v>
      </c>
      <c r="M27" s="19">
        <f>_xll.qlBondCleanPrice(K27,AND(ISERROR(L27),ISERROR(N27)))</f>
        <v>116.55500274725044</v>
      </c>
      <c r="N27" s="23">
        <f>_xll.qlSimpleQuoteSetValue(G27,O27)</f>
        <v>0</v>
      </c>
      <c r="O27" s="23">
        <f t="shared" si="0"/>
        <v>116.55000000000001</v>
      </c>
      <c r="P27" s="20">
        <f t="shared" si="1"/>
        <v>7.9999999999998295E-2</v>
      </c>
      <c r="Q27" s="22" t="str">
        <f t="shared" si="2"/>
        <v>IT400967=TT</v>
      </c>
      <c r="R27" s="19">
        <v>116.51</v>
      </c>
      <c r="S27" s="19">
        <v>116.59</v>
      </c>
      <c r="T27" s="13" t="e">
        <f>_xll.MKV("EUR.CM_DEPTH.XLS_GOVIES."&amp;$C27,T$1)</f>
        <v>#REF!</v>
      </c>
      <c r="U27" s="13" t="e">
        <f>_xll.MKV("EUR.CM_DEPTH.XLS_GOVIES."&amp;$C27,U$1)</f>
        <v>#REF!</v>
      </c>
      <c r="V27" s="21">
        <f>IF(ISNA(C27),NA(),_xll.qlBondYieldFromCleanPrice(C27,O27,YieldDayCounter,YieldCompounding,YieldFrequency))</f>
        <v>5.1126645559445051E-3</v>
      </c>
      <c r="W27" s="15" t="b">
        <v>1</v>
      </c>
      <c r="X27" s="22" t="b">
        <f t="shared" si="3"/>
        <v>1</v>
      </c>
      <c r="Y27" s="20">
        <f>IF(ISNA(C27),NA(),M27-_xll.qlQuoteValue(H27))</f>
        <v>5.0027472504297066E-3</v>
      </c>
      <c r="Z27" s="8"/>
      <c r="AA27" s="1"/>
      <c r="AB27" s="66" t="str">
        <f t="shared" si="4"/>
        <v>BTP 2021-08-01 3.75%</v>
      </c>
      <c r="AC27" s="131">
        <f>_xll.BDP(C27&amp;" Corp", "days to mty")</f>
        <v>1893</v>
      </c>
      <c r="AD27" s="136">
        <f>IF(ISNA(ROUND(VLOOKUP(AC27,Contribution!C:J,8,FALSE),2)),"",ROUND(VLOOKUP(AC27,Contribution!C:J,8,FALSE),2))</f>
        <v>0.54</v>
      </c>
      <c r="AE27" s="134">
        <f t="shared" si="7"/>
        <v>2.8733544405549538</v>
      </c>
      <c r="AF27" s="1"/>
      <c r="AG27" s="1"/>
      <c r="AH27" s="1"/>
      <c r="AN27" s="2">
        <v>115.07</v>
      </c>
      <c r="AO27" s="2">
        <v>115.13</v>
      </c>
    </row>
    <row r="28" spans="1:41" x14ac:dyDescent="0.2">
      <c r="A28" s="4"/>
      <c r="B28" s="18" t="str">
        <f>IF(ISNA(C28),NA(),_xll.qlBondDescription(C28,Trigger))</f>
        <v>BTP 2021-09-01 4.75%</v>
      </c>
      <c r="C28" s="12" t="str">
        <v>IT0004695075</v>
      </c>
      <c r="D28" s="14">
        <f>IF(ISNA(C28),NA(),_xll.qlBondMaturityDate(C28,Trigger))</f>
        <v>44440</v>
      </c>
      <c r="E28" s="15">
        <f>IF(ISNA(C28),NA(),_xll.qlBondNextCouponRate(C28,BondSettlementDate))</f>
        <v>4.7500000000000001E-2</v>
      </c>
      <c r="F28" s="24">
        <f>IF(ISNA(C28),NA(),_xll.qlBondRedemptionAmount(C28,Trigger))</f>
        <v>100</v>
      </c>
      <c r="G28" s="13" t="str">
        <f t="shared" si="5"/>
        <v>IT0004695075_Quote</v>
      </c>
      <c r="H28" s="23" t="str">
        <f t="shared" si="6"/>
        <v>IT0004695075_Quote</v>
      </c>
      <c r="I28" s="12" t="str">
        <f>IF(LEFT(B28,3)="BTP",_xll.qlBTP2(,B28,D28,E28,F28,,,,Trigger),_xll.qlCCTEU(,B28,D28,E28,F28,,,,Trigger))</f>
        <v>obj_00a26#0000</v>
      </c>
      <c r="J28" s="25" t="str">
        <f>_xll.qlBondHelper(,H28,I28)</f>
        <v>obj_00aa4#0000</v>
      </c>
      <c r="K28" s="22" t="str">
        <f>_xll.qlBTP2(,B28,D28,E28,F28,,,,Trigger)</f>
        <v>obj_00a76#0000</v>
      </c>
      <c r="L28" s="22" t="b">
        <f>_xll.qlInstrumentSetPricingEngine(K28,BondPricingEngine)</f>
        <v>1</v>
      </c>
      <c r="M28" s="19">
        <f>_xll.qlBondCleanPrice(K28,AND(ISERROR(L28),ISERROR(N28)))</f>
        <v>121.90500434781828</v>
      </c>
      <c r="N28" s="23">
        <f>_xll.qlSimpleQuoteSetValue(G28,O28)</f>
        <v>-4.9999999999954525E-3</v>
      </c>
      <c r="O28" s="23">
        <f t="shared" si="0"/>
        <v>121.89500000000001</v>
      </c>
      <c r="P28" s="20">
        <f t="shared" si="1"/>
        <v>8.99999999999892E-2</v>
      </c>
      <c r="Q28" s="22" t="str">
        <f t="shared" si="2"/>
        <v>IT469507=TT</v>
      </c>
      <c r="R28" s="19">
        <v>121.85000000000001</v>
      </c>
      <c r="S28" s="19">
        <v>121.94</v>
      </c>
      <c r="T28" s="13" t="e">
        <f>_xll.MKV("EUR.CM_DEPTH.XLS_GOVIES."&amp;$C28,T$1)</f>
        <v>#REF!</v>
      </c>
      <c r="U28" s="13" t="e">
        <f>_xll.MKV("EUR.CM_DEPTH.XLS_GOVIES."&amp;$C28,U$1)</f>
        <v>#REF!</v>
      </c>
      <c r="V28" s="21">
        <f>IF(ISNA(C28),NA(),_xll.qlBondYieldFromCleanPrice(C28,O28,YieldDayCounter,YieldCompounding,YieldFrequency))</f>
        <v>5.2932656944915668E-3</v>
      </c>
      <c r="W28" s="15" t="b">
        <v>1</v>
      </c>
      <c r="X28" s="22" t="b">
        <f t="shared" si="3"/>
        <v>1</v>
      </c>
      <c r="Y28" s="20">
        <f>IF(ISNA(C28),NA(),M28-_xll.qlQuoteValue(H28))</f>
        <v>1.0004347818266979E-2</v>
      </c>
      <c r="Z28" s="8"/>
      <c r="AA28" s="1"/>
      <c r="AB28" s="66" t="str">
        <f t="shared" si="4"/>
        <v>BTP 2021-09-01 4.75%</v>
      </c>
      <c r="AC28" s="131">
        <f>_xll.BDP(C28&amp;" Corp", "days to mty")</f>
        <v>1924</v>
      </c>
      <c r="AD28" s="136">
        <f>IF(ISNA(ROUND(VLOOKUP(AC28,Contribution!C:J,8,FALSE),2)),"",ROUND(VLOOKUP(AC28,Contribution!C:J,8,FALSE),2))</f>
        <v>0.56999999999999995</v>
      </c>
      <c r="AE28" s="134">
        <f t="shared" si="7"/>
        <v>4.0673430550843275</v>
      </c>
      <c r="AF28" s="1"/>
      <c r="AG28" s="1"/>
      <c r="AH28" s="1"/>
      <c r="AI28" s="97">
        <f>_xll.qlYieldTSDiscount(BtpCurve,BondSettlementDate,,ISERROR(#REF!))</f>
        <v>1</v>
      </c>
      <c r="AN28" s="2">
        <v>120.88</v>
      </c>
      <c r="AO28" s="2">
        <v>120.94</v>
      </c>
    </row>
    <row r="29" spans="1:41" x14ac:dyDescent="0.2">
      <c r="A29" s="4"/>
      <c r="B29" s="18" t="str">
        <f>IF(ISNA(C29),NA(),_xll.qlBondDescription(C29,Trigger))</f>
        <v>BTP 2021-12-15 2.15%</v>
      </c>
      <c r="C29" s="12" t="str">
        <v>IT0005028003</v>
      </c>
      <c r="D29" s="14">
        <f>IF(ISNA(C29),NA(),_xll.qlBondMaturityDate(C29,Trigger))</f>
        <v>44545</v>
      </c>
      <c r="E29" s="15">
        <f>IF(ISNA(C29),NA(),_xll.qlBondNextCouponRate(C29,BondSettlementDate))</f>
        <v>2.1499999999999998E-2</v>
      </c>
      <c r="F29" s="24">
        <f>IF(ISNA(C29),NA(),_xll.qlBondRedemptionAmount(C29,Trigger))</f>
        <v>100</v>
      </c>
      <c r="G29" s="13" t="str">
        <f t="shared" si="5"/>
        <v>IT0005028003_Quote</v>
      </c>
      <c r="H29" s="23" t="str">
        <f t="shared" si="6"/>
        <v>IT0005028003_Quote</v>
      </c>
      <c r="I29" s="12" t="str">
        <f>IF(LEFT(B29,3)="BTP",_xll.qlBTP2(,B29,D29,E29,F29,,,,Trigger),_xll.qlCCTEU(,B29,D29,E29,F29,,,,Trigger))</f>
        <v>obj_00a33#0000</v>
      </c>
      <c r="J29" s="25" t="str">
        <f>_xll.qlBondHelper(,H29,I29)</f>
        <v>obj_00aa0#0000</v>
      </c>
      <c r="K29" s="22" t="str">
        <f>_xll.qlBTP2(,B29,D29,E29,F29,,,,Trigger)</f>
        <v>obj_00a29#0000</v>
      </c>
      <c r="L29" s="22" t="b">
        <f>_xll.qlInstrumentSetPricingEngine(K29,BondPricingEngine)</f>
        <v>1</v>
      </c>
      <c r="M29" s="19">
        <f>_xll.qlBondCleanPrice(K29,AND(ISERROR(L29),ISERROR(N29)))</f>
        <v>108.50500366120225</v>
      </c>
      <c r="N29" s="23">
        <f>_xll.qlSimpleQuoteSetValue(G29,O29)</f>
        <v>0</v>
      </c>
      <c r="O29" s="23">
        <f t="shared" si="0"/>
        <v>108.485</v>
      </c>
      <c r="P29" s="20">
        <f t="shared" si="1"/>
        <v>6.9999999999993179E-2</v>
      </c>
      <c r="Q29" s="22" t="str">
        <f t="shared" si="2"/>
        <v>IT502800=TT</v>
      </c>
      <c r="R29" s="19">
        <v>108.45</v>
      </c>
      <c r="S29" s="19">
        <v>108.52</v>
      </c>
      <c r="T29" s="13" t="e">
        <f>_xll.MKV("EUR.CM_DEPTH.XLS_GOVIES."&amp;$C29,T$1)</f>
        <v>#REF!</v>
      </c>
      <c r="U29" s="13" t="e">
        <f>_xll.MKV("EUR.CM_DEPTH.XLS_GOVIES."&amp;$C29,U$1)</f>
        <v>#REF!</v>
      </c>
      <c r="V29" s="21">
        <f>IF(ISNA(C29),NA(),_xll.qlBondYieldFromCleanPrice(C29,O29,YieldDayCounter,YieldCompounding,YieldFrequency))</f>
        <v>5.9564857359869303E-3</v>
      </c>
      <c r="W29" s="15" t="b">
        <v>1</v>
      </c>
      <c r="X29" s="22" t="b">
        <f t="shared" si="3"/>
        <v>1</v>
      </c>
      <c r="Y29" s="20">
        <f>IF(ISNA(C29),NA(),M29-_xll.qlQuoteValue(H29))</f>
        <v>2.0003661202252943E-2</v>
      </c>
      <c r="Z29" s="8"/>
      <c r="AA29" s="1"/>
      <c r="AB29" s="66" t="str">
        <f t="shared" si="4"/>
        <v>BTP 2021-12-15 2.15%</v>
      </c>
      <c r="AC29" s="131">
        <f>_xll.BDP(C29&amp;" Corp", "days to mty")</f>
        <v>2029</v>
      </c>
      <c r="AD29" s="136" t="str">
        <f>IF(ISNA(ROUND(VLOOKUP(AC29,Contribution!C:J,8,FALSE),2)),"",ROUND(VLOOKUP(AC29,Contribution!C:J,8,FALSE),2))</f>
        <v/>
      </c>
      <c r="AE29" s="134" t="str">
        <f t="shared" si="7"/>
        <v/>
      </c>
      <c r="AF29" s="1"/>
      <c r="AG29" s="1"/>
      <c r="AH29" s="1"/>
      <c r="AI29" s="98" t="str">
        <f>_xll.ohRangeRetrieveError(AI28)</f>
        <v/>
      </c>
      <c r="AN29" s="2">
        <v>123.51</v>
      </c>
      <c r="AO29" s="2">
        <v>123.57</v>
      </c>
    </row>
    <row r="30" spans="1:41" x14ac:dyDescent="0.2">
      <c r="A30" s="4"/>
      <c r="B30" s="18" t="str">
        <f>IF(ISNA(C30),NA(),_xll.qlBondDescription(C30,Trigger))</f>
        <v>BTP 2022-03-01 5%</v>
      </c>
      <c r="C30" s="12" t="str">
        <v>IT0004759673</v>
      </c>
      <c r="D30" s="14">
        <f>IF(ISNA(C30),NA(),_xll.qlBondMaturityDate(C30,Trigger))</f>
        <v>44621</v>
      </c>
      <c r="E30" s="15">
        <f>IF(ISNA(C30),NA(),_xll.qlBondNextCouponRate(C30,BondSettlementDate))</f>
        <v>0.05</v>
      </c>
      <c r="F30" s="24">
        <f>IF(ISNA(C30),NA(),_xll.qlBondRedemptionAmount(C30,Trigger))</f>
        <v>100</v>
      </c>
      <c r="G30" s="13" t="str">
        <f t="shared" si="5"/>
        <v>IT0004759673_Quote</v>
      </c>
      <c r="H30" s="23" t="str">
        <f t="shared" si="6"/>
        <v>IT0004759673_Quote</v>
      </c>
      <c r="I30" s="12" t="str">
        <f>IF(LEFT(B30,3)="BTP",_xll.qlBTP2(,B30,D30,E30,F30,,,,Trigger),_xll.qlCCTEU(,B30,D30,E30,F30,,,,Trigger))</f>
        <v>obj_00a30#0000</v>
      </c>
      <c r="J30" s="25" t="str">
        <f>_xll.qlBondHelper(,H30,I30)</f>
        <v>obj_00a86#0000</v>
      </c>
      <c r="K30" s="22" t="str">
        <f>_xll.qlBTP2(,B30,D30,E30,F30,,,,Trigger)</f>
        <v>obj_00a4f#0000</v>
      </c>
      <c r="L30" s="22" t="b">
        <f>_xll.qlInstrumentSetPricingEngine(K30,BondPricingEngine)</f>
        <v>1</v>
      </c>
      <c r="M30" s="19">
        <f>_xll.qlBondCleanPrice(K30,AND(ISERROR(L30),ISERROR(N30)))</f>
        <v>124.50499826086134</v>
      </c>
      <c r="N30" s="23">
        <f>_xll.qlSimpleQuoteSetValue(G30,O30)</f>
        <v>0</v>
      </c>
      <c r="O30" s="23">
        <f t="shared" si="0"/>
        <v>124.5</v>
      </c>
      <c r="P30" s="20">
        <f t="shared" si="1"/>
        <v>7.9999999999998295E-2</v>
      </c>
      <c r="Q30" s="22" t="str">
        <f t="shared" si="2"/>
        <v>IT475967=TT</v>
      </c>
      <c r="R30" s="19">
        <v>124.46000000000001</v>
      </c>
      <c r="S30" s="19">
        <v>124.54</v>
      </c>
      <c r="T30" s="13" t="e">
        <f>_xll.MKV("EUR.CM_DEPTH.XLS_GOVIES."&amp;$C30,T$1)</f>
        <v>#REF!</v>
      </c>
      <c r="U30" s="13" t="e">
        <f>_xll.MKV("EUR.CM_DEPTH.XLS_GOVIES."&amp;$C30,U$1)</f>
        <v>#REF!</v>
      </c>
      <c r="V30" s="21">
        <f>IF(ISNA(C30),NA(),_xll.qlBondYieldFromCleanPrice(C30,O30,YieldDayCounter,YieldCompounding,YieldFrequency))</f>
        <v>6.6338401146382175E-3</v>
      </c>
      <c r="W30" s="15" t="b">
        <v>1</v>
      </c>
      <c r="X30" s="22" t="b">
        <f t="shared" si="3"/>
        <v>1</v>
      </c>
      <c r="Y30" s="20">
        <f>IF(ISNA(C30),NA(),M30-_xll.qlQuoteValue(H30))</f>
        <v>4.9982608613419188E-3</v>
      </c>
      <c r="Z30" s="8"/>
      <c r="AA30" s="1"/>
      <c r="AB30" s="66" t="str">
        <f t="shared" si="4"/>
        <v>BTP 2022-03-01 5%</v>
      </c>
      <c r="AC30" s="131">
        <f>_xll.BDP(C30&amp;" Corp", "days to mty")</f>
        <v>2105</v>
      </c>
      <c r="AD30" s="136">
        <f>IF(ISNA(ROUND(VLOOKUP(AC30,Contribution!C:J,8,FALSE),2)),"",ROUND(VLOOKUP(AC30,Contribution!C:J,8,FALSE),2))</f>
        <v>0.72</v>
      </c>
      <c r="AE30" s="134">
        <f t="shared" si="7"/>
        <v>5.6615988536178214</v>
      </c>
      <c r="AF30" s="1"/>
      <c r="AG30" s="1"/>
      <c r="AH30" s="1"/>
      <c r="AN30" s="2">
        <v>127.5</v>
      </c>
      <c r="AO30" s="2">
        <v>127.55</v>
      </c>
    </row>
    <row r="31" spans="1:41" x14ac:dyDescent="0.2">
      <c r="A31" s="4"/>
      <c r="B31" s="18" t="str">
        <f>IF(ISNA(C31),NA(),_xll.qlBondDescription(C31,Trigger))</f>
        <v>BTP 2022-04-15 1.35%</v>
      </c>
      <c r="C31" s="12" t="str">
        <v>IT0005086886</v>
      </c>
      <c r="D31" s="14">
        <f>IF(ISNA(C31),NA(),_xll.qlBondMaturityDate(C31,Trigger))</f>
        <v>44666</v>
      </c>
      <c r="E31" s="15">
        <f>IF(ISNA(C31),NA(),_xll.qlBondNextCouponRate(C31,BondSettlementDate))</f>
        <v>1.35E-2</v>
      </c>
      <c r="F31" s="24">
        <f>IF(ISNA(C31),NA(),_xll.qlBondRedemptionAmount(C31,Trigger))</f>
        <v>100</v>
      </c>
      <c r="G31" s="13" t="str">
        <f t="shared" si="5"/>
        <v>IT0005086886_Quote</v>
      </c>
      <c r="H31" s="23" t="str">
        <f t="shared" si="6"/>
        <v>IT0005086886_Quote</v>
      </c>
      <c r="I31" s="12" t="str">
        <f>IF(LEFT(B31,3)="BTP",_xll.qlBTP2(,B31,D31,E31,F31,,,,Trigger),_xll.qlCCTEU(,B31,D31,E31,F31,,,,Trigger))</f>
        <v>obj_00a0e#0000</v>
      </c>
      <c r="J31" s="25" t="str">
        <f>_xll.qlBondHelper(,H31,I31)</f>
        <v>obj_00a3d#0000</v>
      </c>
      <c r="K31" s="22" t="str">
        <f>_xll.qlBTP2(,B31,D31,E31,F31,,,,Trigger)</f>
        <v>obj_009fd#0000</v>
      </c>
      <c r="L31" s="22" t="b">
        <f>_xll.qlInstrumentSetPricingEngine(K31,BondPricingEngine)</f>
        <v>1</v>
      </c>
      <c r="M31" s="19">
        <f>_xll.qlBondCleanPrice(K31,AND(ISERROR(L31),ISERROR(N31)))</f>
        <v>103.83999950819701</v>
      </c>
      <c r="N31" s="23">
        <f>_xll.qlSimpleQuoteSetValue(G31,O31)</f>
        <v>-5.0000000000096634E-3</v>
      </c>
      <c r="O31" s="23">
        <f t="shared" si="0"/>
        <v>103.83</v>
      </c>
      <c r="P31" s="20">
        <f t="shared" si="1"/>
        <v>6.0000000000002274E-2</v>
      </c>
      <c r="Q31" s="22" t="str">
        <f t="shared" si="2"/>
        <v>IT508688=TT</v>
      </c>
      <c r="R31" s="19">
        <v>103.8</v>
      </c>
      <c r="S31" s="19">
        <v>103.86</v>
      </c>
      <c r="T31" s="13" t="e">
        <f>_xll.MKV("EUR.CM_DEPTH.XLS_GOVIES."&amp;$C31,T$1)</f>
        <v>#REF!</v>
      </c>
      <c r="U31" s="13" t="e">
        <f>_xll.MKV("EUR.CM_DEPTH.XLS_GOVIES."&amp;$C31,U$1)</f>
        <v>#REF!</v>
      </c>
      <c r="V31" s="21">
        <f>IF(ISNA(C31),NA(),_xll.qlBondYieldFromCleanPrice(C31,O31,YieldDayCounter,YieldCompounding,YieldFrequency))</f>
        <v>6.8509244674071698E-3</v>
      </c>
      <c r="W31" s="15" t="b">
        <v>1</v>
      </c>
      <c r="X31" s="22" t="b">
        <f t="shared" si="3"/>
        <v>1</v>
      </c>
      <c r="Y31" s="20">
        <f>IF(ISNA(C31),NA(),M31-_xll.qlQuoteValue(H31))</f>
        <v>9.9995081970121191E-3</v>
      </c>
      <c r="Z31" s="8"/>
      <c r="AA31" s="1"/>
      <c r="AB31" s="66" t="str">
        <f t="shared" si="4"/>
        <v>BTP 2022-04-15 1.35%</v>
      </c>
      <c r="AC31" s="131">
        <f>_xll.BDP(C31&amp;" Corp", "days to mty")</f>
        <v>2150</v>
      </c>
      <c r="AD31" s="136" t="str">
        <f>IF(ISNA(ROUND(VLOOKUP(AC31,Contribution!C:J,8,FALSE),2)),"",ROUND(VLOOKUP(AC31,Contribution!C:J,8,FALSE),2))</f>
        <v/>
      </c>
      <c r="AE31" s="134" t="str">
        <f t="shared" si="7"/>
        <v/>
      </c>
      <c r="AF31" s="1"/>
      <c r="AG31" s="1"/>
      <c r="AH31" s="1"/>
      <c r="AN31" s="2">
        <v>127.59</v>
      </c>
      <c r="AO31" s="2">
        <v>127.66</v>
      </c>
    </row>
    <row r="32" spans="1:41" x14ac:dyDescent="0.2">
      <c r="A32" s="4"/>
      <c r="B32" s="18" t="str">
        <f>IF(ISNA(C32),NA(),_xll.qlBondDescription(C32,Trigger))</f>
        <v>BTP 2022-09-01 5.5%</v>
      </c>
      <c r="C32" s="12" t="str">
        <v>IT0004801541</v>
      </c>
      <c r="D32" s="14">
        <f>IF(ISNA(C32),NA(),_xll.qlBondMaturityDate(C32,Trigger))</f>
        <v>44805</v>
      </c>
      <c r="E32" s="15">
        <f>IF(ISNA(C32),NA(),_xll.qlBondNextCouponRate(C32,BondSettlementDate))</f>
        <v>5.5E-2</v>
      </c>
      <c r="F32" s="24">
        <f>IF(ISNA(C32),NA(),_xll.qlBondRedemptionAmount(C32,Trigger))</f>
        <v>100</v>
      </c>
      <c r="G32" s="13" t="str">
        <f t="shared" si="5"/>
        <v>IT0004801541_Quote</v>
      </c>
      <c r="H32" s="23" t="str">
        <f t="shared" si="6"/>
        <v>IT0004801541_Quote</v>
      </c>
      <c r="I32" s="12" t="str">
        <f>IF(LEFT(B32,3)="BTP",_xll.qlBTP2(,B32,D32,E32,F32,,,,Trigger),_xll.qlCCTEU(,B32,D32,E32,F32,,,,Trigger))</f>
        <v>obj_00a75#0000</v>
      </c>
      <c r="J32" s="25" t="str">
        <f>_xll.qlBondHelper(,H32,I32)</f>
        <v>obj_00aaa#0000</v>
      </c>
      <c r="K32" s="22" t="str">
        <f>_xll.qlBTP2(,B32,D32,E32,F32,,,,Trigger)</f>
        <v>obj_00a61#0000</v>
      </c>
      <c r="L32" s="22" t="b">
        <f>_xll.qlInstrumentSetPricingEngine(K32,BondPricingEngine)</f>
        <v>1</v>
      </c>
      <c r="M32" s="19">
        <f>_xll.qlBondCleanPrice(K32,AND(ISERROR(L32),ISERROR(N32)))</f>
        <v>128.98499608694755</v>
      </c>
      <c r="N32" s="23">
        <f>_xll.qlSimpleQuoteSetValue(G32,O32)</f>
        <v>0</v>
      </c>
      <c r="O32" s="23">
        <f t="shared" si="0"/>
        <v>128.97999999999999</v>
      </c>
      <c r="P32" s="20">
        <f t="shared" si="1"/>
        <v>6.0000000000002274E-2</v>
      </c>
      <c r="Q32" s="22" t="str">
        <f t="shared" si="2"/>
        <v>IT480154=TT</v>
      </c>
      <c r="R32" s="19">
        <v>128.94999999999999</v>
      </c>
      <c r="S32" s="19">
        <v>129.01</v>
      </c>
      <c r="T32" s="13" t="e">
        <f>_xll.MKV("EUR.CM_DEPTH.XLS_GOVIES."&amp;$C32,T$1)</f>
        <v>#REF!</v>
      </c>
      <c r="U32" s="13" t="e">
        <f>_xll.MKV("EUR.CM_DEPTH.XLS_GOVIES."&amp;$C32,U$1)</f>
        <v>#REF!</v>
      </c>
      <c r="V32" s="21">
        <f>IF(ISNA(C32),NA(),_xll.qlBondYieldFromCleanPrice(C32,O32,YieldDayCounter,YieldCompounding,YieldFrequency))</f>
        <v>7.5731892309710419E-3</v>
      </c>
      <c r="W32" s="15" t="b">
        <v>1</v>
      </c>
      <c r="X32" s="22" t="b">
        <f t="shared" si="3"/>
        <v>1</v>
      </c>
      <c r="Y32" s="20">
        <f>IF(ISNA(C32),NA(),M32-_xll.qlQuoteValue(H32))</f>
        <v>4.9960869475569325E-3</v>
      </c>
      <c r="Z32" s="8"/>
      <c r="AA32" s="1"/>
      <c r="AB32" s="66" t="str">
        <f t="shared" si="4"/>
        <v>BTP 2022-09-01 5.5%</v>
      </c>
      <c r="AC32" s="131">
        <f>_xll.BDP(C32&amp;" Corp", "days to mty")</f>
        <v>2289</v>
      </c>
      <c r="AD32" s="136">
        <f>IF(ISNA(ROUND(VLOOKUP(AC32,Contribution!C:J,8,FALSE),2)),"",ROUND(VLOOKUP(AC32,Contribution!C:J,8,FALSE),2))</f>
        <v>0.83</v>
      </c>
      <c r="AE32" s="134">
        <f t="shared" si="7"/>
        <v>7.2681076902895718</v>
      </c>
      <c r="AF32" s="1"/>
      <c r="AG32" s="1"/>
      <c r="AH32" s="1"/>
      <c r="AN32" s="2">
        <v>121.69</v>
      </c>
      <c r="AO32" s="2">
        <v>121.76</v>
      </c>
    </row>
    <row r="33" spans="1:41" x14ac:dyDescent="0.2">
      <c r="A33" s="4"/>
      <c r="B33" s="18" t="str">
        <f>IF(ISNA(C33),NA(),_xll.qlBondDescription(C33,Trigger))</f>
        <v>BTP 2022-11-01 5.5%</v>
      </c>
      <c r="C33" s="12" t="str">
        <v>IT0004848831</v>
      </c>
      <c r="D33" s="14">
        <f>IF(ISNA(C33),NA(),_xll.qlBondMaturityDate(C33,Trigger))</f>
        <v>44866</v>
      </c>
      <c r="E33" s="15">
        <f>IF(ISNA(C33),NA(),_xll.qlBondNextCouponRate(C33,BondSettlementDate))</f>
        <v>5.5E-2</v>
      </c>
      <c r="F33" s="24">
        <f>IF(ISNA(C33),NA(),_xll.qlBondRedemptionAmount(C33,Trigger))</f>
        <v>100</v>
      </c>
      <c r="G33" s="13" t="str">
        <f t="shared" si="5"/>
        <v>IT0004848831_Quote</v>
      </c>
      <c r="H33" s="23" t="str">
        <f t="shared" si="6"/>
        <v>IT0004848831_Quote</v>
      </c>
      <c r="I33" s="12" t="str">
        <f>IF(LEFT(B33,3)="BTP",_xll.qlBTP2(,B33,D33,E33,F33,,,,Trigger),_xll.qlCCTEU(,B33,D33,E33,F33,,,,Trigger))</f>
        <v>obj_00a1a#0000</v>
      </c>
      <c r="J33" s="25" t="str">
        <f>_xll.qlBondHelper(,H33,I33)</f>
        <v>obj_00a5d#0000</v>
      </c>
      <c r="K33" s="22" t="str">
        <f>_xll.qlBTP2(,B33,D33,E33,F33,,,,Trigger)</f>
        <v>obj_00a0a#0000</v>
      </c>
      <c r="L33" s="22" t="b">
        <f>_xll.qlInstrumentSetPricingEngine(K33,BondPricingEngine)</f>
        <v>1</v>
      </c>
      <c r="M33" s="19">
        <f>_xll.qlBondCleanPrice(K33,AND(ISERROR(L33),ISERROR(N33)))</f>
        <v>129.30500130434908</v>
      </c>
      <c r="N33" s="23">
        <f>_xll.qlSimpleQuoteSetValue(G33,O33)</f>
        <v>0</v>
      </c>
      <c r="O33" s="23">
        <f t="shared" si="0"/>
        <v>129.285</v>
      </c>
      <c r="P33" s="20">
        <f t="shared" si="1"/>
        <v>6.9999999999993179E-2</v>
      </c>
      <c r="Q33" s="22" t="str">
        <f t="shared" si="2"/>
        <v>IT484883=TT</v>
      </c>
      <c r="R33" s="19">
        <v>129.25</v>
      </c>
      <c r="S33" s="19">
        <v>129.32</v>
      </c>
      <c r="T33" s="13" t="e">
        <f>_xll.MKV("EUR.CM_DEPTH.XLS_GOVIES."&amp;$C33,T$1)</f>
        <v>#REF!</v>
      </c>
      <c r="U33" s="13" t="e">
        <f>_xll.MKV("EUR.CM_DEPTH.XLS_GOVIES."&amp;$C33,U$1)</f>
        <v>#REF!</v>
      </c>
      <c r="V33" s="21">
        <f>IF(ISNA(C33),NA(),_xll.qlBondYieldFromCleanPrice(C33,O33,YieldDayCounter,YieldCompounding,YieldFrequency))</f>
        <v>8.1854973739013126E-3</v>
      </c>
      <c r="W33" s="15" t="b">
        <v>1</v>
      </c>
      <c r="X33" s="22" t="b">
        <f t="shared" si="3"/>
        <v>1</v>
      </c>
      <c r="Y33" s="20">
        <f>IF(ISNA(C33),NA(),M33-_xll.qlQuoteValue(H33))</f>
        <v>2.0001304349079874E-2</v>
      </c>
      <c r="Z33" s="8"/>
      <c r="AA33" s="1"/>
      <c r="AB33" s="66" t="str">
        <f t="shared" si="4"/>
        <v>BTP 2022-11-01 5.5%</v>
      </c>
      <c r="AC33" s="131">
        <f>_xll.BDP(C33&amp;" Corp", "days to mty")</f>
        <v>2350</v>
      </c>
      <c r="AD33" s="136">
        <f>IF(ISNA(ROUND(VLOOKUP(AC33,Contribution!C:J,8,FALSE),2)),"",ROUND(VLOOKUP(AC33,Contribution!C:J,8,FALSE),2))</f>
        <v>0.9</v>
      </c>
      <c r="AE33" s="134">
        <f t="shared" si="7"/>
        <v>8.1450262609868762</v>
      </c>
      <c r="AF33" s="1"/>
      <c r="AG33" s="1"/>
      <c r="AH33" s="1"/>
      <c r="AN33" s="2">
        <v>123.91</v>
      </c>
      <c r="AO33" s="2">
        <v>123.96</v>
      </c>
    </row>
    <row r="34" spans="1:41" x14ac:dyDescent="0.2">
      <c r="A34" s="4"/>
      <c r="B34" s="18" t="str">
        <f>IF(ISNA(C34),NA(),_xll.qlBondDescription(C34,Trigger))</f>
        <v>BTP 2023-05-01 4.5%</v>
      </c>
      <c r="C34" s="12" t="str">
        <v>IT0004898034</v>
      </c>
      <c r="D34" s="14">
        <f>IF(ISNA(C34),NA(),_xll.qlBondMaturityDate(C34,Trigger))</f>
        <v>45047</v>
      </c>
      <c r="E34" s="15">
        <f>IF(ISNA(C34),NA(),_xll.qlBondNextCouponRate(C34,BondSettlementDate))</f>
        <v>4.4999999999999998E-2</v>
      </c>
      <c r="F34" s="24">
        <f>IF(ISNA(C34),NA(),_xll.qlBondRedemptionAmount(C34,Trigger))</f>
        <v>100</v>
      </c>
      <c r="G34" s="13" t="str">
        <f t="shared" si="5"/>
        <v>IT0004898034_Quote</v>
      </c>
      <c r="H34" s="23" t="str">
        <f t="shared" si="6"/>
        <v>IT0004898034_Quote</v>
      </c>
      <c r="I34" s="12" t="str">
        <f>IF(LEFT(B34,3)="BTP",_xll.qlBTP2(,B34,D34,E34,F34,,,,Trigger),_xll.qlCCTEU(,B34,D34,E34,F34,,,,Trigger))</f>
        <v>obj_00a40#0000</v>
      </c>
      <c r="J34" s="25" t="str">
        <f>_xll.qlBondHelper(,H34,I34)</f>
        <v>obj_00a98#0000</v>
      </c>
      <c r="K34" s="22" t="str">
        <f>_xll.qlBTP2(,B34,D34,E34,F34,,,,Trigger)</f>
        <v>obj_00a5c#0000</v>
      </c>
      <c r="L34" s="22" t="b">
        <f>_xll.qlInstrumentSetPricingEngine(K34,BondPricingEngine)</f>
        <v>1</v>
      </c>
      <c r="M34" s="19">
        <f>_xll.qlBondCleanPrice(K34,AND(ISERROR(L34),ISERROR(N34)))</f>
        <v>124.15499652173958</v>
      </c>
      <c r="N34" s="23">
        <f>_xll.qlSimpleQuoteSetValue(G34,O34)</f>
        <v>-5.0000000000096634E-3</v>
      </c>
      <c r="O34" s="23">
        <f t="shared" ref="O34:O65" si="8">IF(ISNA(C34),NA(),IF(ISERROR((T34+U34)/2),IF(PriceSelector="MID",(R34+S34)/2,IF(PriceSelector="BID",R34,S34)),IF(PriceSelector="MID",(T34+U34)/2,IF(PriceSelector="BID",T34,U34))))</f>
        <v>124.14</v>
      </c>
      <c r="P34" s="20">
        <f t="shared" ref="P34:P65" si="9">IF(ISNA(C34),NA(),S34-R34)</f>
        <v>3.9999999999992042E-2</v>
      </c>
      <c r="Q34" s="22" t="str">
        <f t="shared" ref="Q34:Q65" si="10">"IT"&amp;(LEFT(RIGHT(C34,7),6)*1)&amp;"=TT"</f>
        <v>IT489803=TT</v>
      </c>
      <c r="R34" s="19">
        <v>124.12</v>
      </c>
      <c r="S34" s="19">
        <v>124.16</v>
      </c>
      <c r="T34" s="13" t="e">
        <f>_xll.MKV("EUR.CM_DEPTH.XLS_GOVIES."&amp;$C34,T$1)</f>
        <v>#REF!</v>
      </c>
      <c r="U34" s="13" t="e">
        <f>_xll.MKV("EUR.CM_DEPTH.XLS_GOVIES."&amp;$C34,U$1)</f>
        <v>#REF!</v>
      </c>
      <c r="V34" s="21">
        <f>IF(ISNA(C34),NA(),_xll.qlBondYieldFromCleanPrice(C34,O34,YieldDayCounter,YieldCompounding,YieldFrequency))</f>
        <v>9.0160640234127655E-3</v>
      </c>
      <c r="W34" s="15" t="b">
        <v>1</v>
      </c>
      <c r="X34" s="22" t="b">
        <f t="shared" ref="X34:X65" si="11">IF(ISNA(C34),FALSE,IF(OR(LEFT(B34,3)="CCT",ExcludeMarchSeptember,NOT(IgnoreResiduePremium)),FALSE,IF((W34),TRUE,FALSE)))</f>
        <v>1</v>
      </c>
      <c r="Y34" s="20">
        <f>IF(ISNA(C34),NA(),M34-_xll.qlQuoteValue(H34))</f>
        <v>1.4996521739575996E-2</v>
      </c>
      <c r="Z34" s="8"/>
      <c r="AA34" s="1"/>
      <c r="AB34" s="66" t="str">
        <f t="shared" ref="AB34:AB65" si="12">+B34</f>
        <v>BTP 2023-05-01 4.5%</v>
      </c>
      <c r="AC34" s="131">
        <f>_xll.BDP(C34&amp;" Corp", "days to mty")</f>
        <v>2531</v>
      </c>
      <c r="AD34" s="136">
        <f>IF(ISNA(ROUND(VLOOKUP(AC34,Contribution!C:J,8,FALSE),2)),"",ROUND(VLOOKUP(AC34,Contribution!C:J,8,FALSE),2))</f>
        <v>0.97</v>
      </c>
      <c r="AE34" s="134">
        <f t="shared" si="7"/>
        <v>6.8393597658723433</v>
      </c>
      <c r="AF34" s="1"/>
      <c r="AG34" s="1"/>
      <c r="AH34" s="1"/>
      <c r="AN34" s="2">
        <v>156.37</v>
      </c>
      <c r="AO34" s="2">
        <v>156.47999999999999</v>
      </c>
    </row>
    <row r="35" spans="1:41" x14ac:dyDescent="0.2">
      <c r="A35" s="4"/>
      <c r="B35" s="18" t="str">
        <f>IF(ISNA(C35),NA(),_xll.qlBondDescription(C35,Trigger))</f>
        <v>BTP 2023-08-01 4.75%</v>
      </c>
      <c r="C35" s="12" t="str">
        <v>IT0004356843</v>
      </c>
      <c r="D35" s="14">
        <f>IF(ISNA(C35),NA(),_xll.qlBondMaturityDate(C35,Trigger))</f>
        <v>45139</v>
      </c>
      <c r="E35" s="15">
        <f>IF(ISNA(C35),NA(),_xll.qlBondNextCouponRate(C35,BondSettlementDate))</f>
        <v>4.7500000000000001E-2</v>
      </c>
      <c r="F35" s="24">
        <f>IF(ISNA(C35),NA(),_xll.qlBondRedemptionAmount(C35,Trigger))</f>
        <v>100</v>
      </c>
      <c r="G35" s="13" t="str">
        <f>$C35&amp;"_Quote"</f>
        <v>IT0004356843_Quote</v>
      </c>
      <c r="H35" s="23" t="str">
        <f t="shared" si="6"/>
        <v>IT0004356843_Quote</v>
      </c>
      <c r="I35" s="12" t="str">
        <f>IF(LEFT(B35,3)="BTP",_xll.qlBTP2(,B35,D35,E35,F35,,,,Trigger),_xll.qlCCTEU(,B35,D35,E35,F35,,,,Trigger))</f>
        <v>obj_00a59#0000</v>
      </c>
      <c r="J35" s="25" t="str">
        <f>_xll.qlBondHelper(,H35,I35)</f>
        <v>obj_00a96#0000</v>
      </c>
      <c r="K35" s="22" t="str">
        <f>_xll.qlBTP2(,B35,D35,E35,F35,,,,Trigger)</f>
        <v>obj_00a68#0000</v>
      </c>
      <c r="L35" s="22" t="b">
        <f>_xll.qlInstrumentSetPricingEngine(K35,BondPricingEngine)</f>
        <v>1</v>
      </c>
      <c r="M35" s="19">
        <f>_xll.qlBondCleanPrice(K35,AND(ISERROR(L35),ISERROR(N35)))</f>
        <v>126.38499681321071</v>
      </c>
      <c r="N35" s="23">
        <f>_xll.qlSimpleQuoteSetValue(G35,O35)</f>
        <v>0</v>
      </c>
      <c r="O35" s="23">
        <f t="shared" si="8"/>
        <v>126.375</v>
      </c>
      <c r="P35" s="20">
        <f t="shared" si="9"/>
        <v>4.9999999999997158E-2</v>
      </c>
      <c r="Q35" s="22" t="str">
        <f t="shared" si="10"/>
        <v>IT435684=TT</v>
      </c>
      <c r="R35" s="19">
        <v>126.35000000000001</v>
      </c>
      <c r="S35" s="19">
        <v>126.4</v>
      </c>
      <c r="T35" s="13" t="e">
        <f>_xll.MKV("EUR.CM_DEPTH.XLS_GOVIES."&amp;$C35,T$1)</f>
        <v>#REF!</v>
      </c>
      <c r="U35" s="13" t="e">
        <f>_xll.MKV("EUR.CM_DEPTH.XLS_GOVIES."&amp;$C35,U$1)</f>
        <v>#REF!</v>
      </c>
      <c r="V35" s="21">
        <f>IF(ISNA(C35),NA(),_xll.qlBondYieldFromCleanPrice(C35,O35,YieldDayCounter,YieldCompounding,YieldFrequency))</f>
        <v>9.4613911196962004E-3</v>
      </c>
      <c r="W35" s="15" t="b">
        <v>1</v>
      </c>
      <c r="X35" s="22" t="b">
        <f t="shared" si="11"/>
        <v>1</v>
      </c>
      <c r="Y35" s="20">
        <f>IF(ISNA(C35),NA(),M35-_xll.qlQuoteValue(H35))</f>
        <v>9.9968132107051133E-3</v>
      </c>
      <c r="Z35" s="8"/>
      <c r="AA35" s="1"/>
      <c r="AB35" s="66" t="str">
        <f t="shared" si="12"/>
        <v>BTP 2023-08-01 4.75%</v>
      </c>
      <c r="AC35" s="131">
        <f>_xll.BDP(C35&amp;" Corp", "days to mty")</f>
        <v>2623</v>
      </c>
      <c r="AD35" s="136">
        <f>IF(ISNA(ROUND(VLOOKUP(AC35,Contribution!C:J,8,FALSE),2)),"",ROUND(VLOOKUP(AC35,Contribution!C:J,8,FALSE),2))</f>
        <v>1.03</v>
      </c>
      <c r="AE35" s="134">
        <f t="shared" si="7"/>
        <v>8.3860888030379943</v>
      </c>
      <c r="AF35" s="1"/>
      <c r="AG35" s="1"/>
      <c r="AH35" s="1"/>
      <c r="AN35" s="2">
        <v>122.46</v>
      </c>
      <c r="AO35" s="2">
        <v>122.51</v>
      </c>
    </row>
    <row r="36" spans="1:41" x14ac:dyDescent="0.2">
      <c r="A36" s="4"/>
      <c r="B36" s="18" t="str">
        <f>IF(ISNA(C36),NA(),_xll.qlBondDescription(C36,Trigger))</f>
        <v>BTP 2023-11-01 9%</v>
      </c>
      <c r="C36" s="12" t="str">
        <v>IT0000366655</v>
      </c>
      <c r="D36" s="14">
        <f>IF(ISNA(C36),NA(),_xll.qlBondMaturityDate(C36,Trigger))</f>
        <v>45231</v>
      </c>
      <c r="E36" s="15">
        <f>IF(ISNA(C36),NA(),_xll.qlBondNextCouponRate(C36,BondSettlementDate))</f>
        <v>0.09</v>
      </c>
      <c r="F36" s="24">
        <f>IF(ISNA(C36),NA(),_xll.qlBondRedemptionAmount(C36,Trigger))</f>
        <v>99.909000000000006</v>
      </c>
      <c r="G36" s="13" t="str">
        <f t="shared" si="5"/>
        <v>IT0000366655_Quote</v>
      </c>
      <c r="H36" s="23" t="str">
        <f t="shared" si="6"/>
        <v>IT0000366655_Quote</v>
      </c>
      <c r="I36" s="12" t="str">
        <f>IF(LEFT(B36,3)="BTP",_xll.qlBTP2(,B36,D36,E36,F36,,,,Trigger),_xll.qlCCTEU(,B36,D36,E36,F36,,,,Trigger))</f>
        <v>obj_00a4d#0000</v>
      </c>
      <c r="J36" s="25" t="str">
        <f>_xll.qlBondHelper(,H36,I36)</f>
        <v>obj_00a9e#0000</v>
      </c>
      <c r="K36" s="22" t="str">
        <f>_xll.qlBTP2(,B36,D36,E36,F36,,,,Trigger)</f>
        <v>obj_00a48#0000</v>
      </c>
      <c r="L36" s="22" t="b">
        <f>_xll.qlInstrumentSetPricingEngine(K36,BondPricingEngine)</f>
        <v>1</v>
      </c>
      <c r="M36" s="19">
        <f>_xll.qlBondCleanPrice(K36,AND(ISERROR(L36),ISERROR(N36)))</f>
        <v>156.76500304347834</v>
      </c>
      <c r="N36" s="23">
        <f>_xll.qlSimpleQuoteSetValue(G36,O36)</f>
        <v>0</v>
      </c>
      <c r="O36" s="23">
        <f t="shared" si="8"/>
        <v>156.755</v>
      </c>
      <c r="P36" s="20">
        <f t="shared" si="9"/>
        <v>0.10999999999998522</v>
      </c>
      <c r="Q36" s="22" t="str">
        <f t="shared" si="10"/>
        <v>IT36665=TT</v>
      </c>
      <c r="R36" s="19">
        <v>156.70000000000002</v>
      </c>
      <c r="S36" s="19">
        <v>156.81</v>
      </c>
      <c r="T36" s="13" t="e">
        <f>_xll.MKV("EUR.CM_DEPTH.XLS_GOVIES."&amp;$C36,T$1)</f>
        <v>#REF!</v>
      </c>
      <c r="U36" s="13" t="e">
        <f>_xll.MKV("EUR.CM_DEPTH.XLS_GOVIES."&amp;$C36,U$1)</f>
        <v>#REF!</v>
      </c>
      <c r="V36" s="21">
        <f>IF(ISNA(C36),NA(),_xll.qlBondYieldFromCleanPrice(C36,O36,YieldDayCounter,YieldCompounding,YieldFrequency))</f>
        <v>1.0369891026942307E-2</v>
      </c>
      <c r="W36" s="15" t="b">
        <v>1</v>
      </c>
      <c r="X36" s="22" t="b">
        <f t="shared" si="11"/>
        <v>1</v>
      </c>
      <c r="Y36" s="20">
        <f>IF(ISNA(C36),NA(),M36-_xll.qlQuoteValue(H36))</f>
        <v>1.0003043478349127E-2</v>
      </c>
      <c r="Z36" s="8"/>
      <c r="AA36" s="1"/>
      <c r="AB36" s="66" t="str">
        <f t="shared" si="12"/>
        <v>BTP 2023-11-01 9%</v>
      </c>
      <c r="AC36" s="131">
        <f>_xll.BDP(C36&amp;" Corp", "days to mty")</f>
        <v>2715</v>
      </c>
      <c r="AD36" s="136">
        <f>IF(ISNA(ROUND(VLOOKUP(AC36,Contribution!C:J,8,FALSE),2)),"",ROUND(VLOOKUP(AC36,Contribution!C:J,8,FALSE),2))</f>
        <v>1.21</v>
      </c>
      <c r="AE36" s="134">
        <f t="shared" si="7"/>
        <v>17.301089730576933</v>
      </c>
      <c r="AF36" s="1"/>
      <c r="AG36" s="1"/>
      <c r="AH36" s="1"/>
      <c r="AN36" s="2">
        <v>116.9</v>
      </c>
      <c r="AO36" s="2">
        <v>116.96</v>
      </c>
    </row>
    <row r="37" spans="1:41" x14ac:dyDescent="0.2">
      <c r="A37" s="4"/>
      <c r="B37" s="18" t="str">
        <f>IF(ISNA(C37),NA(),_xll.qlBondDescription(C37,Trigger))</f>
        <v>BTP 2024-03-01 4.5%</v>
      </c>
      <c r="C37" s="12" t="str">
        <v>IT0004953417</v>
      </c>
      <c r="D37" s="14">
        <f>IF(ISNA(C37),NA(),_xll.qlBondMaturityDate(C37,Trigger))</f>
        <v>45352</v>
      </c>
      <c r="E37" s="15">
        <f>IF(ISNA(C37),NA(),_xll.qlBondNextCouponRate(C37,BondSettlementDate))</f>
        <v>4.4999999999999998E-2</v>
      </c>
      <c r="F37" s="24">
        <f>IF(ISNA(C37),NA(),_xll.qlBondRedemptionAmount(C37,Trigger))</f>
        <v>100</v>
      </c>
      <c r="G37" s="13" t="str">
        <f t="shared" si="5"/>
        <v>IT0004953417_Quote</v>
      </c>
      <c r="H37" s="23" t="str">
        <f t="shared" si="6"/>
        <v>IT0004953417_Quote</v>
      </c>
      <c r="I37" s="12" t="str">
        <f>IF(LEFT(B37,3)="BTP",_xll.qlBTP2(,B37,D37,E37,F37,,,,Trigger),_xll.qlCCTEU(,B37,D37,E37,F37,,,,Trigger))</f>
        <v>obj_00a73#0000</v>
      </c>
      <c r="J37" s="25" t="str">
        <f>_xll.qlBondHelper(,H37,I37)</f>
        <v>obj_00a81#0000</v>
      </c>
      <c r="K37" s="22" t="str">
        <f>_xll.qlBTP2(,B37,D37,E37,F37,,,,Trigger)</f>
        <v>obj_00a3b#0000</v>
      </c>
      <c r="L37" s="22" t="b">
        <f>_xll.qlInstrumentSetPricingEngine(K37,BondPricingEngine)</f>
        <v>1</v>
      </c>
      <c r="M37" s="19">
        <f>_xll.qlBondCleanPrice(K37,AND(ISERROR(L37),ISERROR(N37)))</f>
        <v>124.92000043483604</v>
      </c>
      <c r="N37" s="23">
        <f>_xll.qlSimpleQuoteSetValue(G37,O37)</f>
        <v>0</v>
      </c>
      <c r="O37" s="23">
        <f t="shared" si="8"/>
        <v>124.9</v>
      </c>
      <c r="P37" s="20">
        <f t="shared" si="9"/>
        <v>7.9999999999998295E-2</v>
      </c>
      <c r="Q37" s="22" t="str">
        <f t="shared" si="10"/>
        <v>IT495341=TT</v>
      </c>
      <c r="R37" s="19">
        <v>124.86</v>
      </c>
      <c r="S37" s="19">
        <v>124.94</v>
      </c>
      <c r="T37" s="13" t="e">
        <f>_xll.MKV("EUR.CM_DEPTH.XLS_GOVIES."&amp;$C37,T$1)</f>
        <v>#REF!</v>
      </c>
      <c r="U37" s="13" t="e">
        <f>_xll.MKV("EUR.CM_DEPTH.XLS_GOVIES."&amp;$C37,U$1)</f>
        <v>#REF!</v>
      </c>
      <c r="V37" s="21">
        <f>IF(ISNA(C37),NA(),_xll.qlBondYieldFromCleanPrice(C37,O37,YieldDayCounter,YieldCompounding,YieldFrequency))</f>
        <v>1.1436414771787824E-2</v>
      </c>
      <c r="W37" s="15" t="b">
        <v>1</v>
      </c>
      <c r="X37" s="22" t="b">
        <f t="shared" si="11"/>
        <v>1</v>
      </c>
      <c r="Y37" s="20">
        <f>IF(ISNA(C37),NA(),M37-_xll.qlQuoteValue(H37))</f>
        <v>2.0000434836035197E-2</v>
      </c>
      <c r="Z37" s="8"/>
      <c r="AA37" s="1"/>
      <c r="AB37" s="66" t="str">
        <f t="shared" si="12"/>
        <v>BTP 2024-03-01 4.5%</v>
      </c>
      <c r="AC37" s="131">
        <f>_xll.BDP(C37&amp;" Corp", "days to mty")</f>
        <v>2836</v>
      </c>
      <c r="AD37" s="136">
        <f>IF(ISNA(ROUND(VLOOKUP(AC37,Contribution!C:J,8,FALSE),2)),"",ROUND(VLOOKUP(AC37,Contribution!C:J,8,FALSE),2))</f>
        <v>1.25</v>
      </c>
      <c r="AE37" s="134">
        <f t="shared" si="7"/>
        <v>10.63585228212176</v>
      </c>
      <c r="AF37" s="1"/>
      <c r="AG37" s="1"/>
      <c r="AH37" s="1"/>
      <c r="AN37" s="2">
        <v>106.51</v>
      </c>
      <c r="AO37" s="2">
        <v>106.57</v>
      </c>
    </row>
    <row r="38" spans="1:41" x14ac:dyDescent="0.2">
      <c r="A38" s="4"/>
      <c r="B38" s="18" t="str">
        <f>IF(ISNA(C38),NA(),_xll.qlBondDescription(C38,Trigger))</f>
        <v>BTP 2024-09-01 3.75%</v>
      </c>
      <c r="C38" s="12" t="str">
        <v>IT0005001547</v>
      </c>
      <c r="D38" s="14">
        <f>IF(ISNA(C38),NA(),_xll.qlBondMaturityDate(C38,Trigger))</f>
        <v>45536</v>
      </c>
      <c r="E38" s="15">
        <f>IF(ISNA(C38),NA(),_xll.qlBondNextCouponRate(C38,BondSettlementDate))</f>
        <v>3.7499999999999999E-2</v>
      </c>
      <c r="F38" s="24">
        <f>IF(ISNA(C38),NA(),_xll.qlBondRedemptionAmount(C38,Trigger))</f>
        <v>100</v>
      </c>
      <c r="G38" s="13" t="str">
        <f t="shared" si="5"/>
        <v>IT0005001547_Quote</v>
      </c>
      <c r="H38" s="23" t="str">
        <f t="shared" si="6"/>
        <v>IT0005001547_Quote</v>
      </c>
      <c r="I38" s="12" t="str">
        <f>IF(LEFT(B38,3)="BTP",_xll.qlBTP2(,B38,D38,E38,F38,,,,Trigger),_xll.qlCCTEU(,B38,D38,E38,F38,,,,Trigger))</f>
        <v>obj_00a00#0000</v>
      </c>
      <c r="J38" s="25" t="str">
        <f>_xll.qlBondHelper(,H38,I38)</f>
        <v>obj_00a2a#0000</v>
      </c>
      <c r="K38" s="22" t="str">
        <f>_xll.qlBTP2(,B38,D38,E38,F38,,,,Trigger)</f>
        <v>obj_00a05#0000</v>
      </c>
      <c r="L38" s="22" t="b">
        <f>_xll.qlInstrumentSetPricingEngine(K38,BondPricingEngine)</f>
        <v>1</v>
      </c>
      <c r="M38" s="19">
        <f>_xll.qlBondCleanPrice(K38,AND(ISERROR(L38),ISERROR(N38)))</f>
        <v>119.53999869564652</v>
      </c>
      <c r="N38" s="23">
        <f>_xll.qlSimpleQuoteSetValue(G38,O38)</f>
        <v>0</v>
      </c>
      <c r="O38" s="23">
        <f t="shared" si="8"/>
        <v>119.52500000000001</v>
      </c>
      <c r="P38" s="20">
        <f t="shared" si="9"/>
        <v>0.15000000000000568</v>
      </c>
      <c r="Q38" s="22" t="str">
        <f t="shared" si="10"/>
        <v>IT500154=TT</v>
      </c>
      <c r="R38" s="19">
        <v>119.45</v>
      </c>
      <c r="S38" s="19">
        <v>119.60000000000001</v>
      </c>
      <c r="T38" s="13" t="e">
        <f>_xll.MKV("EUR.CM_DEPTH.XLS_GOVIES."&amp;$C38,T$1)</f>
        <v>#REF!</v>
      </c>
      <c r="U38" s="13" t="e">
        <f>_xll.MKV("EUR.CM_DEPTH.XLS_GOVIES."&amp;$C38,U$1)</f>
        <v>#REF!</v>
      </c>
      <c r="V38" s="21">
        <f>IF(ISNA(C38),NA(),_xll.qlBondYieldFromCleanPrice(C38,O38,YieldDayCounter,YieldCompounding,YieldFrequency))</f>
        <v>1.2592497476376596E-2</v>
      </c>
      <c r="W38" s="15" t="b">
        <v>1</v>
      </c>
      <c r="X38" s="22" t="b">
        <f t="shared" si="11"/>
        <v>1</v>
      </c>
      <c r="Y38" s="20">
        <f>IF(ISNA(C38),NA(),M38-_xll.qlQuoteValue(H38))</f>
        <v>1.4998695646511351E-2</v>
      </c>
      <c r="Z38" s="8"/>
      <c r="AA38" s="1"/>
      <c r="AB38" s="66" t="str">
        <f t="shared" si="12"/>
        <v>BTP 2024-09-01 3.75%</v>
      </c>
      <c r="AC38" s="131">
        <f>_xll.BDP(C38&amp;" Corp", "days to mty")</f>
        <v>3020</v>
      </c>
      <c r="AD38" s="136">
        <f>IF(ISNA(ROUND(VLOOKUP(AC38,Contribution!C:J,8,FALSE),2)),"",ROUND(VLOOKUP(AC38,Contribution!C:J,8,FALSE),2))</f>
        <v>1.36</v>
      </c>
      <c r="AE38" s="134">
        <f t="shared" si="7"/>
        <v>10.075025236234048</v>
      </c>
      <c r="AF38" s="1"/>
      <c r="AG38" s="1"/>
      <c r="AH38" s="1"/>
      <c r="AN38" s="2">
        <v>128.24</v>
      </c>
      <c r="AO38" s="2">
        <v>128.30000000000001</v>
      </c>
    </row>
    <row r="39" spans="1:41" x14ac:dyDescent="0.2">
      <c r="A39" s="4"/>
      <c r="B39" s="18" t="str">
        <f>IF(ISNA(C39),NA(),_xll.qlBondDescription(C39,Trigger))</f>
        <v>BTP 2024-12-01 2.5%</v>
      </c>
      <c r="C39" s="12" t="str">
        <v>IT0005045270</v>
      </c>
      <c r="D39" s="14">
        <f>IF(ISNA(C39),NA(),_xll.qlBondMaturityDate(C39,Trigger))</f>
        <v>45627</v>
      </c>
      <c r="E39" s="15">
        <f>IF(ISNA(C39),NA(),_xll.qlBondNextCouponRate(C39,BondSettlementDate))</f>
        <v>2.5000000000000001E-2</v>
      </c>
      <c r="F39" s="24">
        <f>IF(ISNA(C39),NA(),_xll.qlBondRedemptionAmount(C39,Trigger))</f>
        <v>100</v>
      </c>
      <c r="G39" s="13" t="str">
        <f t="shared" si="5"/>
        <v>IT0005045270_Quote</v>
      </c>
      <c r="H39" s="23" t="str">
        <f t="shared" si="6"/>
        <v>IT0005045270_Quote</v>
      </c>
      <c r="I39" s="12" t="str">
        <f>IF(LEFT(B39,3)="BTP",_xll.qlBTP2(,B39,D39,E39,F39,,,,Trigger),_xll.qlCCTEU(,B39,D39,E39,F39,,,,Trigger))</f>
        <v>obj_00a63#0000</v>
      </c>
      <c r="J39" s="25" t="str">
        <f>_xll.qlBondHelper(,H39,I39)</f>
        <v>obj_00a88#0000</v>
      </c>
      <c r="K39" s="22" t="str">
        <f>_xll.qlBTP2(,B39,D39,E39,F39,,,,Trigger)</f>
        <v>obj_00a7d#0000</v>
      </c>
      <c r="L39" s="22" t="b">
        <f>_xll.qlInstrumentSetPricingEngine(K39,BondPricingEngine)</f>
        <v>1</v>
      </c>
      <c r="M39" s="19">
        <f>_xll.qlBondCleanPrice(K39,AND(ISERROR(L39),ISERROR(N39)))</f>
        <v>109.71499639348008</v>
      </c>
      <c r="N39" s="23">
        <f>_xll.qlSimpleQuoteSetValue(G39,O39)</f>
        <v>-4.9999999999954525E-3</v>
      </c>
      <c r="O39" s="23">
        <f t="shared" si="8"/>
        <v>109.70500000000001</v>
      </c>
      <c r="P39" s="20">
        <f t="shared" si="9"/>
        <v>0.10999999999999943</v>
      </c>
      <c r="Q39" s="22" t="str">
        <f t="shared" si="10"/>
        <v>IT504527=TT</v>
      </c>
      <c r="R39" s="19">
        <v>109.65</v>
      </c>
      <c r="S39" s="19">
        <v>109.76</v>
      </c>
      <c r="T39" s="13" t="e">
        <f>_xll.MKV("EUR.CM_DEPTH.XLS_GOVIES."&amp;$C39,T$1)</f>
        <v>#REF!</v>
      </c>
      <c r="U39" s="13" t="e">
        <f>_xll.MKV("EUR.CM_DEPTH.XLS_GOVIES."&amp;$C39,U$1)</f>
        <v>#REF!</v>
      </c>
      <c r="V39" s="21">
        <f>IF(ISNA(C39),NA(),_xll.qlBondYieldFromCleanPrice(C39,O39,YieldDayCounter,YieldCompounding,YieldFrequency))</f>
        <v>1.2966167309321465E-2</v>
      </c>
      <c r="W39" s="15" t="b">
        <v>1</v>
      </c>
      <c r="X39" s="22" t="b">
        <f t="shared" si="11"/>
        <v>1</v>
      </c>
      <c r="Y39" s="20">
        <f>IF(ISNA(C39),NA(),M39-_xll.qlQuoteValue(H39))</f>
        <v>9.9963934800655352E-3</v>
      </c>
      <c r="Z39" s="8"/>
      <c r="AA39" s="1"/>
      <c r="AB39" s="66" t="str">
        <f t="shared" si="12"/>
        <v>BTP 2024-12-01 2.5%</v>
      </c>
      <c r="AC39" s="131">
        <f>_xll.BDP(C39&amp;" Corp", "days to mty")</f>
        <v>3111</v>
      </c>
      <c r="AD39" s="136" t="str">
        <f>IF(ISNA(ROUND(VLOOKUP(AC39,Contribution!C:J,8,FALSE),2)),"",ROUND(VLOOKUP(AC39,Contribution!C:J,8,FALSE),2))</f>
        <v/>
      </c>
      <c r="AE39" s="134" t="str">
        <f t="shared" si="7"/>
        <v/>
      </c>
      <c r="AF39" s="1"/>
      <c r="AG39" s="1"/>
      <c r="AH39" s="1"/>
      <c r="AN39" s="2">
        <v>124.95</v>
      </c>
      <c r="AO39" s="2">
        <v>125.02</v>
      </c>
    </row>
    <row r="40" spans="1:41" x14ac:dyDescent="0.2">
      <c r="A40" s="4"/>
      <c r="B40" s="18" t="str">
        <f>IF(ISNA(C40),NA(),_xll.qlBondDescription(C40,Trigger))</f>
        <v>BTP 2025-03-01 5%</v>
      </c>
      <c r="C40" s="12" t="str">
        <v>IT0004513641</v>
      </c>
      <c r="D40" s="14">
        <f>IF(ISNA(C40),NA(),_xll.qlBondMaturityDate(C40,Trigger))</f>
        <v>45717</v>
      </c>
      <c r="E40" s="15">
        <f>IF(ISNA(C40),NA(),_xll.qlBondNextCouponRate(C40,BondSettlementDate))</f>
        <v>0.05</v>
      </c>
      <c r="F40" s="24">
        <f>IF(ISNA(C40),NA(),_xll.qlBondRedemptionAmount(C40,Trigger))</f>
        <v>100</v>
      </c>
      <c r="G40" s="13" t="str">
        <f t="shared" si="5"/>
        <v>IT0004513641_Quote</v>
      </c>
      <c r="H40" s="23" t="str">
        <f t="shared" si="6"/>
        <v>IT0004513641_Quote</v>
      </c>
      <c r="I40" s="12" t="str">
        <f>IF(LEFT(B40,3)="BTP",_xll.qlBTP2(,B40,D40,E40,F40,,,,Trigger),_xll.qlCCTEU(,B40,D40,E40,F40,,,,Trigger))</f>
        <v>obj_00a2f#0000</v>
      </c>
      <c r="J40" s="25" t="str">
        <f>_xll.qlBondHelper(,H40,I40)</f>
        <v>obj_00a93#0000</v>
      </c>
      <c r="K40" s="22" t="str">
        <f>_xll.qlBTP2(,B40,D40,E40,F40,,,,Trigger)</f>
        <v>obj_00a31#0000</v>
      </c>
      <c r="L40" s="22" t="b">
        <f>_xll.qlInstrumentSetPricingEngine(K40,BondPricingEngine)</f>
        <v>1</v>
      </c>
      <c r="M40" s="19">
        <f>_xll.qlBondCleanPrice(K40,AND(ISERROR(L40),ISERROR(N40)))</f>
        <v>130.28999826086925</v>
      </c>
      <c r="N40" s="23">
        <f>_xll.qlSimpleQuoteSetValue(G40,O40)</f>
        <v>-4.9999999999954525E-3</v>
      </c>
      <c r="O40" s="23">
        <f t="shared" si="8"/>
        <v>130.26499999999999</v>
      </c>
      <c r="P40" s="20">
        <f t="shared" si="9"/>
        <v>0.16999999999998749</v>
      </c>
      <c r="Q40" s="22" t="str">
        <f t="shared" si="10"/>
        <v>IT451364=TT</v>
      </c>
      <c r="R40" s="19">
        <v>130.18</v>
      </c>
      <c r="S40" s="19">
        <v>130.35</v>
      </c>
      <c r="T40" s="13" t="e">
        <f>_xll.MKV("EUR.CM_DEPTH.XLS_GOVIES."&amp;$C40,T$1)</f>
        <v>#REF!</v>
      </c>
      <c r="U40" s="13" t="e">
        <f>_xll.MKV("EUR.CM_DEPTH.XLS_GOVIES."&amp;$C40,U$1)</f>
        <v>#REF!</v>
      </c>
      <c r="V40" s="21">
        <f>IF(ISNA(C40),NA(),_xll.qlBondYieldFromCleanPrice(C40,O40,YieldDayCounter,YieldCompounding,YieldFrequency))</f>
        <v>1.334293086919934E-2</v>
      </c>
      <c r="W40" s="15" t="b">
        <v>1</v>
      </c>
      <c r="X40" s="22" t="b">
        <f t="shared" si="11"/>
        <v>1</v>
      </c>
      <c r="Y40" s="20">
        <f>IF(ISNA(C40),NA(),M40-_xll.qlQuoteValue(H40))</f>
        <v>2.4998260869267597E-2</v>
      </c>
      <c r="Z40" s="8"/>
      <c r="AA40" s="1"/>
      <c r="AB40" s="66" t="str">
        <f t="shared" si="12"/>
        <v>BTP 2025-03-01 5%</v>
      </c>
      <c r="AC40" s="131">
        <f>_xll.BDP(C40&amp;" Corp", "days to mty")</f>
        <v>3201</v>
      </c>
      <c r="AD40" s="136">
        <f>IF(ISNA(ROUND(VLOOKUP(AC40,Contribution!C:J,8,FALSE),2)),"",ROUND(VLOOKUP(AC40,Contribution!C:J,8,FALSE),2))</f>
        <v>1.47</v>
      </c>
      <c r="AE40" s="134">
        <f t="shared" si="7"/>
        <v>13.570691308006587</v>
      </c>
      <c r="AF40" s="1"/>
      <c r="AG40" s="1"/>
      <c r="AH40" s="1"/>
      <c r="AN40" s="2">
        <v>152.94999999999999</v>
      </c>
      <c r="AO40" s="2">
        <v>153.19999999999999</v>
      </c>
    </row>
    <row r="41" spans="1:41" x14ac:dyDescent="0.2">
      <c r="A41" s="4"/>
      <c r="B41" s="18" t="str">
        <f>IF(ISNA(C41),NA(),_xll.qlBondDescription(C41,Trigger))</f>
        <v>BTP 2025-06-01 1.5%</v>
      </c>
      <c r="C41" s="12" t="str">
        <v>IT0005090318</v>
      </c>
      <c r="D41" s="14">
        <f>IF(ISNA(C41),NA(),_xll.qlBondMaturityDate(C41,Trigger))</f>
        <v>45809</v>
      </c>
      <c r="E41" s="15">
        <f>IF(ISNA(C41),NA(),_xll.qlBondNextCouponRate(C41,BondSettlementDate))</f>
        <v>1.4999999999999999E-2</v>
      </c>
      <c r="F41" s="24">
        <f>IF(ISNA(C41),NA(),_xll.qlBondRedemptionAmount(C41,Trigger))</f>
        <v>100</v>
      </c>
      <c r="G41" s="13" t="str">
        <f t="shared" si="5"/>
        <v>IT0005090318_Quote</v>
      </c>
      <c r="H41" s="23" t="str">
        <f t="shared" si="6"/>
        <v>IT0005090318_Quote</v>
      </c>
      <c r="I41" s="12" t="str">
        <f>IF(LEFT(B41,3)="BTP",_xll.qlBTP2(,B41,D41,E41,F41,,,,Trigger),_xll.qlCCTEU(,B41,D41,E41,F41,,,,Trigger))</f>
        <v>obj_00a36#0000</v>
      </c>
      <c r="J41" s="25" t="str">
        <f>_xll.qlBondHelper(,H41,I41)</f>
        <v>obj_00aa1#0000</v>
      </c>
      <c r="K41" s="22" t="str">
        <f>_xll.qlBTP2(,B41,D41,E41,F41,,,,Trigger)</f>
        <v>obj_00a54#0000</v>
      </c>
      <c r="L41" s="22" t="b">
        <f>_xll.qlInstrumentSetPricingEngine(K41,BondPricingEngine)</f>
        <v>1</v>
      </c>
      <c r="M41" s="19">
        <f>_xll.qlBondCleanPrice(K41,AND(ISERROR(L41),ISERROR(N41)))</f>
        <v>101.28999983606091</v>
      </c>
      <c r="N41" s="23">
        <f>_xll.qlSimpleQuoteSetValue(G41,O41)</f>
        <v>0</v>
      </c>
      <c r="O41" s="23">
        <f t="shared" si="8"/>
        <v>101.27000000000001</v>
      </c>
      <c r="P41" s="20">
        <f t="shared" si="9"/>
        <v>0.14000000000000057</v>
      </c>
      <c r="Q41" s="22" t="str">
        <f t="shared" si="10"/>
        <v>IT509031=TT</v>
      </c>
      <c r="R41" s="19">
        <v>101.2</v>
      </c>
      <c r="S41" s="19">
        <v>101.34</v>
      </c>
      <c r="T41" s="13" t="e">
        <f>_xll.MKV("EUR.CM_DEPTH.XLS_GOVIES."&amp;$C41,T$1)</f>
        <v>#REF!</v>
      </c>
      <c r="U41" s="13" t="e">
        <f>_xll.MKV("EUR.CM_DEPTH.XLS_GOVIES."&amp;$C41,U$1)</f>
        <v>#REF!</v>
      </c>
      <c r="V41" s="21">
        <f>IF(ISNA(C41),NA(),_xll.qlBondYieldFromCleanPrice(C41,O41,YieldDayCounter,YieldCompounding,YieldFrequency))</f>
        <v>1.35405971037224E-2</v>
      </c>
      <c r="W41" s="15" t="b">
        <v>1</v>
      </c>
      <c r="X41" s="22" t="b">
        <f t="shared" si="11"/>
        <v>1</v>
      </c>
      <c r="Y41" s="20">
        <f>IF(ISNA(C41),NA(),M41-_xll.qlQuoteValue(H41))</f>
        <v>1.9999836060904386E-2</v>
      </c>
      <c r="Z41" s="8"/>
      <c r="AA41" s="1"/>
      <c r="AB41" s="66" t="str">
        <f t="shared" si="12"/>
        <v>BTP 2025-06-01 1.5%</v>
      </c>
      <c r="AC41" s="131">
        <f>_xll.BDP(C41&amp;" Corp", "days to mty")</f>
        <v>3293</v>
      </c>
      <c r="AD41" s="136" t="str">
        <f>IF(ISNA(ROUND(VLOOKUP(AC41,Contribution!C:J,8,FALSE),2)),"",ROUND(VLOOKUP(AC41,Contribution!C:J,8,FALSE),2))</f>
        <v/>
      </c>
      <c r="AE41" s="134" t="str">
        <f t="shared" si="7"/>
        <v/>
      </c>
      <c r="AF41" s="1"/>
      <c r="AG41" s="1"/>
      <c r="AH41" s="1"/>
      <c r="AN41" s="2">
        <v>146.97</v>
      </c>
      <c r="AO41" s="2">
        <v>147.28</v>
      </c>
    </row>
    <row r="42" spans="1:41" x14ac:dyDescent="0.2">
      <c r="A42" s="4"/>
      <c r="B42" s="18" t="str">
        <f>IF(ISNA(C42),NA(),_xll.qlBondDescription(C42,Trigger))</f>
        <v>BTP 2026-03-01 4.5%</v>
      </c>
      <c r="C42" s="12" t="str">
        <v>IT0004644735</v>
      </c>
      <c r="D42" s="14">
        <f>IF(ISNA(C42),NA(),_xll.qlBondMaturityDate(C42,Trigger))</f>
        <v>46082</v>
      </c>
      <c r="E42" s="15">
        <f>IF(ISNA(C42),NA(),_xll.qlBondNextCouponRate(C42,BondSettlementDate))</f>
        <v>4.4999999999999998E-2</v>
      </c>
      <c r="F42" s="24">
        <f>IF(ISNA(C42),NA(),_xll.qlBondRedemptionAmount(C42,Trigger))</f>
        <v>100</v>
      </c>
      <c r="G42" s="13" t="str">
        <f t="shared" si="5"/>
        <v>IT0004644735_Quote</v>
      </c>
      <c r="H42" s="23" t="str">
        <f t="shared" si="6"/>
        <v>IT0004644735_Quote</v>
      </c>
      <c r="I42" s="12" t="str">
        <f>IF(LEFT(B42,3)="BTP",_xll.qlBTP2(,B42,D42,E42,F42,,,,Trigger),_xll.qlCCTEU(,B42,D42,E42,F42,,,,Trigger))</f>
        <v>obj_00a67#0000</v>
      </c>
      <c r="J42" s="25" t="str">
        <f>_xll.qlBondHelper(,H42,I42)</f>
        <v>obj_00a72#0000</v>
      </c>
      <c r="K42" s="22" t="str">
        <f>_xll.qlBTP2(,B42,D42,E42,F42,,,,Trigger)</f>
        <v>obj_00a37#0000</v>
      </c>
      <c r="L42" s="22" t="b">
        <f>_xll.qlInstrumentSetPricingEngine(K42,BondPricingEngine)</f>
        <v>1</v>
      </c>
      <c r="M42" s="19">
        <f>_xll.qlBondCleanPrice(K42,AND(ISERROR(L42),ISERROR(N42)))</f>
        <v>127.44000043478455</v>
      </c>
      <c r="N42" s="23">
        <f>_xll.qlSimpleQuoteSetValue(G42,O42)</f>
        <v>-5.0000000000096634E-3</v>
      </c>
      <c r="O42" s="23">
        <f t="shared" si="8"/>
        <v>127.41</v>
      </c>
      <c r="P42" s="20">
        <f t="shared" si="9"/>
        <v>0.14000000000000057</v>
      </c>
      <c r="Q42" s="22" t="str">
        <f t="shared" si="10"/>
        <v>IT464473=TT</v>
      </c>
      <c r="R42" s="19">
        <v>127.34</v>
      </c>
      <c r="S42" s="19">
        <v>127.48</v>
      </c>
      <c r="T42" s="13" t="e">
        <f>_xll.MKV("EUR.CM_DEPTH.XLS_GOVIES."&amp;$C42,T$1)</f>
        <v>#REF!</v>
      </c>
      <c r="U42" s="13" t="e">
        <f>_xll.MKV("EUR.CM_DEPTH.XLS_GOVIES."&amp;$C42,U$1)</f>
        <v>#REF!</v>
      </c>
      <c r="V42" s="21">
        <f>IF(ISNA(C42),NA(),_xll.qlBondYieldFromCleanPrice(C42,O42,YieldDayCounter,YieldCompounding,YieldFrequency))</f>
        <v>1.4807979008220142E-2</v>
      </c>
      <c r="W42" s="15" t="b">
        <v>1</v>
      </c>
      <c r="X42" s="22" t="b">
        <f t="shared" si="11"/>
        <v>1</v>
      </c>
      <c r="Y42" s="20">
        <f>IF(ISNA(C42),NA(),M42-_xll.qlQuoteValue(H42))</f>
        <v>3.0000434784554386E-2</v>
      </c>
      <c r="Z42" s="8"/>
      <c r="AA42" s="1"/>
      <c r="AB42" s="66" t="str">
        <f t="shared" si="12"/>
        <v>BTP 2026-03-01 4.5%</v>
      </c>
      <c r="AC42" s="131">
        <f>_xll.BDP(C42&amp;" Corp", "days to mty")</f>
        <v>3566</v>
      </c>
      <c r="AD42" s="136">
        <f>IF(ISNA(ROUND(VLOOKUP(AC42,Contribution!C:J,8,FALSE),2)),"",ROUND(VLOOKUP(AC42,Contribution!C:J,8,FALSE),2))</f>
        <v>1.62</v>
      </c>
      <c r="AE42" s="134">
        <f t="shared" si="7"/>
        <v>13.920209917798587</v>
      </c>
      <c r="AF42" s="1"/>
      <c r="AG42" s="1"/>
      <c r="AH42" s="1"/>
      <c r="AN42" s="2">
        <v>129.1</v>
      </c>
      <c r="AO42" s="2">
        <v>129.43</v>
      </c>
    </row>
    <row r="43" spans="1:41" x14ac:dyDescent="0.2">
      <c r="A43" s="4"/>
      <c r="B43" s="18" t="str">
        <f>IF(ISNA(C43),NA(),_xll.qlBondDescription(C43,Trigger))</f>
        <v>BTP 2026-11-01 7.25%</v>
      </c>
      <c r="C43" s="12" t="str">
        <v>IT0001086567</v>
      </c>
      <c r="D43" s="14">
        <f>IF(ISNA(C43),NA(),_xll.qlBondMaturityDate(C43,Trigger))</f>
        <v>46327</v>
      </c>
      <c r="E43" s="15">
        <f>IF(ISNA(C43),NA(),_xll.qlBondNextCouponRate(C43,BondSettlementDate))</f>
        <v>7.2499999999999995E-2</v>
      </c>
      <c r="F43" s="24">
        <f>IF(ISNA(C43),NA(),_xll.qlBondRedemptionAmount(C43,Trigger))</f>
        <v>99.999000000000009</v>
      </c>
      <c r="G43" s="13" t="str">
        <f t="shared" si="5"/>
        <v>IT0001086567_Quote</v>
      </c>
      <c r="H43" s="23" t="str">
        <f t="shared" si="6"/>
        <v>IT0001086567_Quote</v>
      </c>
      <c r="I43" s="12" t="str">
        <f>IF(LEFT(B43,3)="BTP",_xll.qlBTP2(,B43,D43,E43,F43,,,,Trigger),_xll.qlCCTEU(,B43,D43,E43,F43,,,,Trigger))</f>
        <v>obj_00a07#0000</v>
      </c>
      <c r="J43" s="25" t="str">
        <f>_xll.qlBondHelper(,H43,I43)</f>
        <v>obj_00a4a#0000</v>
      </c>
      <c r="K43" s="22" t="str">
        <f>_xll.qlBTP2(,B43,D43,E43,F43,,,,Trigger)</f>
        <v>obj_00a01#0000</v>
      </c>
      <c r="L43" s="22" t="b">
        <f>_xll.qlInstrumentSetPricingEngine(K43,BondPricingEngine)</f>
        <v>1</v>
      </c>
      <c r="M43" s="19">
        <f>_xll.qlBondCleanPrice(K43,AND(ISERROR(L43),ISERROR(N43)))</f>
        <v>154.58999717391359</v>
      </c>
      <c r="N43" s="23">
        <f>_xll.qlSimpleQuoteSetValue(G43,O43)</f>
        <v>4.9999999999954525E-3</v>
      </c>
      <c r="O43" s="23">
        <f t="shared" si="8"/>
        <v>154.55500000000001</v>
      </c>
      <c r="P43" s="20">
        <f t="shared" si="9"/>
        <v>0.15000000000000568</v>
      </c>
      <c r="Q43" s="22" t="str">
        <f t="shared" si="10"/>
        <v>IT108656=TT</v>
      </c>
      <c r="R43" s="19">
        <v>154.47999999999999</v>
      </c>
      <c r="S43" s="19">
        <v>154.63</v>
      </c>
      <c r="T43" s="13" t="e">
        <f>_xll.MKV("EUR.CM_DEPTH.XLS_GOVIES."&amp;$C43,T$1)</f>
        <v>#REF!</v>
      </c>
      <c r="U43" s="13" t="e">
        <f>_xll.MKV("EUR.CM_DEPTH.XLS_GOVIES."&amp;$C43,U$1)</f>
        <v>#REF!</v>
      </c>
      <c r="V43" s="21">
        <f>IF(ISNA(C43),NA(),_xll.qlBondYieldFromCleanPrice(C43,O43,YieldDayCounter,YieldCompounding,YieldFrequency))</f>
        <v>1.5677442522126338E-2</v>
      </c>
      <c r="W43" s="15" t="b">
        <v>1</v>
      </c>
      <c r="X43" s="22" t="b">
        <f t="shared" si="11"/>
        <v>1</v>
      </c>
      <c r="Y43" s="20">
        <f>IF(ISNA(C43),NA(),M43-_xll.qlQuoteValue(H43))</f>
        <v>3.4997173913581037E-2</v>
      </c>
      <c r="Z43" s="8"/>
      <c r="AA43" s="1"/>
      <c r="AB43" s="66" t="str">
        <f t="shared" si="12"/>
        <v>BTP 2026-11-01 7.25%</v>
      </c>
      <c r="AC43" s="131">
        <f>_xll.BDP(C43&amp;" Corp", "days to mty")</f>
        <v>3811</v>
      </c>
      <c r="AD43" s="136">
        <f>IF(ISNA(ROUND(VLOOKUP(AC43,Contribution!C:J,8,FALSE),2)),"",ROUND(VLOOKUP(AC43,Contribution!C:J,8,FALSE),2))</f>
        <v>1.81</v>
      </c>
      <c r="AE43" s="134">
        <f t="shared" si="7"/>
        <v>24.225574778736615</v>
      </c>
      <c r="AF43" s="1"/>
      <c r="AG43" s="1"/>
      <c r="AH43" s="1"/>
      <c r="AN43" s="2">
        <v>136.56</v>
      </c>
      <c r="AO43" s="2">
        <v>136.88999999999999</v>
      </c>
    </row>
    <row r="44" spans="1:41" x14ac:dyDescent="0.2">
      <c r="A44" s="4"/>
      <c r="B44" s="18" t="str">
        <f>IF(ISNA(C44),NA(),_xll.qlBondDescription(C44,Trigger))</f>
        <v>BTP 2027-11-01 6.5%</v>
      </c>
      <c r="C44" s="12" t="str">
        <v>IT0001174611</v>
      </c>
      <c r="D44" s="14">
        <f>IF(ISNA(C44),NA(),_xll.qlBondMaturityDate(C44,Trigger))</f>
        <v>46692</v>
      </c>
      <c r="E44" s="15">
        <f>IF(ISNA(C44),NA(),_xll.qlBondNextCouponRate(C44,BondSettlementDate))</f>
        <v>6.5000000000000002E-2</v>
      </c>
      <c r="F44" s="24">
        <f>IF(ISNA(C44),NA(),_xll.qlBondRedemptionAmount(C44,Trigger))</f>
        <v>100</v>
      </c>
      <c r="G44" s="13" t="str">
        <f t="shared" si="5"/>
        <v>IT0001174611_Quote</v>
      </c>
      <c r="H44" s="23" t="str">
        <f t="shared" si="6"/>
        <v>IT0001174611_Quote</v>
      </c>
      <c r="I44" s="12" t="str">
        <f>IF(LEFT(B44,3)="BTP",_xll.qlBTP2(,B44,D44,E44,F44,,,,Trigger),_xll.qlCCTEU(,B44,D44,E44,F44,,,,Trigger))</f>
        <v>obj_00a55#0000</v>
      </c>
      <c r="J44" s="25" t="str">
        <f>_xll.qlBondHelper(,H44,I44)</f>
        <v>obj_00aa8#0000</v>
      </c>
      <c r="K44" s="22" t="str">
        <f>_xll.qlBTP2(,B44,D44,E44,F44,,,,Trigger)</f>
        <v>obj_00a50#0000</v>
      </c>
      <c r="L44" s="22" t="b">
        <f>_xll.qlInstrumentSetPricingEngine(K44,BondPricingEngine)</f>
        <v>1</v>
      </c>
      <c r="M44" s="19">
        <f>_xll.qlBondCleanPrice(K44,AND(ISERROR(L44),ISERROR(N44)))</f>
        <v>149.38999608689818</v>
      </c>
      <c r="N44" s="23">
        <f>_xll.qlSimpleQuoteSetValue(G44,O44)</f>
        <v>0</v>
      </c>
      <c r="O44" s="23">
        <f t="shared" si="8"/>
        <v>149.36500000000001</v>
      </c>
      <c r="P44" s="20">
        <f t="shared" si="9"/>
        <v>0.15000000000000568</v>
      </c>
      <c r="Q44" s="22" t="str">
        <f t="shared" si="10"/>
        <v>IT117461=TT</v>
      </c>
      <c r="R44" s="19">
        <v>149.29</v>
      </c>
      <c r="S44" s="19">
        <v>149.44</v>
      </c>
      <c r="T44" s="13" t="e">
        <f>_xll.MKV("EUR.CM_DEPTH.XLS_GOVIES."&amp;$C44,T$1)</f>
        <v>#REF!</v>
      </c>
      <c r="U44" s="13" t="e">
        <f>_xll.MKV("EUR.CM_DEPTH.XLS_GOVIES."&amp;$C44,U$1)</f>
        <v>#REF!</v>
      </c>
      <c r="V44" s="21">
        <f>IF(ISNA(C44),NA(),_xll.qlBondYieldFromCleanPrice(C44,O44,YieldDayCounter,YieldCompounding,YieldFrequency))</f>
        <v>1.7309782619401817E-2</v>
      </c>
      <c r="W44" s="15" t="b">
        <v>1</v>
      </c>
      <c r="X44" s="22" t="b">
        <f t="shared" si="11"/>
        <v>1</v>
      </c>
      <c r="Y44" s="20">
        <f>IF(ISNA(C44),NA(),M44-_xll.qlQuoteValue(H44))</f>
        <v>2.4996086898170233E-2</v>
      </c>
      <c r="Z44" s="8"/>
      <c r="AA44" s="1"/>
      <c r="AB44" s="66" t="str">
        <f t="shared" si="12"/>
        <v>BTP 2027-11-01 6.5%</v>
      </c>
      <c r="AC44" s="131">
        <f>_xll.BDP(C44&amp;" Corp", "days to mty")</f>
        <v>4176</v>
      </c>
      <c r="AD44" s="136">
        <f>IF(ISNA(ROUND(VLOOKUP(AC44,Contribution!C:J,8,FALSE),2)),"",ROUND(VLOOKUP(AC44,Contribution!C:J,8,FALSE),2))</f>
        <v>1.98</v>
      </c>
      <c r="AE44" s="134">
        <f t="shared" si="7"/>
        <v>24.902173805981832</v>
      </c>
      <c r="AF44" s="1"/>
      <c r="AG44" s="1"/>
      <c r="AH44" s="1"/>
      <c r="AN44" s="2">
        <v>148.38</v>
      </c>
      <c r="AO44" s="2">
        <v>148.66999999999999</v>
      </c>
    </row>
    <row r="45" spans="1:41" x14ac:dyDescent="0.2">
      <c r="A45" s="4"/>
      <c r="B45" s="18" t="str">
        <f>IF(ISNA(C45),NA(),_xll.qlBondDescription(C45,Trigger))</f>
        <v>BTP 2028-09-01 4.75%</v>
      </c>
      <c r="C45" s="12" t="str">
        <v>IT0004889033</v>
      </c>
      <c r="D45" s="14">
        <f>IF(ISNA(C45),NA(),_xll.qlBondMaturityDate(C45,Trigger))</f>
        <v>46997</v>
      </c>
      <c r="E45" s="15">
        <f>IF(ISNA(C45),NA(),_xll.qlBondNextCouponRate(C45,BondSettlementDate))</f>
        <v>4.7500000000000001E-2</v>
      </c>
      <c r="F45" s="24">
        <f>IF(ISNA(C45),NA(),_xll.qlBondRedemptionAmount(C45,Trigger))</f>
        <v>100</v>
      </c>
      <c r="G45" s="13" t="str">
        <f t="shared" si="5"/>
        <v>IT0004889033_Quote</v>
      </c>
      <c r="H45" s="23" t="str">
        <f t="shared" si="6"/>
        <v>IT0004889033_Quote</v>
      </c>
      <c r="I45" s="12" t="str">
        <f>IF(LEFT(B45,3)="BTP",_xll.qlBTP2(,B45,D45,E45,F45,,,,Trigger),_xll.qlCCTEU(,B45,D45,E45,F45,,,,Trigger))</f>
        <v>obj_00a0d#0000</v>
      </c>
      <c r="J45" s="25" t="str">
        <f>_xll.qlBondHelper(,H45,I45)</f>
        <v>obj_00a7e#0000</v>
      </c>
      <c r="K45" s="22" t="str">
        <f>_xll.qlBTP2(,B45,D45,E45,F45,,,,Trigger)</f>
        <v>obj_00a21#0000</v>
      </c>
      <c r="L45" s="22" t="b">
        <f>_xll.qlInstrumentSetPricingEngine(K45,BondPricingEngine)</f>
        <v>1</v>
      </c>
      <c r="M45" s="19">
        <f>_xll.qlBondCleanPrice(K45,AND(ISERROR(L45),ISERROR(N45)))</f>
        <v>132.6300043478353</v>
      </c>
      <c r="N45" s="23">
        <f>_xll.qlSimpleQuoteSetValue(G45,O45)</f>
        <v>4.9999999999954525E-3</v>
      </c>
      <c r="O45" s="23">
        <f t="shared" si="8"/>
        <v>132.60500000000002</v>
      </c>
      <c r="P45" s="20">
        <f t="shared" si="9"/>
        <v>0.22999999999998977</v>
      </c>
      <c r="Q45" s="22" t="str">
        <f t="shared" si="10"/>
        <v>IT488903=TT</v>
      </c>
      <c r="R45" s="19">
        <v>132.49</v>
      </c>
      <c r="S45" s="19">
        <v>132.72</v>
      </c>
      <c r="T45" s="13" t="e">
        <f>_xll.MKV("EUR.CM_DEPTH.XLS_GOVIES."&amp;$C45,T$1)</f>
        <v>#REF!</v>
      </c>
      <c r="U45" s="13" t="e">
        <f>_xll.MKV("EUR.CM_DEPTH.XLS_GOVIES."&amp;$C45,U$1)</f>
        <v>#REF!</v>
      </c>
      <c r="V45" s="21">
        <f>IF(ISNA(C45),NA(),_xll.qlBondYieldFromCleanPrice(C45,O45,YieldDayCounter,YieldCompounding,YieldFrequency))</f>
        <v>1.7871446666494019E-2</v>
      </c>
      <c r="W45" s="15" t="b">
        <v>1</v>
      </c>
      <c r="X45" s="22" t="b">
        <f t="shared" si="11"/>
        <v>1</v>
      </c>
      <c r="Y45" s="20">
        <f>IF(ISNA(C45),NA(),M45-_xll.qlQuoteValue(H45))</f>
        <v>2.500434783527794E-2</v>
      </c>
      <c r="Z45" s="8"/>
      <c r="AA45" s="1"/>
      <c r="AB45" s="66" t="str">
        <f t="shared" si="12"/>
        <v>BTP 2028-09-01 4.75%</v>
      </c>
      <c r="AC45" s="131">
        <f>_xll.BDP(C45&amp;" Corp", "days to mty")</f>
        <v>4481</v>
      </c>
      <c r="AD45" s="136">
        <f>IF(ISNA(ROUND(VLOOKUP(AC45,Contribution!C:J,8,FALSE),2)),"",ROUND(VLOOKUP(AC45,Contribution!C:J,8,FALSE),2))</f>
        <v>1.97</v>
      </c>
      <c r="AE45" s="134">
        <f t="shared" si="7"/>
        <v>18.285533335059799</v>
      </c>
      <c r="AF45" s="1"/>
      <c r="AG45" s="1"/>
      <c r="AH45" s="1"/>
      <c r="AN45" s="2">
        <v>147.01</v>
      </c>
      <c r="AO45" s="2">
        <v>147.46</v>
      </c>
    </row>
    <row r="46" spans="1:41" x14ac:dyDescent="0.2">
      <c r="A46" s="4"/>
      <c r="B46" s="18" t="str">
        <f>IF(ISNA(C46),NA(),_xll.qlBondDescription(C46,Trigger))</f>
        <v>BTP 2029-11-01 5.25%</v>
      </c>
      <c r="C46" s="12" t="str">
        <v>IT0001278511</v>
      </c>
      <c r="D46" s="14">
        <f>IF(ISNA(C46),NA(),_xll.qlBondMaturityDate(C46,Trigger))</f>
        <v>47423</v>
      </c>
      <c r="E46" s="15">
        <f>IF(ISNA(C46),NA(),_xll.qlBondNextCouponRate(C46,BondSettlementDate))</f>
        <v>5.2499999999999998E-2</v>
      </c>
      <c r="F46" s="24">
        <f>IF(ISNA(C46),NA(),_xll.qlBondRedemptionAmount(C46,Trigger))</f>
        <v>100</v>
      </c>
      <c r="G46" s="13" t="str">
        <f t="shared" si="5"/>
        <v>IT0001278511_Quote</v>
      </c>
      <c r="H46" s="23" t="str">
        <f t="shared" si="6"/>
        <v>IT0001278511_Quote</v>
      </c>
      <c r="I46" s="12" t="str">
        <f>IF(LEFT(B46,3)="BTP",_xll.qlBTP2(,B46,D46,E46,F46,,,,Trigger),_xll.qlCCTEU(,B46,D46,E46,F46,,,,Trigger))</f>
        <v>obj_00a2e#0000</v>
      </c>
      <c r="J46" s="25" t="str">
        <f>_xll.qlBondHelper(,H46,I46)</f>
        <v>obj_00a34#0000</v>
      </c>
      <c r="K46" s="22" t="str">
        <f>_xll.qlBTP2(,B46,D46,E46,F46,,,,Trigger)</f>
        <v>obj_00a2c#0000</v>
      </c>
      <c r="L46" s="22" t="b">
        <f>_xll.qlInstrumentSetPricingEngine(K46,BondPricingEngine)</f>
        <v>1</v>
      </c>
      <c r="M46" s="19">
        <f>_xll.qlBondCleanPrice(K46,AND(ISERROR(L46),ISERROR(N46)))</f>
        <v>139.77999760870458</v>
      </c>
      <c r="N46" s="23">
        <f>_xll.qlSimpleQuoteSetValue(G46,O46)</f>
        <v>4.9999999999954525E-3</v>
      </c>
      <c r="O46" s="23">
        <f t="shared" si="8"/>
        <v>139.76</v>
      </c>
      <c r="P46" s="20">
        <f t="shared" si="9"/>
        <v>0.21999999999999886</v>
      </c>
      <c r="Q46" s="22" t="str">
        <f t="shared" si="10"/>
        <v>IT127851=TT</v>
      </c>
      <c r="R46" s="19">
        <v>139.65</v>
      </c>
      <c r="S46" s="19">
        <v>139.87</v>
      </c>
      <c r="T46" s="13" t="e">
        <f>_xll.MKV("EUR.CM_DEPTH.XLS_GOVIES."&amp;$C46,T$1)</f>
        <v>#REF!</v>
      </c>
      <c r="U46" s="13" t="e">
        <f>_xll.MKV("EUR.CM_DEPTH.XLS_GOVIES."&amp;$C46,U$1)</f>
        <v>#REF!</v>
      </c>
      <c r="V46" s="21">
        <f>IF(ISNA(C46),NA(),_xll.qlBondYieldFromCleanPrice(C46,O46,YieldDayCounter,YieldCompounding,YieldFrequency))</f>
        <v>1.8940315471217037E-2</v>
      </c>
      <c r="W46" s="15" t="b">
        <v>1</v>
      </c>
      <c r="X46" s="22" t="b">
        <f t="shared" si="11"/>
        <v>1</v>
      </c>
      <c r="Y46" s="20">
        <f>IF(ISNA(C46),NA(),M46-_xll.qlQuoteValue(H46))</f>
        <v>1.9997608704585446E-2</v>
      </c>
      <c r="Z46" s="8"/>
      <c r="AA46" s="1"/>
      <c r="AB46" s="66" t="str">
        <f t="shared" si="12"/>
        <v>BTP 2029-11-01 5.25%</v>
      </c>
      <c r="AC46" s="131">
        <f>_xll.BDP(C46&amp;" Corp", "days to mty")</f>
        <v>4907</v>
      </c>
      <c r="AD46" s="136">
        <f>IF(ISNA(ROUND(VLOOKUP(AC46,Contribution!C:J,8,FALSE),2)),"",ROUND(VLOOKUP(AC46,Contribution!C:J,8,FALSE),2))</f>
        <v>2.11</v>
      </c>
      <c r="AE46" s="134">
        <f t="shared" si="7"/>
        <v>21.596845287829613</v>
      </c>
      <c r="AF46" s="1"/>
      <c r="AG46" s="1"/>
      <c r="AH46" s="1"/>
      <c r="AN46" s="2">
        <v>137.03</v>
      </c>
      <c r="AO46" s="2">
        <v>137.63999999999999</v>
      </c>
    </row>
    <row r="47" spans="1:41" x14ac:dyDescent="0.2">
      <c r="A47" s="4"/>
      <c r="B47" s="18" t="str">
        <f>IF(ISNA(C47),NA(),_xll.qlBondDescription(C47,Trigger))</f>
        <v>BTP 2030-03-01 3.5%</v>
      </c>
      <c r="C47" s="12" t="str">
        <v>IT0005024234</v>
      </c>
      <c r="D47" s="14">
        <f>IF(ISNA(C47),NA(),_xll.qlBondMaturityDate(C47,Trigger))</f>
        <v>47543</v>
      </c>
      <c r="E47" s="15">
        <f>IF(ISNA(C47),NA(),_xll.qlBondNextCouponRate(C47,BondSettlementDate))</f>
        <v>3.5000000000000003E-2</v>
      </c>
      <c r="F47" s="24">
        <f>IF(ISNA(C47),NA(),_xll.qlBondRedemptionAmount(C47,Trigger))</f>
        <v>100</v>
      </c>
      <c r="G47" s="13" t="str">
        <f t="shared" si="5"/>
        <v>IT0005024234_Quote</v>
      </c>
      <c r="H47" s="23" t="str">
        <f t="shared" si="6"/>
        <v>IT0005024234_Quote</v>
      </c>
      <c r="I47" s="12" t="str">
        <f>IF(LEFT(B47,3)="BTP",_xll.qlBTP2(,B47,D47,E47,F47,,,,Trigger),_xll.qlCCTEU(,B47,D47,E47,F47,,,,Trigger))</f>
        <v>obj_00a45#0000</v>
      </c>
      <c r="J47" s="25" t="str">
        <f>_xll.qlBondHelper(,H47,I47)</f>
        <v>obj_00a9f#0000</v>
      </c>
      <c r="K47" s="22" t="str">
        <f>_xll.qlBTP2(,B47,D47,E47,F47,,,,Trigger)</f>
        <v>obj_00a64#0000</v>
      </c>
      <c r="L47" s="22" t="b">
        <f>_xll.qlInstrumentSetPricingEngine(K47,BondPricingEngine)</f>
        <v>1</v>
      </c>
      <c r="M47" s="19">
        <f>_xll.qlBondCleanPrice(K47,AND(ISERROR(L47),ISERROR(N47)))</f>
        <v>119.48000478260761</v>
      </c>
      <c r="N47" s="23">
        <f>_xll.qlSimpleQuoteSetValue(G47,O47)</f>
        <v>1.0000000000005116E-2</v>
      </c>
      <c r="O47" s="23">
        <f t="shared" si="8"/>
        <v>119.45500000000001</v>
      </c>
      <c r="P47" s="20">
        <f t="shared" si="9"/>
        <v>0.23000000000000398</v>
      </c>
      <c r="Q47" s="22" t="str">
        <f t="shared" si="10"/>
        <v>IT502423=TT</v>
      </c>
      <c r="R47" s="19">
        <v>119.34</v>
      </c>
      <c r="S47" s="19">
        <v>119.57000000000001</v>
      </c>
      <c r="T47" s="13" t="e">
        <f>_xll.MKV("EUR.CM_DEPTH.XLS_GOVIES."&amp;$C47,T$1)</f>
        <v>#REF!</v>
      </c>
      <c r="U47" s="13" t="e">
        <f>_xll.MKV("EUR.CM_DEPTH.XLS_GOVIES."&amp;$C47,U$1)</f>
        <v>#REF!</v>
      </c>
      <c r="V47" s="21">
        <f>IF(ISNA(C47),NA(),_xll.qlBondYieldFromCleanPrice(C47,O47,YieldDayCounter,YieldCompounding,YieldFrequency))</f>
        <v>1.8971913447596141E-2</v>
      </c>
      <c r="W47" s="15" t="b">
        <v>1</v>
      </c>
      <c r="X47" s="22" t="b">
        <f t="shared" si="11"/>
        <v>1</v>
      </c>
      <c r="Y47" s="20">
        <f>IF(ISNA(C47),NA(),M47-_xll.qlQuoteValue(H47))</f>
        <v>2.5004782607595644E-2</v>
      </c>
      <c r="Z47" s="8"/>
      <c r="AA47" s="1"/>
      <c r="AB47" s="66" t="str">
        <f t="shared" si="12"/>
        <v>BTP 2030-03-01 3.5%</v>
      </c>
      <c r="AC47" s="131">
        <f>_xll.BDP(C47&amp;" Corp", "days to mty")</f>
        <v>5027</v>
      </c>
      <c r="AD47" s="136">
        <f>IF(ISNA(ROUND(VLOOKUP(AC47,Contribution!C:J,8,FALSE),2)),"",ROUND(VLOOKUP(AC47,Contribution!C:J,8,FALSE),2))</f>
        <v>2.04</v>
      </c>
      <c r="AE47" s="134">
        <f t="shared" si="7"/>
        <v>14.2808655240386</v>
      </c>
      <c r="AF47" s="1"/>
      <c r="AG47" s="1"/>
      <c r="AH47" s="1"/>
      <c r="AN47" s="2">
        <v>122.09</v>
      </c>
      <c r="AO47" s="2">
        <v>122.5</v>
      </c>
    </row>
    <row r="48" spans="1:41" x14ac:dyDescent="0.2">
      <c r="A48" s="4"/>
      <c r="B48" s="18" t="str">
        <f>IF(ISNA(C48),NA(),_xll.qlBondDescription(C48,Trigger))</f>
        <v>BTP 2031-05-01 6%</v>
      </c>
      <c r="C48" s="12" t="str">
        <v>IT0001444378</v>
      </c>
      <c r="D48" s="14">
        <f>IF(ISNA(C48),NA(),_xll.qlBondMaturityDate(C48,Trigger))</f>
        <v>47969</v>
      </c>
      <c r="E48" s="15">
        <f>IF(ISNA(C48),NA(),_xll.qlBondNextCouponRate(C48,BondSettlementDate))</f>
        <v>0.06</v>
      </c>
      <c r="F48" s="24">
        <f>IF(ISNA(C48),NA(),_xll.qlBondRedemptionAmount(C48,Trigger))</f>
        <v>100</v>
      </c>
      <c r="G48" s="13" t="str">
        <f t="shared" si="5"/>
        <v>IT0001444378_Quote</v>
      </c>
      <c r="H48" s="23" t="str">
        <f t="shared" si="6"/>
        <v>IT0001444378_Quote</v>
      </c>
      <c r="I48" s="12" t="str">
        <f>IF(LEFT(B48,3)="BTP",_xll.qlBTP2(,B48,D48,E48,F48,,,,Trigger),_xll.qlCCTEU(,B48,D48,E48,F48,,,,Trigger))</f>
        <v>obj_00a35#0000</v>
      </c>
      <c r="J48" s="25" t="str">
        <f>_xll.qlBondHelper(,H48,I48)</f>
        <v>obj_00a9c#0000</v>
      </c>
      <c r="K48" s="22" t="str">
        <f>_xll.qlBTP2(,B48,D48,E48,F48,,,,Trigger)</f>
        <v>obj_00a39#0000</v>
      </c>
      <c r="L48" s="22" t="b">
        <f>_xll.qlInstrumentSetPricingEngine(K48,BondPricingEngine)</f>
        <v>1</v>
      </c>
      <c r="M48" s="19">
        <f>_xll.qlBondCleanPrice(K48,AND(ISERROR(L48),ISERROR(N48)))</f>
        <v>151.52999869565252</v>
      </c>
      <c r="N48" s="23">
        <f>_xll.qlSimpleQuoteSetValue(G48,O48)</f>
        <v>5.0000000000238742E-3</v>
      </c>
      <c r="O48" s="23">
        <f t="shared" si="8"/>
        <v>151.51500000000001</v>
      </c>
      <c r="P48" s="20">
        <f t="shared" si="9"/>
        <v>0.25</v>
      </c>
      <c r="Q48" s="22" t="str">
        <f t="shared" si="10"/>
        <v>IT144437=TT</v>
      </c>
      <c r="R48" s="19">
        <v>151.39000000000001</v>
      </c>
      <c r="S48" s="19">
        <v>151.64000000000001</v>
      </c>
      <c r="T48" s="13" t="e">
        <f>_xll.MKV("EUR.CM_DEPTH.XLS_GOVIES."&amp;$C48,T$1)</f>
        <v>#REF!</v>
      </c>
      <c r="U48" s="13" t="e">
        <f>_xll.MKV("EUR.CM_DEPTH.XLS_GOVIES."&amp;$C48,U$1)</f>
        <v>#REF!</v>
      </c>
      <c r="V48" s="21">
        <f>IF(ISNA(C48),NA(),_xll.qlBondYieldFromCleanPrice(C48,O48,YieldDayCounter,YieldCompounding,YieldFrequency))</f>
        <v>2.0033346321061261E-2</v>
      </c>
      <c r="W48" s="15" t="b">
        <v>1</v>
      </c>
      <c r="X48" s="22" t="b">
        <f t="shared" si="11"/>
        <v>1</v>
      </c>
      <c r="Y48" s="20">
        <f>IF(ISNA(C48),NA(),M48-_xll.qlQuoteValue(H48))</f>
        <v>1.4998695652508331E-2</v>
      </c>
      <c r="Z48" s="8"/>
      <c r="AA48" s="1"/>
      <c r="AB48" s="66" t="str">
        <f t="shared" si="12"/>
        <v>BTP 2031-05-01 6%</v>
      </c>
      <c r="AC48" s="131">
        <f>_xll.BDP(C48&amp;" Corp", "days to mty")</f>
        <v>5453</v>
      </c>
      <c r="AD48" s="136">
        <f>IF(ISNA(ROUND(VLOOKUP(AC48,Contribution!C:J,8,FALSE),2)),"",ROUND(VLOOKUP(AC48,Contribution!C:J,8,FALSE),2))</f>
        <v>2.27</v>
      </c>
      <c r="AE48" s="134">
        <f t="shared" si="7"/>
        <v>26.666536789387372</v>
      </c>
      <c r="AF48" s="1"/>
      <c r="AG48" s="1"/>
      <c r="AH48" s="1"/>
      <c r="AN48" s="2">
        <v>140.08000000000001</v>
      </c>
      <c r="AO48" s="2">
        <v>140.63</v>
      </c>
    </row>
    <row r="49" spans="1:41" x14ac:dyDescent="0.2">
      <c r="A49" s="4"/>
      <c r="B49" s="18" t="str">
        <f>IF(ISNA(C49),NA(),_xll.qlBondDescription(C49,Trigger))</f>
        <v>BTP 2032-03-01 1.65%</v>
      </c>
      <c r="C49" s="12" t="str">
        <v>IT0005094088</v>
      </c>
      <c r="D49" s="14">
        <f>IF(ISNA(C49),NA(),_xll.qlBondMaturityDate(C49,Trigger))</f>
        <v>48274</v>
      </c>
      <c r="E49" s="15">
        <f>IF(ISNA(C49),NA(),_xll.qlBondNextCouponRate(C49,BondSettlementDate))</f>
        <v>1.6500000000000001E-2</v>
      </c>
      <c r="F49" s="24">
        <f>IF(ISNA(C49),NA(),_xll.qlBondRedemptionAmount(C49,Trigger))</f>
        <v>100</v>
      </c>
      <c r="G49" s="13" t="str">
        <f t="shared" si="5"/>
        <v>IT0005094088_Quote</v>
      </c>
      <c r="H49" s="23" t="str">
        <f t="shared" si="6"/>
        <v>IT0005094088_Quote</v>
      </c>
      <c r="I49" s="12" t="str">
        <f>IF(LEFT(B49,3)="BTP",_xll.qlBTP2(,B49,D49,E49,F49,,,,Trigger),_xll.qlCCTEU(,B49,D49,E49,F49,,,,Trigger))</f>
        <v>obj_00a7c#0000</v>
      </c>
      <c r="J49" s="25" t="str">
        <f>_xll.qlBondHelper(,H49,I49)</f>
        <v>obj_00a94#0000</v>
      </c>
      <c r="K49" s="22" t="str">
        <f>_xll.qlBTP2(,B49,D49,E49,F49,,,,Trigger)</f>
        <v>obj_00a28#0000</v>
      </c>
      <c r="L49" s="22" t="b">
        <f>_xll.qlInstrumentSetPricingEngine(K49,BondPricingEngine)</f>
        <v>1</v>
      </c>
      <c r="M49" s="19">
        <f>_xll.qlBondCleanPrice(K49,AND(ISERROR(L49),ISERROR(N49)))</f>
        <v>95.61499782610295</v>
      </c>
      <c r="N49" s="23">
        <f>_xll.qlSimpleQuoteSetValue(G49,O49)</f>
        <v>-4.9999999999954525E-3</v>
      </c>
      <c r="O49" s="23">
        <f t="shared" si="8"/>
        <v>95.62</v>
      </c>
      <c r="P49" s="20">
        <f t="shared" si="9"/>
        <v>0.21999999999999886</v>
      </c>
      <c r="Q49" s="22" t="str">
        <f t="shared" si="10"/>
        <v>IT509408=TT</v>
      </c>
      <c r="R49" s="19">
        <v>95.51</v>
      </c>
      <c r="S49" s="19">
        <v>95.73</v>
      </c>
      <c r="T49" s="13" t="e">
        <f>_xll.MKV("EUR.CM_DEPTH.XLS_GOVIES."&amp;$C49,T$1)</f>
        <v>#REF!</v>
      </c>
      <c r="U49" s="13" t="e">
        <f>_xll.MKV("EUR.CM_DEPTH.XLS_GOVIES."&amp;$C49,U$1)</f>
        <v>#REF!</v>
      </c>
      <c r="V49" s="21">
        <f>IF(ISNA(C49),NA(),_xll.qlBondYieldFromCleanPrice(C49,O49,YieldDayCounter,YieldCompounding,YieldFrequency))</f>
        <v>1.9842842750623826E-2</v>
      </c>
      <c r="W49" s="15" t="b">
        <v>1</v>
      </c>
      <c r="X49" s="22" t="b">
        <f t="shared" si="11"/>
        <v>1</v>
      </c>
      <c r="Y49" s="20">
        <f>IF(ISNA(C49),NA(),M49-_xll.qlQuoteValue(H49))</f>
        <v>-5.0021738970542629E-3</v>
      </c>
      <c r="Z49" s="8"/>
      <c r="AA49" s="1"/>
      <c r="AB49" s="66" t="str">
        <f t="shared" si="12"/>
        <v>BTP 2032-03-01 1.65%</v>
      </c>
      <c r="AC49" s="131">
        <f>_xll.BDP(C49&amp;" Corp", "days to mty")</f>
        <v>5758</v>
      </c>
      <c r="AD49" s="136">
        <f>IF(ISNA(ROUND(VLOOKUP(AC49,Contribution!C:J,8,FALSE),2)),"",ROUND(VLOOKUP(AC49,Contribution!C:J,8,FALSE),2))</f>
        <v>2.0499999999999998</v>
      </c>
      <c r="AE49" s="134">
        <f t="shared" ref="AE49:AE80" si="13">IFERROR((AD49-V49*100)*100,"")</f>
        <v>6.5715724937617237</v>
      </c>
      <c r="AF49" s="1"/>
      <c r="AG49" s="1"/>
      <c r="AN49" s="2">
        <v>139.93</v>
      </c>
      <c r="AO49" s="2">
        <v>140.51</v>
      </c>
    </row>
    <row r="50" spans="1:41" ht="12" customHeight="1" x14ac:dyDescent="0.2">
      <c r="A50" s="4"/>
      <c r="B50" s="18" t="str">
        <f>IF(ISNA(C50),NA(),_xll.qlBondDescription(C50,Trigger))</f>
        <v>BTP 2033-02-01 5.75%</v>
      </c>
      <c r="C50" s="12" t="str">
        <v>IT0003256820</v>
      </c>
      <c r="D50" s="14">
        <f>IF(ISNA(C50),NA(),_xll.qlBondMaturityDate(C50,Trigger))</f>
        <v>48611</v>
      </c>
      <c r="E50" s="15">
        <f>IF(ISNA(C50),NA(),_xll.qlBondNextCouponRate(C50,BondSettlementDate))</f>
        <v>5.7500000000000002E-2</v>
      </c>
      <c r="F50" s="24">
        <f>IF(ISNA(C50),NA(),_xll.qlBondRedemptionAmount(C50,Trigger))</f>
        <v>100</v>
      </c>
      <c r="G50" s="13" t="str">
        <f t="shared" si="5"/>
        <v>IT0003256820_Quote</v>
      </c>
      <c r="H50" s="23" t="str">
        <f t="shared" si="6"/>
        <v>IT0003256820_Quote</v>
      </c>
      <c r="I50" s="12" t="str">
        <f>IF(LEFT(B50,3)="BTP",_xll.qlBTP2(,B50,D50,E50,F50,,,,Trigger),_xll.qlCCTEU(,B50,D50,E50,F50,,,,Trigger))</f>
        <v>obj_00a46#0000</v>
      </c>
      <c r="J50" s="25" t="str">
        <f>_xll.qlBondHelper(,H50,I50)</f>
        <v>obj_00aa2#0000</v>
      </c>
      <c r="K50" s="22" t="str">
        <f>_xll.qlBTP2(,B50,D50,E50,F50,,,,Trigger)</f>
        <v>obj_00a79#0000</v>
      </c>
      <c r="L50" s="22" t="b">
        <f>_xll.qlInstrumentSetPricingEngine(K50,BondPricingEngine)</f>
        <v>1</v>
      </c>
      <c r="M50" s="19">
        <f>_xll.qlBondCleanPrice(K50,AND(ISERROR(L50),ISERROR(N50)))</f>
        <v>150.83500087912063</v>
      </c>
      <c r="N50" s="23">
        <f>_xll.qlSimpleQuoteSetValue(G50,O50)</f>
        <v>0</v>
      </c>
      <c r="O50" s="23">
        <f t="shared" si="8"/>
        <v>150.82</v>
      </c>
      <c r="P50" s="20">
        <f t="shared" si="9"/>
        <v>0.28000000000000114</v>
      </c>
      <c r="Q50" s="22" t="str">
        <f t="shared" si="10"/>
        <v>IT325682=TT</v>
      </c>
      <c r="R50" s="19">
        <v>150.68</v>
      </c>
      <c r="S50" s="19">
        <v>150.96</v>
      </c>
      <c r="T50" s="13" t="e">
        <f>_xll.MKV("EUR.CM_DEPTH.XLS_GOVIES."&amp;$C50,T$1)</f>
        <v>#REF!</v>
      </c>
      <c r="U50" s="13" t="e">
        <f>_xll.MKV("EUR.CM_DEPTH.XLS_GOVIES."&amp;$C50,U$1)</f>
        <v>#REF!</v>
      </c>
      <c r="V50" s="21">
        <f>IF(ISNA(C50),NA(),_xll.qlBondYieldFromCleanPrice(C50,O50,YieldDayCounter,YieldCompounding,YieldFrequency))</f>
        <v>2.1290838788077238E-2</v>
      </c>
      <c r="W50" s="15" t="b">
        <v>1</v>
      </c>
      <c r="X50" s="22" t="b">
        <f t="shared" si="11"/>
        <v>1</v>
      </c>
      <c r="Y50" s="20">
        <f>IF(ISNA(C50),NA(),M50-_xll.qlQuoteValue(H50))</f>
        <v>1.5000879120634636E-2</v>
      </c>
      <c r="Z50" s="8"/>
      <c r="AA50" s="1"/>
      <c r="AB50" s="66" t="str">
        <f t="shared" si="12"/>
        <v>BTP 2033-02-01 5.75%</v>
      </c>
      <c r="AC50" s="131">
        <f>_xll.BDP(C50&amp;" Corp", "days to mty")</f>
        <v>6095</v>
      </c>
      <c r="AD50" s="136">
        <f>IF(ISNA(ROUND(VLOOKUP(AC50,Contribution!C:J,8,FALSE),2)),"",ROUND(VLOOKUP(AC50,Contribution!C:J,8,FALSE),2))</f>
        <v>2.42</v>
      </c>
      <c r="AE50" s="134">
        <f t="shared" si="13"/>
        <v>29.091612119227594</v>
      </c>
      <c r="AF50" s="1"/>
      <c r="AG50" s="1"/>
      <c r="AN50" s="2">
        <v>137.69</v>
      </c>
      <c r="AO50" s="2">
        <v>138.22</v>
      </c>
    </row>
    <row r="51" spans="1:41" x14ac:dyDescent="0.2">
      <c r="A51" s="4"/>
      <c r="B51" s="18" t="str">
        <f>IF(ISNA(C51),NA(),_xll.qlBondDescription(C51,Trigger))</f>
        <v>BTP 2034-08-01 5%</v>
      </c>
      <c r="C51" s="12" t="str">
        <v>IT0003535157</v>
      </c>
      <c r="D51" s="14">
        <f>IF(ISNA(C51),NA(),_xll.qlBondMaturityDate(C51,Trigger))</f>
        <v>49157</v>
      </c>
      <c r="E51" s="15">
        <f>IF(ISNA(C51),NA(),_xll.qlBondNextCouponRate(C51,BondSettlementDate))</f>
        <v>0.05</v>
      </c>
      <c r="F51" s="24">
        <f>IF(ISNA(C51),NA(),_xll.qlBondRedemptionAmount(C51,Trigger))</f>
        <v>100</v>
      </c>
      <c r="G51" s="13" t="str">
        <f t="shared" si="5"/>
        <v>IT0003535157_Quote</v>
      </c>
      <c r="H51" s="23" t="str">
        <f t="shared" ref="H51:H80" si="14">G51</f>
        <v>IT0003535157_Quote</v>
      </c>
      <c r="I51" s="12" t="str">
        <f>IF(LEFT(B51,3)="BTP",_xll.qlBTP2(,B51,D51,E51,F51,,,,Trigger),_xll.qlCCTEU(,B51,D51,E51,F51,,,,Trigger))</f>
        <v>obj_00a13#0000</v>
      </c>
      <c r="J51" s="25" t="str">
        <f>_xll.qlBondHelper(,H51,I51)</f>
        <v>obj_00a5a#0000</v>
      </c>
      <c r="K51" s="22" t="str">
        <f>_xll.qlBTP2(,B51,D51,E51,F51,,,,Trigger)</f>
        <v>obj_009fe#0000</v>
      </c>
      <c r="L51" s="22" t="b">
        <f>_xll.qlInstrumentSetPricingEngine(K51,BondPricingEngine)</f>
        <v>1</v>
      </c>
      <c r="M51" s="19">
        <f>_xll.qlBondCleanPrice(K51,AND(ISERROR(L51),ISERROR(N51)))</f>
        <v>141.55000032968078</v>
      </c>
      <c r="N51" s="23">
        <f>_xll.qlSimpleQuoteSetValue(G51,O51)</f>
        <v>-4.9999999999954525E-3</v>
      </c>
      <c r="O51" s="23">
        <f t="shared" si="8"/>
        <v>141.495</v>
      </c>
      <c r="P51" s="20">
        <f t="shared" si="9"/>
        <v>0.41000000000002501</v>
      </c>
      <c r="Q51" s="22" t="str">
        <f t="shared" si="10"/>
        <v>IT353515=TT</v>
      </c>
      <c r="R51" s="19">
        <v>141.29</v>
      </c>
      <c r="S51" s="19">
        <v>141.70000000000002</v>
      </c>
      <c r="T51" s="13" t="e">
        <f>_xll.MKV("EUR.CM_DEPTH.XLS_GOVIES."&amp;$C51,T$1)</f>
        <v>#REF!</v>
      </c>
      <c r="U51" s="13" t="e">
        <f>_xll.MKV("EUR.CM_DEPTH.XLS_GOVIES."&amp;$C51,U$1)</f>
        <v>#REF!</v>
      </c>
      <c r="V51" s="21">
        <f>IF(ISNA(C51),NA(),_xll.qlBondYieldFromCleanPrice(C51,O51,YieldDayCounter,YieldCompounding,YieldFrequency))</f>
        <v>2.2272243296952113E-2</v>
      </c>
      <c r="W51" s="15" t="b">
        <v>1</v>
      </c>
      <c r="X51" s="22" t="b">
        <f t="shared" si="11"/>
        <v>1</v>
      </c>
      <c r="Y51" s="20">
        <f>IF(ISNA(C51),NA(),M51-_xll.qlQuoteValue(H51))</f>
        <v>5.5000329680780169E-2</v>
      </c>
      <c r="Z51" s="8"/>
      <c r="AB51" s="66" t="str">
        <f t="shared" si="12"/>
        <v>BTP 2034-08-01 5%</v>
      </c>
      <c r="AC51" s="131">
        <f>_xll.BDP(C51&amp;" Corp", "days to mty")</f>
        <v>6641</v>
      </c>
      <c r="AD51" s="136">
        <f>IF(ISNA(ROUND(VLOOKUP(AC51,Contribution!C:J,8,FALSE),2)),"",ROUND(VLOOKUP(AC51,Contribution!C:J,8,FALSE),2))</f>
        <v>2.5</v>
      </c>
      <c r="AE51" s="134">
        <f t="shared" ref="AE51:AE56" si="15">IFERROR((AD51-V51*100)*100,"")</f>
        <v>27.277567030478878</v>
      </c>
      <c r="AN51" s="2" t="s">
        <v>532</v>
      </c>
      <c r="AO51" s="2" t="s">
        <v>532</v>
      </c>
    </row>
    <row r="52" spans="1:41" x14ac:dyDescent="0.2">
      <c r="A52" s="4"/>
      <c r="B52" s="18" t="str">
        <f>IF(ISNA(C52),NA(),_xll.qlBondDescription(C52,Trigger))</f>
        <v>BTP 2037-02-01 4%</v>
      </c>
      <c r="C52" s="12" t="str">
        <v>IT0003934657</v>
      </c>
      <c r="D52" s="14">
        <f>IF(ISNA(C52),NA(),_xll.qlBondMaturityDate(C52,Trigger))</f>
        <v>50072</v>
      </c>
      <c r="E52" s="15">
        <f>IF(ISNA(C52),NA(),_xll.qlBondNextCouponRate(C52,BondSettlementDate))</f>
        <v>0.04</v>
      </c>
      <c r="F52" s="24">
        <f>IF(ISNA(C52),NA(),_xll.qlBondRedemptionAmount(C52,Trigger))</f>
        <v>100</v>
      </c>
      <c r="G52" s="13" t="str">
        <f t="shared" si="5"/>
        <v>IT0003934657_Quote</v>
      </c>
      <c r="H52" s="23" t="str">
        <f t="shared" si="14"/>
        <v>IT0003934657_Quote</v>
      </c>
      <c r="I52" s="12" t="str">
        <f>IF(LEFT(B52,3)="BTP",_xll.qlBTP2(,B52,D52,E52,F52,,,,Trigger),_xll.qlCCTEU(,B52,D52,E52,F52,,,,Trigger))</f>
        <v>obj_00a12#0000</v>
      </c>
      <c r="J52" s="25" t="str">
        <f>_xll.qlBondHelper(,H52,I52)</f>
        <v>obj_00a25#0000</v>
      </c>
      <c r="K52" s="22" t="str">
        <f>_xll.qlBTP2(,B52,D52,E52,F52,,,,Trigger)</f>
        <v>obj_00a09#0000</v>
      </c>
      <c r="L52" s="22" t="b">
        <f>_xll.qlInstrumentSetPricingEngine(K52,BondPricingEngine)</f>
        <v>1</v>
      </c>
      <c r="M52" s="19">
        <f>_xll.qlBondCleanPrice(K52,AND(ISERROR(L52),ISERROR(N52)))</f>
        <v>126.96999626372717</v>
      </c>
      <c r="N52" s="23">
        <f>_xll.qlSimpleQuoteSetValue(G52,O52)</f>
        <v>0</v>
      </c>
      <c r="O52" s="23">
        <f t="shared" si="8"/>
        <v>126.96000000000001</v>
      </c>
      <c r="P52" s="20">
        <f t="shared" si="9"/>
        <v>0.29999999999999716</v>
      </c>
      <c r="Q52" s="22" t="str">
        <f t="shared" si="10"/>
        <v>IT393465=TT</v>
      </c>
      <c r="R52" s="19">
        <v>126.81</v>
      </c>
      <c r="S52" s="19">
        <v>127.11</v>
      </c>
      <c r="T52" s="13" t="e">
        <f>_xll.MKV("EUR.CM_DEPTH.XLS_GOVIES."&amp;$C52,T$1)</f>
        <v>#REF!</v>
      </c>
      <c r="U52" s="13" t="e">
        <f>_xll.MKV("EUR.CM_DEPTH.XLS_GOVIES."&amp;$C52,U$1)</f>
        <v>#REF!</v>
      </c>
      <c r="V52" s="21">
        <f>IF(ISNA(C52),NA(),_xll.qlBondYieldFromCleanPrice(C52,O52,YieldDayCounter,YieldCompounding,YieldFrequency))</f>
        <v>2.3605197482183579E-2</v>
      </c>
      <c r="W52" s="15" t="b">
        <v>1</v>
      </c>
      <c r="X52" s="22" t="b">
        <f t="shared" si="11"/>
        <v>1</v>
      </c>
      <c r="Y52" s="20">
        <f>IF(ISNA(C52),NA(),M52-_xll.qlQuoteValue(H52))</f>
        <v>9.9962637271602262E-3</v>
      </c>
      <c r="Z52" s="8"/>
      <c r="AB52" s="66" t="str">
        <f t="shared" si="12"/>
        <v>BTP 2037-02-01 4%</v>
      </c>
      <c r="AC52" s="131">
        <f>_xll.BDP(C52&amp;" Corp", "days to mty")</f>
        <v>7556</v>
      </c>
      <c r="AD52" s="136">
        <f>IF(ISNA(ROUND(VLOOKUP(AC52,Contribution!C:J,8,FALSE),2)),"",ROUND(VLOOKUP(AC52,Contribution!C:J,8,FALSE),2))</f>
        <v>2.61</v>
      </c>
      <c r="AE52" s="134">
        <f t="shared" si="15"/>
        <v>24.94802517816419</v>
      </c>
      <c r="AN52" s="2" t="s">
        <v>532</v>
      </c>
      <c r="AO52" s="2" t="s">
        <v>532</v>
      </c>
    </row>
    <row r="53" spans="1:41" x14ac:dyDescent="0.2">
      <c r="A53" s="4"/>
      <c r="B53" s="18" t="str">
        <f>IF(ISNA(C53),NA(),_xll.qlBondDescription(C53,Trigger))</f>
        <v>BTP 2039-08-01 5%</v>
      </c>
      <c r="C53" s="12" t="str">
        <v>IT0004286966</v>
      </c>
      <c r="D53" s="14">
        <f>IF(ISNA(C53),NA(),_xll.qlBondMaturityDate(C53,Trigger))</f>
        <v>50983</v>
      </c>
      <c r="E53" s="15">
        <f>IF(ISNA(C53),NA(),_xll.qlBondNextCouponRate(C53,BondSettlementDate))</f>
        <v>0.05</v>
      </c>
      <c r="F53" s="24">
        <f>IF(ISNA(C53),NA(),_xll.qlBondRedemptionAmount(C53,Trigger))</f>
        <v>100</v>
      </c>
      <c r="G53" s="13" t="str">
        <f t="shared" si="5"/>
        <v>IT0004286966_Quote</v>
      </c>
      <c r="H53" s="23" t="str">
        <f t="shared" si="14"/>
        <v>IT0004286966_Quote</v>
      </c>
      <c r="I53" s="12" t="str">
        <f>IF(LEFT(B53,3)="BTP",_xll.qlBTP2(,B53,D53,E53,F53,,,,Trigger),_xll.qlCCTEU(,B53,D53,E53,F53,,,,Trigger))</f>
        <v>obj_00a0b#0000</v>
      </c>
      <c r="J53" s="25" t="str">
        <f>_xll.qlBondHelper(,H53,I53)</f>
        <v>obj_00a42#0000</v>
      </c>
      <c r="K53" s="22" t="str">
        <f>_xll.qlBTP2(,B53,D53,E53,F53,,,,Trigger)</f>
        <v>obj_00a0f#0000</v>
      </c>
      <c r="L53" s="22" t="b">
        <f>_xll.qlInstrumentSetPricingEngine(K53,BondPricingEngine)</f>
        <v>1</v>
      </c>
      <c r="M53" s="19">
        <f>_xll.qlBondCleanPrice(K53,AND(ISERROR(L53),ISERROR(N53)))</f>
        <v>144.92500032965768</v>
      </c>
      <c r="N53" s="23">
        <f>_xll.qlSimpleQuoteSetValue(G53,O53)</f>
        <v>4.9999999999954525E-3</v>
      </c>
      <c r="O53" s="23">
        <f t="shared" si="8"/>
        <v>144.88</v>
      </c>
      <c r="P53" s="20">
        <f t="shared" si="9"/>
        <v>0.52000000000001023</v>
      </c>
      <c r="Q53" s="22" t="str">
        <f t="shared" si="10"/>
        <v>IT428696=TT</v>
      </c>
      <c r="R53" s="19">
        <v>144.62</v>
      </c>
      <c r="S53" s="19">
        <v>145.14000000000001</v>
      </c>
      <c r="T53" s="13" t="e">
        <f>_xll.MKV("EUR.CM_DEPTH.XLS_GOVIES."&amp;$C53,T$1)</f>
        <v>#REF!</v>
      </c>
      <c r="U53" s="13" t="e">
        <f>_xll.MKV("EUR.CM_DEPTH.XLS_GOVIES."&amp;$C53,U$1)</f>
        <v>#REF!</v>
      </c>
      <c r="V53" s="21">
        <f>IF(ISNA(C53),NA(),_xll.qlBondYieldFromCleanPrice(C53,O53,YieldDayCounter,YieldCompounding,YieldFrequency))</f>
        <v>2.4656273627574117E-2</v>
      </c>
      <c r="W53" s="15" t="b">
        <v>1</v>
      </c>
      <c r="X53" s="22" t="b">
        <f t="shared" si="11"/>
        <v>1</v>
      </c>
      <c r="Y53" s="20">
        <f>IF(ISNA(C53),NA(),M53-_xll.qlQuoteValue(H53))</f>
        <v>4.5000329657682414E-2</v>
      </c>
      <c r="Z53" s="8"/>
      <c r="AB53" s="66" t="str">
        <f t="shared" si="12"/>
        <v>BTP 2039-08-01 5%</v>
      </c>
      <c r="AC53" s="131">
        <f>_xll.BDP(C53&amp;" Corp", "days to mty")</f>
        <v>8467</v>
      </c>
      <c r="AD53" s="136">
        <f>IF(ISNA(ROUND(VLOOKUP(AC53,Contribution!C:J,8,FALSE),2)),"",ROUND(VLOOKUP(AC53,Contribution!C:J,8,FALSE),2))</f>
        <v>2.8</v>
      </c>
      <c r="AE53" s="134">
        <f t="shared" si="15"/>
        <v>33.437263724258813</v>
      </c>
    </row>
    <row r="54" spans="1:41" x14ac:dyDescent="0.2">
      <c r="A54" s="4"/>
      <c r="B54" s="18" t="str">
        <f>IF(ISNA(C54),NA(),_xll.qlBondDescription(C54,Trigger))</f>
        <v>BTP 2040-09-01 5%</v>
      </c>
      <c r="C54" s="12" t="str">
        <v>IT0004532559</v>
      </c>
      <c r="D54" s="14">
        <f>IF(ISNA(C54),NA(),_xll.qlBondMaturityDate(C54,Trigger))</f>
        <v>51380</v>
      </c>
      <c r="E54" s="15">
        <f>IF(ISNA(C54),NA(),_xll.qlBondNextCouponRate(C54,BondSettlementDate))</f>
        <v>0.05</v>
      </c>
      <c r="F54" s="24">
        <f>IF(ISNA(C54),NA(),_xll.qlBondRedemptionAmount(C54,Trigger))</f>
        <v>100</v>
      </c>
      <c r="G54" s="13" t="str">
        <f t="shared" si="5"/>
        <v>IT0004532559_Quote</v>
      </c>
      <c r="H54" s="23" t="str">
        <f t="shared" si="14"/>
        <v>IT0004532559_Quote</v>
      </c>
      <c r="I54" s="12" t="str">
        <f>IF(LEFT(B54,3)="BTP",_xll.qlBTP2(,B54,D54,E54,F54,,,,Trigger),_xll.qlCCTEU(,B54,D54,E54,F54,,,,Trigger))</f>
        <v>obj_00a1d#0000</v>
      </c>
      <c r="J54" s="25" t="str">
        <f>_xll.qlBondHelper(,H54,I54)</f>
        <v>obj_00a1e#0000</v>
      </c>
      <c r="K54" s="22" t="str">
        <f>_xll.qlBTP2(,B54,D54,E54,F54,,,,Trigger)</f>
        <v>obj_00a0c#0000</v>
      </c>
      <c r="L54" s="22" t="b">
        <f>_xll.qlInstrumentSetPricingEngine(K54,BondPricingEngine)</f>
        <v>1</v>
      </c>
      <c r="M54" s="19">
        <f>_xll.qlBondCleanPrice(K54,AND(ISERROR(L54),ISERROR(N54)))</f>
        <v>144.84999826086676</v>
      </c>
      <c r="N54" s="23">
        <f>_xll.qlSimpleQuoteSetValue(G54,O54)</f>
        <v>9.9999999999909051E-3</v>
      </c>
      <c r="O54" s="23">
        <f t="shared" si="8"/>
        <v>144.79500000000002</v>
      </c>
      <c r="P54" s="20">
        <f t="shared" si="9"/>
        <v>0.51000000000001933</v>
      </c>
      <c r="Q54" s="22" t="str">
        <f t="shared" si="10"/>
        <v>IT453255=TT</v>
      </c>
      <c r="R54" s="19">
        <v>144.54</v>
      </c>
      <c r="S54" s="19">
        <v>145.05000000000001</v>
      </c>
      <c r="T54" s="13" t="e">
        <f>_xll.MKV("EUR.CM_DEPTH.XLS_GOVIES."&amp;$C54,T$1)</f>
        <v>#REF!</v>
      </c>
      <c r="U54" s="13" t="e">
        <f>_xll.MKV("EUR.CM_DEPTH.XLS_GOVIES."&amp;$C54,U$1)</f>
        <v>#REF!</v>
      </c>
      <c r="V54" s="21">
        <f>IF(ISNA(C54),NA(),_xll.qlBondYieldFromCleanPrice(C54,O54,YieldDayCounter,YieldCompounding,YieldFrequency))</f>
        <v>2.5362059153988963E-2</v>
      </c>
      <c r="W54" s="15" t="b">
        <v>1</v>
      </c>
      <c r="X54" s="22" t="b">
        <f t="shared" si="11"/>
        <v>1</v>
      </c>
      <c r="Y54" s="20">
        <f>IF(ISNA(C54),NA(),M54-_xll.qlQuoteValue(H54))</f>
        <v>5.4998260866739201E-2</v>
      </c>
      <c r="Z54" s="8"/>
      <c r="AB54" s="66" t="str">
        <f t="shared" si="12"/>
        <v>BTP 2040-09-01 5%</v>
      </c>
      <c r="AC54" s="131">
        <f>_xll.BDP(C54&amp;" Corp", "days to mty")</f>
        <v>8864</v>
      </c>
      <c r="AD54" s="136">
        <f>IF(ISNA(ROUND(VLOOKUP(AC54,Contribution!C:J,8,FALSE),2)),"",ROUND(VLOOKUP(AC54,Contribution!C:J,8,FALSE),2))</f>
        <v>2.91</v>
      </c>
      <c r="AE54" s="134">
        <f t="shared" si="15"/>
        <v>37.379408460110362</v>
      </c>
    </row>
    <row r="55" spans="1:41" x14ac:dyDescent="0.2">
      <c r="A55" s="4"/>
      <c r="B55" s="18" t="str">
        <f>IF(ISNA(C55),NA(),_xll.qlBondDescription(C55,Trigger))</f>
        <v>BTP 2044-09-01 4.75%</v>
      </c>
      <c r="C55" s="12" t="str">
        <v>IT0004923998</v>
      </c>
      <c r="D55" s="14">
        <f>IF(ISNA(C55),NA(),_xll.qlBondMaturityDate(C55,Trigger))</f>
        <v>52841</v>
      </c>
      <c r="E55" s="15">
        <f>IF(ISNA(C55),NA(),_xll.qlBondNextCouponRate(C55,BondSettlementDate))</f>
        <v>4.7500000000000001E-2</v>
      </c>
      <c r="F55" s="24">
        <f>IF(ISNA(C55),NA(),_xll.qlBondRedemptionAmount(C55,Trigger))</f>
        <v>100</v>
      </c>
      <c r="G55" s="13" t="str">
        <f t="shared" si="5"/>
        <v>IT0004923998_Quote</v>
      </c>
      <c r="H55" s="23" t="str">
        <f t="shared" si="14"/>
        <v>IT0004923998_Quote</v>
      </c>
      <c r="I55" s="12" t="str">
        <f>IF(LEFT(B55,3)="BTP",_xll.qlBTP2(,B55,D55,E55,F55,,,,Trigger),_xll.qlCCTEU(,B55,D55,E55,F55,,,,Trigger))</f>
        <v>obj_00a17#0000</v>
      </c>
      <c r="J55" s="25" t="str">
        <f>_xll.qlBondHelper(,H55,I55)</f>
        <v>obj_00a18#0000</v>
      </c>
      <c r="K55" s="22" t="str">
        <f>_xll.qlBTP2(,B55,D55,E55,F55,,,,Trigger)</f>
        <v>obj_00a06#0000</v>
      </c>
      <c r="L55" s="22" t="b">
        <f>_xll.qlInstrumentSetPricingEngine(K55,BondPricingEngine)</f>
        <v>1</v>
      </c>
      <c r="M55" s="19">
        <f>_xll.qlBondCleanPrice(K55,AND(ISERROR(L55),ISERROR(N55)))</f>
        <v>143.29000434782091</v>
      </c>
      <c r="N55" s="23">
        <f>_xll.qlSimpleQuoteSetValue(G55,O55)</f>
        <v>-4.9999999999954525E-3</v>
      </c>
      <c r="O55" s="23">
        <f t="shared" si="8"/>
        <v>143.245</v>
      </c>
      <c r="P55" s="20">
        <f t="shared" si="9"/>
        <v>0.49000000000000909</v>
      </c>
      <c r="Q55" s="22" t="str">
        <f t="shared" si="10"/>
        <v>IT492399=TT</v>
      </c>
      <c r="R55" s="19">
        <v>143</v>
      </c>
      <c r="S55" s="19">
        <v>143.49</v>
      </c>
      <c r="T55" s="13" t="e">
        <f>_xll.MKV("EUR.CM_DEPTH.XLS_GOVIES."&amp;$C55,T$1)</f>
        <v>#REF!</v>
      </c>
      <c r="U55" s="13" t="e">
        <f>_xll.MKV("EUR.CM_DEPTH.XLS_GOVIES."&amp;$C55,U$1)</f>
        <v>#REF!</v>
      </c>
      <c r="V55" s="21">
        <f>IF(ISNA(C55),NA(),_xll.qlBondYieldFromCleanPrice(C55,O55,YieldDayCounter,YieldCompounding,YieldFrequency))</f>
        <v>2.6008336066082129E-2</v>
      </c>
      <c r="W55" s="15" t="b">
        <v>1</v>
      </c>
      <c r="X55" s="22" t="b">
        <f t="shared" si="11"/>
        <v>1</v>
      </c>
      <c r="Y55" s="20">
        <f>IF(ISNA(C55),NA(),M55-_xll.qlQuoteValue(H55))</f>
        <v>4.5004347820906787E-2</v>
      </c>
      <c r="Z55" s="8"/>
      <c r="AB55" s="66" t="str">
        <f t="shared" si="12"/>
        <v>BTP 2044-09-01 4.75%</v>
      </c>
      <c r="AC55" s="131">
        <f>_xll.BDP(C55&amp;" Corp", "days to mty")</f>
        <v>10325</v>
      </c>
      <c r="AD55" s="136">
        <f>IF(ISNA(ROUND(VLOOKUP(AC55,Contribution!C:J,8,FALSE),2)),"",ROUND(VLOOKUP(AC55,Contribution!C:J,8,FALSE),2))</f>
        <v>2.92</v>
      </c>
      <c r="AE55" s="134">
        <f t="shared" si="15"/>
        <v>31.916639339178722</v>
      </c>
    </row>
    <row r="56" spans="1:41" x14ac:dyDescent="0.2">
      <c r="A56" s="4"/>
      <c r="B56" s="18" t="str">
        <f>IF(ISNA(C56),NA(),_xll.qlBondDescription(C56,Trigger))</f>
        <v>BTP 2046-09-01 3.25%</v>
      </c>
      <c r="C56" s="12" t="str">
        <v>IT0005083057</v>
      </c>
      <c r="D56" s="14">
        <f>IF(ISNA(C56),NA(),_xll.qlBondMaturityDate(C56,Trigger))</f>
        <v>53571</v>
      </c>
      <c r="E56" s="15">
        <f>IF(ISNA(C56),NA(),_xll.qlBondNextCouponRate(C56,BondSettlementDate))</f>
        <v>3.2500000000000001E-2</v>
      </c>
      <c r="F56" s="24">
        <f>IF(ISNA(C56),NA(),_xll.qlBondRedemptionAmount(C56,Trigger))</f>
        <v>100</v>
      </c>
      <c r="G56" s="13" t="str">
        <f t="shared" si="5"/>
        <v>IT0005083057_Quote</v>
      </c>
      <c r="H56" s="23" t="str">
        <f t="shared" si="14"/>
        <v>IT0005083057_Quote</v>
      </c>
      <c r="I56" s="12" t="str">
        <f>IF(LEFT(B56,3)="BTP",_xll.qlBTP2(,B56,D56,E56,F56,,,,Trigger),_xll.qlCCTEU(,B56,D56,E56,F56,,,,Trigger))</f>
        <v>obj_009fc#0000</v>
      </c>
      <c r="J56" s="25" t="str">
        <f>_xll.qlBondHelper(,H56,I56)</f>
        <v>obj_00a19#0000</v>
      </c>
      <c r="K56" s="22" t="str">
        <f>_xll.qlBTP2(,B56,D56,E56,F56,,,,Trigger)</f>
        <v>obj_009fb#0000</v>
      </c>
      <c r="L56" s="22" t="b">
        <f>_xll.qlInstrumentSetPricingEngine(K56,BondPricingEngine)</f>
        <v>1</v>
      </c>
      <c r="M56" s="19">
        <f>_xll.qlBondCleanPrice(K56,AND(ISERROR(L56),ISERROR(N56)))</f>
        <v>113.49000086947397</v>
      </c>
      <c r="N56" s="23">
        <f>_xll.qlSimpleQuoteSetValue(G56,O56)</f>
        <v>-1.0000000000019327E-2</v>
      </c>
      <c r="O56" s="23">
        <f t="shared" si="8"/>
        <v>113.44499999999999</v>
      </c>
      <c r="P56" s="20">
        <f t="shared" si="9"/>
        <v>0.39000000000000057</v>
      </c>
      <c r="Q56" s="22" t="str">
        <f t="shared" si="10"/>
        <v>IT508305=TT</v>
      </c>
      <c r="R56" s="19">
        <v>113.25</v>
      </c>
      <c r="S56" s="19">
        <v>113.64</v>
      </c>
      <c r="T56" s="13" t="e">
        <f>_xll.MKV("EUR.CM_DEPTH.XLS_GOVIES."&amp;$C56,T$1)</f>
        <v>#REF!</v>
      </c>
      <c r="U56" s="13" t="e">
        <f>_xll.MKV("EUR.CM_DEPTH.XLS_GOVIES."&amp;$C56,U$1)</f>
        <v>#REF!</v>
      </c>
      <c r="V56" s="21">
        <f>IF(ISNA(C56),NA(),_xll.qlBondYieldFromCleanPrice(C56,O56,YieldDayCounter,YieldCompounding,YieldFrequency))</f>
        <v>2.6215926150605088E-2</v>
      </c>
      <c r="W56" s="15" t="b">
        <v>1</v>
      </c>
      <c r="X56" s="22" t="b">
        <f t="shared" si="11"/>
        <v>1</v>
      </c>
      <c r="Y56" s="20">
        <f>IF(ISNA(C56),NA(),M56-_xll.qlQuoteValue(H56))</f>
        <v>4.5000869473980742E-2</v>
      </c>
      <c r="Z56" s="8"/>
      <c r="AB56" s="66" t="str">
        <f t="shared" si="12"/>
        <v>BTP 2046-09-01 3.25%</v>
      </c>
      <c r="AC56" s="131">
        <f>_xll.BDP(C56&amp;" Corp", "days to mty")</f>
        <v>11055</v>
      </c>
      <c r="AD56" s="136" t="str">
        <f>IF(ISNA(ROUND(VLOOKUP(AC56,Contribution!C:J,8,FALSE),2)),"",ROUND(VLOOKUP(AC56,Contribution!C:J,8,FALSE),2))</f>
        <v/>
      </c>
      <c r="AE56" s="134" t="str">
        <f t="shared" si="15"/>
        <v/>
      </c>
    </row>
    <row r="57" spans="1:41" x14ac:dyDescent="0.2">
      <c r="A57" s="4"/>
      <c r="B57" s="18" t="e">
        <f>IF(ISNA(C57),NA(),_xll.qlBondDescription(C57,Trigger))</f>
        <v>#N/A</v>
      </c>
      <c r="C57" s="12" t="e">
        <v>#N/A</v>
      </c>
      <c r="D57" s="14" t="e">
        <f>IF(ISNA(C57),NA(),_xll.qlBondMaturityDate(C57,Trigger))</f>
        <v>#N/A</v>
      </c>
      <c r="E57" s="15" t="e">
        <f>IF(ISNA(C57),NA(),_xll.qlBondNextCouponRate(C57,BondSettlementDate))</f>
        <v>#N/A</v>
      </c>
      <c r="F57" s="24" t="e">
        <f>IF(ISNA(C57),NA(),_xll.qlBondRedemptionAmount(C57,Trigger))</f>
        <v>#N/A</v>
      </c>
      <c r="G57" s="13" t="e">
        <f t="shared" si="5"/>
        <v>#N/A</v>
      </c>
      <c r="H57" s="23" t="e">
        <f t="shared" si="14"/>
        <v>#N/A</v>
      </c>
      <c r="I57" s="12" t="e">
        <f>IF(LEFT(B57,3)="BTP",_xll.qlBTP2(,B57,D57,E57,F57,,,,Trigger),_xll.qlCCTEU(,B57,D57,E57,F57,,,,Trigger))</f>
        <v>#N/A</v>
      </c>
      <c r="J57" s="25" t="e">
        <f>_xll.qlBondHelper(,H57,I57)</f>
        <v>#VALUE!</v>
      </c>
      <c r="K57" s="22" t="e">
        <f>_xll.qlBTP2(,B57,D57,E57,F57,,,,Trigger)</f>
        <v>#VALUE!</v>
      </c>
      <c r="L57" s="22" t="e">
        <f>_xll.qlInstrumentSetPricingEngine(K57,BondPricingEngine)</f>
        <v>#VALUE!</v>
      </c>
      <c r="M57" s="19" t="e">
        <f>_xll.qlBondCleanPrice(K57,AND(ISERROR(L57),ISERROR(N57)))</f>
        <v>#VALUE!</v>
      </c>
      <c r="N57" s="23" t="e">
        <f>_xll.qlSimpleQuoteSetValue(G57,O57)</f>
        <v>#VALUE!</v>
      </c>
      <c r="O57" s="23" t="e">
        <f t="shared" si="8"/>
        <v>#N/A</v>
      </c>
      <c r="P57" s="20" t="e">
        <f t="shared" si="9"/>
        <v>#N/A</v>
      </c>
      <c r="Q57" s="22" t="e">
        <f t="shared" si="10"/>
        <v>#N/A</v>
      </c>
      <c r="R57" s="19" t="s">
        <v>532</v>
      </c>
      <c r="S57" s="19" t="s">
        <v>532</v>
      </c>
      <c r="T57" s="13" t="e">
        <f>_xll.MKV("EUR.CM_DEPTH.XLS_GOVIES."&amp;$C57,T$1)</f>
        <v>#VALUE!</v>
      </c>
      <c r="U57" s="13" t="e">
        <f>_xll.MKV("EUR.CM_DEPTH.XLS_GOVIES."&amp;$C57,U$1)</f>
        <v>#VALUE!</v>
      </c>
      <c r="V57" s="21" t="e">
        <f>IF(ISNA(C57),NA(),_xll.qlBondYieldFromCleanPrice(C57,O57,YieldDayCounter,YieldCompounding,YieldFrequency))</f>
        <v>#N/A</v>
      </c>
      <c r="W57" s="15" t="b">
        <v>1</v>
      </c>
      <c r="X57" s="22" t="b">
        <f t="shared" si="11"/>
        <v>0</v>
      </c>
      <c r="Y57" s="20" t="e">
        <f>IF(ISNA(C57),NA(),M57-_xll.qlQuoteValue(H57))</f>
        <v>#N/A</v>
      </c>
      <c r="Z57" s="8"/>
      <c r="AB57" s="66" t="e">
        <f t="shared" si="12"/>
        <v>#N/A</v>
      </c>
      <c r="AC57" s="131" t="e">
        <f>_xll.BDP(C57&amp;" Corp", "days to mty")</f>
        <v>#N/A</v>
      </c>
      <c r="AD57" s="136" t="str">
        <f>IF(ISNA(ROUND(VLOOKUP(AC57,Contribution!C:J,8,FALSE),2)),"",ROUND(VLOOKUP(AC57,Contribution!C:J,8,FALSE),2))</f>
        <v/>
      </c>
      <c r="AE57" s="134" t="str">
        <f t="shared" si="13"/>
        <v/>
      </c>
    </row>
    <row r="58" spans="1:41" x14ac:dyDescent="0.2">
      <c r="A58" s="4"/>
      <c r="B58" s="18" t="e">
        <f>IF(ISNA(C58),NA(),_xll.qlBondDescription(C58,Trigger))</f>
        <v>#N/A</v>
      </c>
      <c r="C58" s="12" t="e">
        <v>#N/A</v>
      </c>
      <c r="D58" s="14" t="e">
        <f>IF(ISNA(C58),NA(),_xll.qlBondMaturityDate(C58,Trigger))</f>
        <v>#N/A</v>
      </c>
      <c r="E58" s="15" t="e">
        <f>IF(ISNA(C58),NA(),_xll.qlBondNextCouponRate(C58,BondSettlementDate))</f>
        <v>#N/A</v>
      </c>
      <c r="F58" s="24" t="e">
        <f>IF(ISNA(C58),NA(),_xll.qlBondRedemptionAmount(C58,Trigger))</f>
        <v>#N/A</v>
      </c>
      <c r="G58" s="13" t="e">
        <f t="shared" si="5"/>
        <v>#N/A</v>
      </c>
      <c r="H58" s="23" t="e">
        <f t="shared" si="14"/>
        <v>#N/A</v>
      </c>
      <c r="I58" s="12" t="e">
        <f>IF(LEFT(B58,3)="BTP",_xll.qlBTP2(,B58,D58,E58,F58,,,,Trigger),_xll.qlCCTEU(,B58,D58,E58,F58,,,,Trigger))</f>
        <v>#N/A</v>
      </c>
      <c r="J58" s="25" t="e">
        <f>_xll.qlBondHelper(,H58,I58)</f>
        <v>#VALUE!</v>
      </c>
      <c r="K58" s="22" t="e">
        <f>_xll.qlBTP2(,B58,D58,E58,F58,,,,Trigger)</f>
        <v>#VALUE!</v>
      </c>
      <c r="L58" s="22" t="e">
        <f>_xll.qlInstrumentSetPricingEngine(K58,BondPricingEngine)</f>
        <v>#VALUE!</v>
      </c>
      <c r="M58" s="19" t="e">
        <f>_xll.qlBondCleanPrice(K58,AND(ISERROR(L58),ISERROR(N58)))</f>
        <v>#VALUE!</v>
      </c>
      <c r="N58" s="23" t="e">
        <f>_xll.qlSimpleQuoteSetValue(G58,O58)</f>
        <v>#VALUE!</v>
      </c>
      <c r="O58" s="23" t="e">
        <f t="shared" si="8"/>
        <v>#N/A</v>
      </c>
      <c r="P58" s="20" t="e">
        <f t="shared" si="9"/>
        <v>#N/A</v>
      </c>
      <c r="Q58" s="22" t="e">
        <f t="shared" si="10"/>
        <v>#N/A</v>
      </c>
      <c r="R58" s="19" t="s">
        <v>532</v>
      </c>
      <c r="S58" s="19" t="s">
        <v>532</v>
      </c>
      <c r="T58" s="13" t="e">
        <f>_xll.MKV("EUR.CM_DEPTH.XLS_GOVIES."&amp;$C58,T$1)</f>
        <v>#VALUE!</v>
      </c>
      <c r="U58" s="13" t="e">
        <f>_xll.MKV("EUR.CM_DEPTH.XLS_GOVIES."&amp;$C58,U$1)</f>
        <v>#VALUE!</v>
      </c>
      <c r="V58" s="21" t="e">
        <f>IF(ISNA(C58),NA(),_xll.qlBondYieldFromCleanPrice(C58,O58,YieldDayCounter,YieldCompounding,YieldFrequency))</f>
        <v>#N/A</v>
      </c>
      <c r="W58" s="15" t="b">
        <v>0</v>
      </c>
      <c r="X58" s="22" t="b">
        <f t="shared" si="11"/>
        <v>0</v>
      </c>
      <c r="Y58" s="20" t="e">
        <f>IF(ISNA(C58),NA(),M58-_xll.qlQuoteValue(H58))</f>
        <v>#N/A</v>
      </c>
      <c r="Z58" s="8"/>
      <c r="AB58" s="66" t="e">
        <f t="shared" si="12"/>
        <v>#N/A</v>
      </c>
      <c r="AC58" s="131" t="e">
        <f>_xll.BDP(C58&amp;" Corp", "days to mty")</f>
        <v>#N/A</v>
      </c>
      <c r="AD58" s="136" t="str">
        <f>IF(ISNA(ROUND(VLOOKUP(AC58,Contribution!C:J,8,FALSE),2)),"",ROUND(VLOOKUP(AC58,Contribution!C:J,8,FALSE),2))</f>
        <v/>
      </c>
      <c r="AE58" s="134" t="str">
        <f t="shared" si="13"/>
        <v/>
      </c>
    </row>
    <row r="59" spans="1:41" x14ac:dyDescent="0.2">
      <c r="A59" s="4"/>
      <c r="B59" s="18" t="e">
        <f>IF(ISNA(C59),NA(),_xll.qlBondDescription(C59,Trigger))</f>
        <v>#N/A</v>
      </c>
      <c r="C59" s="12" t="e">
        <v>#N/A</v>
      </c>
      <c r="D59" s="14" t="e">
        <f>IF(ISNA(C59),NA(),_xll.qlBondMaturityDate(C59,Trigger))</f>
        <v>#N/A</v>
      </c>
      <c r="E59" s="15" t="e">
        <f>IF(ISNA(C59),NA(),_xll.qlBondNextCouponRate(C59,BondSettlementDate))</f>
        <v>#N/A</v>
      </c>
      <c r="F59" s="24" t="e">
        <f>IF(ISNA(C59),NA(),_xll.qlBondRedemptionAmount(C59,Trigger))</f>
        <v>#N/A</v>
      </c>
      <c r="G59" s="13" t="e">
        <f t="shared" si="5"/>
        <v>#N/A</v>
      </c>
      <c r="H59" s="23" t="e">
        <f t="shared" si="14"/>
        <v>#N/A</v>
      </c>
      <c r="I59" s="12" t="e">
        <f>IF(LEFT(B59,3)="BTP",_xll.qlBTP2(,B59,D59,E59,F59,,,,Trigger),_xll.qlCCTEU(,B59,D59,E59,F59,,,,Trigger))</f>
        <v>#N/A</v>
      </c>
      <c r="J59" s="25" t="e">
        <f>_xll.qlBondHelper(,H59,I59)</f>
        <v>#VALUE!</v>
      </c>
      <c r="K59" s="22" t="e">
        <f>_xll.qlBTP2(,B59,D59,E59,F59,,,,Trigger)</f>
        <v>#VALUE!</v>
      </c>
      <c r="L59" s="22" t="e">
        <f>_xll.qlInstrumentSetPricingEngine(K59,BondPricingEngine)</f>
        <v>#VALUE!</v>
      </c>
      <c r="M59" s="19" t="e">
        <f>_xll.qlBondCleanPrice(K59,AND(ISERROR(L59),ISERROR(N59)))</f>
        <v>#VALUE!</v>
      </c>
      <c r="N59" s="23" t="e">
        <f>_xll.qlSimpleQuoteSetValue(G59,O59)</f>
        <v>#VALUE!</v>
      </c>
      <c r="O59" s="23" t="e">
        <f t="shared" si="8"/>
        <v>#N/A</v>
      </c>
      <c r="P59" s="20" t="e">
        <f t="shared" si="9"/>
        <v>#N/A</v>
      </c>
      <c r="Q59" s="22" t="e">
        <f t="shared" si="10"/>
        <v>#N/A</v>
      </c>
      <c r="R59" s="19" t="s">
        <v>532</v>
      </c>
      <c r="S59" s="19" t="s">
        <v>532</v>
      </c>
      <c r="T59" s="13" t="e">
        <f>_xll.MKV("EUR.CM_DEPTH.XLS_GOVIES."&amp;$C59,T$1)</f>
        <v>#VALUE!</v>
      </c>
      <c r="U59" s="13" t="e">
        <f>_xll.MKV("EUR.CM_DEPTH.XLS_GOVIES."&amp;$C59,U$1)</f>
        <v>#VALUE!</v>
      </c>
      <c r="V59" s="21" t="e">
        <f>IF(ISNA(C59),NA(),_xll.qlBondYieldFromCleanPrice(C59,O59,YieldDayCounter,YieldCompounding,YieldFrequency))</f>
        <v>#N/A</v>
      </c>
      <c r="W59" s="15" t="b">
        <v>0</v>
      </c>
      <c r="X59" s="22" t="b">
        <f t="shared" si="11"/>
        <v>0</v>
      </c>
      <c r="Y59" s="20" t="e">
        <f>IF(ISNA(C59),NA(),M59-_xll.qlQuoteValue(H59))</f>
        <v>#N/A</v>
      </c>
      <c r="Z59" s="8"/>
      <c r="AB59" s="66" t="e">
        <f t="shared" si="12"/>
        <v>#N/A</v>
      </c>
      <c r="AC59" s="131" t="e">
        <f>_xll.BDP(C59&amp;" Corp", "days to mty")</f>
        <v>#N/A</v>
      </c>
      <c r="AD59" s="136" t="str">
        <f>IF(ISNA(ROUND(VLOOKUP(AC59,Contribution!C:J,8,FALSE),2)),"",ROUND(VLOOKUP(AC59,Contribution!C:J,8,FALSE),2))</f>
        <v/>
      </c>
      <c r="AE59" s="134" t="str">
        <f t="shared" si="13"/>
        <v/>
      </c>
    </row>
    <row r="60" spans="1:41" x14ac:dyDescent="0.2">
      <c r="A60" s="4"/>
      <c r="B60" s="18" t="e">
        <f>IF(ISNA(C60),NA(),_xll.qlBondDescription(C60,Trigger))</f>
        <v>#N/A</v>
      </c>
      <c r="C60" s="12" t="e">
        <v>#N/A</v>
      </c>
      <c r="D60" s="14" t="e">
        <f>IF(ISNA(C60),NA(),_xll.qlBondMaturityDate(C60,Trigger))</f>
        <v>#N/A</v>
      </c>
      <c r="E60" s="15" t="e">
        <f>IF(ISNA(C60),NA(),_xll.qlBondNextCouponRate(C60,BondSettlementDate))</f>
        <v>#N/A</v>
      </c>
      <c r="F60" s="24" t="e">
        <f>IF(ISNA(C60),NA(),_xll.qlBondRedemptionAmount(C60,Trigger))</f>
        <v>#N/A</v>
      </c>
      <c r="G60" s="13" t="e">
        <f t="shared" si="5"/>
        <v>#N/A</v>
      </c>
      <c r="H60" s="23" t="e">
        <f t="shared" si="14"/>
        <v>#N/A</v>
      </c>
      <c r="I60" s="12" t="e">
        <f>IF(LEFT(B60,3)="BTP",_xll.qlBTP2(,B60,D60,E60,F60,,,,Trigger),_xll.qlCCTEU(,B60,D60,E60,F60,,,,Trigger))</f>
        <v>#N/A</v>
      </c>
      <c r="J60" s="25" t="e">
        <f>_xll.qlBondHelper(,H60,I60)</f>
        <v>#VALUE!</v>
      </c>
      <c r="K60" s="22" t="e">
        <f>_xll.qlBTP2(,B60,D60,E60,F60,,,,Trigger)</f>
        <v>#VALUE!</v>
      </c>
      <c r="L60" s="22" t="e">
        <f>_xll.qlInstrumentSetPricingEngine(K60,BondPricingEngine)</f>
        <v>#VALUE!</v>
      </c>
      <c r="M60" s="19" t="e">
        <f>_xll.qlBondCleanPrice(K60,AND(ISERROR(L60),ISERROR(N60)))</f>
        <v>#VALUE!</v>
      </c>
      <c r="N60" s="23" t="e">
        <f>_xll.qlSimpleQuoteSetValue(G60,O60)</f>
        <v>#VALUE!</v>
      </c>
      <c r="O60" s="23" t="e">
        <f t="shared" si="8"/>
        <v>#N/A</v>
      </c>
      <c r="P60" s="20" t="e">
        <f t="shared" si="9"/>
        <v>#N/A</v>
      </c>
      <c r="Q60" s="22" t="e">
        <f t="shared" si="10"/>
        <v>#N/A</v>
      </c>
      <c r="R60" s="19" t="s">
        <v>532</v>
      </c>
      <c r="S60" s="19" t="s">
        <v>532</v>
      </c>
      <c r="T60" s="13" t="e">
        <f>_xll.MKV("EUR.CM_DEPTH.XLS_GOVIES."&amp;$C60,T$1)</f>
        <v>#VALUE!</v>
      </c>
      <c r="U60" s="13" t="e">
        <f>_xll.MKV("EUR.CM_DEPTH.XLS_GOVIES."&amp;$C60,U$1)</f>
        <v>#VALUE!</v>
      </c>
      <c r="V60" s="21" t="e">
        <f>IF(ISNA(C60),NA(),_xll.qlBondYieldFromCleanPrice(C60,O60,YieldDayCounter,YieldCompounding,YieldFrequency))</f>
        <v>#N/A</v>
      </c>
      <c r="W60" s="15" t="b">
        <v>0</v>
      </c>
      <c r="X60" s="22" t="b">
        <f t="shared" si="11"/>
        <v>0</v>
      </c>
      <c r="Y60" s="20" t="e">
        <f>IF(ISNA(C60),NA(),M60-_xll.qlQuoteValue(H60))</f>
        <v>#N/A</v>
      </c>
      <c r="Z60" s="8"/>
      <c r="AB60" s="66" t="e">
        <f t="shared" si="12"/>
        <v>#N/A</v>
      </c>
      <c r="AC60" s="131" t="e">
        <f>_xll.BDP(C60&amp;" Corp", "days to mty")</f>
        <v>#N/A</v>
      </c>
      <c r="AD60" s="136" t="str">
        <f>IF(ISNA(ROUND(VLOOKUP(AC60,Contribution!C:J,8,FALSE),2)),"",ROUND(VLOOKUP(AC60,Contribution!C:J,8,FALSE),2))</f>
        <v/>
      </c>
      <c r="AE60" s="134" t="str">
        <f t="shared" si="13"/>
        <v/>
      </c>
    </row>
    <row r="61" spans="1:41" x14ac:dyDescent="0.2">
      <c r="A61" s="4"/>
      <c r="B61" s="18" t="e">
        <f>IF(ISNA(C61),NA(),_xll.qlBondDescription(C61,Trigger))</f>
        <v>#N/A</v>
      </c>
      <c r="C61" s="12" t="e">
        <v>#N/A</v>
      </c>
      <c r="D61" s="14" t="e">
        <f>IF(ISNA(C61),NA(),_xll.qlBondMaturityDate(C61,Trigger))</f>
        <v>#N/A</v>
      </c>
      <c r="E61" s="15" t="e">
        <f>IF(ISNA(C61),NA(),_xll.qlBondNextCouponRate(C61,BondSettlementDate))</f>
        <v>#N/A</v>
      </c>
      <c r="F61" s="24" t="e">
        <f>IF(ISNA(C61),NA(),_xll.qlBondRedemptionAmount(C61,Trigger))</f>
        <v>#N/A</v>
      </c>
      <c r="G61" s="13" t="e">
        <f t="shared" si="5"/>
        <v>#N/A</v>
      </c>
      <c r="H61" s="23" t="e">
        <f t="shared" si="14"/>
        <v>#N/A</v>
      </c>
      <c r="I61" s="12" t="e">
        <f>IF(LEFT(B61,3)="BTP",_xll.qlBTP2(,B61,D61,E61,F61,,,,Trigger),_xll.qlCCTEU(,B61,D61,E61,F61,,,,Trigger))</f>
        <v>#N/A</v>
      </c>
      <c r="J61" s="25" t="e">
        <f>_xll.qlBondHelper(,H61,I61)</f>
        <v>#VALUE!</v>
      </c>
      <c r="K61" s="22" t="e">
        <f>_xll.qlBTP2(,B61,D61,E61,F61,,,,Trigger)</f>
        <v>#VALUE!</v>
      </c>
      <c r="L61" s="22" t="e">
        <f>_xll.qlInstrumentSetPricingEngine(K61,BondPricingEngine)</f>
        <v>#VALUE!</v>
      </c>
      <c r="M61" s="19" t="e">
        <f>_xll.qlBondCleanPrice(K61,AND(ISERROR(L61),ISERROR(N61)))</f>
        <v>#VALUE!</v>
      </c>
      <c r="N61" s="23" t="e">
        <f>_xll.qlSimpleQuoteSetValue(G61,O61)</f>
        <v>#VALUE!</v>
      </c>
      <c r="O61" s="23" t="e">
        <f t="shared" si="8"/>
        <v>#N/A</v>
      </c>
      <c r="P61" s="20" t="e">
        <f t="shared" si="9"/>
        <v>#N/A</v>
      </c>
      <c r="Q61" s="22" t="e">
        <f t="shared" si="10"/>
        <v>#N/A</v>
      </c>
      <c r="R61" s="19" t="s">
        <v>532</v>
      </c>
      <c r="S61" s="19" t="s">
        <v>532</v>
      </c>
      <c r="T61" s="13" t="e">
        <f>_xll.MKV("EUR.CM_DEPTH.XLS_GOVIES."&amp;$C61,T$1)</f>
        <v>#VALUE!</v>
      </c>
      <c r="U61" s="13" t="e">
        <f>_xll.MKV("EUR.CM_DEPTH.XLS_GOVIES."&amp;$C61,U$1)</f>
        <v>#VALUE!</v>
      </c>
      <c r="V61" s="21" t="e">
        <f>IF(ISNA(C61),NA(),_xll.qlBondYieldFromCleanPrice(C61,O61,YieldDayCounter,YieldCompounding,YieldFrequency))</f>
        <v>#N/A</v>
      </c>
      <c r="W61" s="15" t="b">
        <v>0</v>
      </c>
      <c r="X61" s="22" t="b">
        <f t="shared" si="11"/>
        <v>0</v>
      </c>
      <c r="Y61" s="20" t="e">
        <f>IF(ISNA(C61),NA(),M61-_xll.qlQuoteValue(H61))</f>
        <v>#N/A</v>
      </c>
      <c r="Z61" s="8"/>
      <c r="AB61" s="66" t="e">
        <f t="shared" si="12"/>
        <v>#N/A</v>
      </c>
      <c r="AC61" s="131" t="e">
        <f>_xll.BDP(C61&amp;" Corp", "days to mty")</f>
        <v>#N/A</v>
      </c>
      <c r="AD61" s="136" t="str">
        <f>IF(ISNA(ROUND(VLOOKUP(AC61,Contribution!C:J,8,FALSE),2)),"",ROUND(VLOOKUP(AC61,Contribution!C:J,8,FALSE),2))</f>
        <v/>
      </c>
      <c r="AE61" s="134" t="str">
        <f t="shared" si="13"/>
        <v/>
      </c>
    </row>
    <row r="62" spans="1:41" x14ac:dyDescent="0.2">
      <c r="A62" s="4"/>
      <c r="B62" s="18" t="e">
        <f>IF(ISNA(C62),NA(),_xll.qlBondDescription(C62,Trigger))</f>
        <v>#N/A</v>
      </c>
      <c r="C62" s="12" t="e">
        <v>#N/A</v>
      </c>
      <c r="D62" s="14" t="e">
        <f>IF(ISNA(C62),NA(),_xll.qlBondMaturityDate(C62,Trigger))</f>
        <v>#N/A</v>
      </c>
      <c r="E62" s="15" t="e">
        <f>IF(ISNA(C62),NA(),_xll.qlBondNextCouponRate(C62,BondSettlementDate))</f>
        <v>#N/A</v>
      </c>
      <c r="F62" s="24" t="e">
        <f>IF(ISNA(C62),NA(),_xll.qlBondRedemptionAmount(C62,Trigger))</f>
        <v>#N/A</v>
      </c>
      <c r="G62" s="13" t="e">
        <f t="shared" si="5"/>
        <v>#N/A</v>
      </c>
      <c r="H62" s="23" t="e">
        <f t="shared" si="14"/>
        <v>#N/A</v>
      </c>
      <c r="I62" s="12" t="e">
        <f>IF(LEFT(B62,3)="BTP",_xll.qlBTP2(,B62,D62,E62,F62,,,,Trigger),_xll.qlCCTEU(,B62,D62,E62,F62,,,,Trigger))</f>
        <v>#N/A</v>
      </c>
      <c r="J62" s="25" t="e">
        <f>_xll.qlBondHelper(,H62,I62)</f>
        <v>#VALUE!</v>
      </c>
      <c r="K62" s="22" t="e">
        <f>_xll.qlBTP2(,B62,D62,E62,F62,,,,Trigger)</f>
        <v>#VALUE!</v>
      </c>
      <c r="L62" s="22" t="e">
        <f>_xll.qlInstrumentSetPricingEngine(K62,BondPricingEngine)</f>
        <v>#VALUE!</v>
      </c>
      <c r="M62" s="19" t="e">
        <f>_xll.qlBondCleanPrice(K62,AND(ISERROR(L62),ISERROR(N62)))</f>
        <v>#VALUE!</v>
      </c>
      <c r="N62" s="23" t="e">
        <f>_xll.qlSimpleQuoteSetValue(G62,O62)</f>
        <v>#VALUE!</v>
      </c>
      <c r="O62" s="23" t="e">
        <f t="shared" si="8"/>
        <v>#N/A</v>
      </c>
      <c r="P62" s="20" t="e">
        <f t="shared" si="9"/>
        <v>#N/A</v>
      </c>
      <c r="Q62" s="22" t="e">
        <f t="shared" si="10"/>
        <v>#N/A</v>
      </c>
      <c r="R62" s="19" t="s">
        <v>532</v>
      </c>
      <c r="S62" s="19" t="s">
        <v>532</v>
      </c>
      <c r="T62" s="13" t="e">
        <f>_xll.MKV("EUR.CM_DEPTH.XLS_GOVIES."&amp;$C62,T$1)</f>
        <v>#VALUE!</v>
      </c>
      <c r="U62" s="13" t="e">
        <f>_xll.MKV("EUR.CM_DEPTH.XLS_GOVIES."&amp;$C62,U$1)</f>
        <v>#VALUE!</v>
      </c>
      <c r="V62" s="21" t="e">
        <f>IF(ISNA(C62),NA(),_xll.qlBondYieldFromCleanPrice(C62,O62,YieldDayCounter,YieldCompounding,YieldFrequency))</f>
        <v>#N/A</v>
      </c>
      <c r="W62" s="15" t="b">
        <v>0</v>
      </c>
      <c r="X62" s="22" t="b">
        <f t="shared" si="11"/>
        <v>0</v>
      </c>
      <c r="Y62" s="20" t="e">
        <f>IF(ISNA(C62),NA(),M62-_xll.qlQuoteValue(H62))</f>
        <v>#N/A</v>
      </c>
      <c r="Z62" s="8"/>
      <c r="AB62" s="66" t="e">
        <f t="shared" si="12"/>
        <v>#N/A</v>
      </c>
      <c r="AC62" s="131" t="e">
        <f>_xll.BDP(C62&amp;" Corp", "days to mty")</f>
        <v>#N/A</v>
      </c>
      <c r="AD62" s="136" t="str">
        <f>IF(ISNA(ROUND(VLOOKUP(AC62,Contribution!C:J,8,FALSE),2)),"",ROUND(VLOOKUP(AC62,Contribution!C:J,8,FALSE),2))</f>
        <v/>
      </c>
      <c r="AE62" s="134" t="str">
        <f t="shared" si="13"/>
        <v/>
      </c>
    </row>
    <row r="63" spans="1:41" x14ac:dyDescent="0.2">
      <c r="A63" s="4"/>
      <c r="B63" s="18" t="e">
        <f>IF(ISNA(C63),NA(),_xll.qlBondDescription(C63,Trigger))</f>
        <v>#N/A</v>
      </c>
      <c r="C63" s="12" t="e">
        <v>#N/A</v>
      </c>
      <c r="D63" s="14" t="e">
        <f>IF(ISNA(C63),NA(),_xll.qlBondMaturityDate(C63,Trigger))</f>
        <v>#N/A</v>
      </c>
      <c r="E63" s="15" t="e">
        <f>IF(ISNA(C63),NA(),_xll.qlBondNextCouponRate(C63,BondSettlementDate))</f>
        <v>#N/A</v>
      </c>
      <c r="F63" s="24" t="e">
        <f>IF(ISNA(C63),NA(),_xll.qlBondRedemptionAmount(C63,Trigger))</f>
        <v>#N/A</v>
      </c>
      <c r="G63" s="13" t="e">
        <f t="shared" si="5"/>
        <v>#N/A</v>
      </c>
      <c r="H63" s="23" t="e">
        <f t="shared" si="14"/>
        <v>#N/A</v>
      </c>
      <c r="I63" s="12" t="e">
        <f>IF(LEFT(B63,3)="BTP",_xll.qlBTP2(,B63,D63,E63,F63,,,,Trigger),_xll.qlCCTEU(,B63,D63,E63,F63,,,,Trigger))</f>
        <v>#N/A</v>
      </c>
      <c r="J63" s="25" t="e">
        <f>_xll.qlBondHelper(,H63,I63)</f>
        <v>#VALUE!</v>
      </c>
      <c r="K63" s="22" t="e">
        <f>_xll.qlBTP2(,B63,D63,E63,F63,,,,Trigger)</f>
        <v>#VALUE!</v>
      </c>
      <c r="L63" s="22" t="e">
        <f>_xll.qlInstrumentSetPricingEngine(K63,BondPricingEngine)</f>
        <v>#VALUE!</v>
      </c>
      <c r="M63" s="19" t="e">
        <f>_xll.qlBondCleanPrice(K63,AND(ISERROR(L63),ISERROR(N63)))</f>
        <v>#VALUE!</v>
      </c>
      <c r="N63" s="23" t="e">
        <f>_xll.qlSimpleQuoteSetValue(G63,O63)</f>
        <v>#VALUE!</v>
      </c>
      <c r="O63" s="23" t="e">
        <f t="shared" si="8"/>
        <v>#N/A</v>
      </c>
      <c r="P63" s="20" t="e">
        <f t="shared" si="9"/>
        <v>#N/A</v>
      </c>
      <c r="Q63" s="22" t="e">
        <f t="shared" si="10"/>
        <v>#N/A</v>
      </c>
      <c r="R63" s="19" t="s">
        <v>532</v>
      </c>
      <c r="S63" s="19" t="s">
        <v>532</v>
      </c>
      <c r="T63" s="13" t="e">
        <f>_xll.MKV("EUR.CM_DEPTH.XLS_GOVIES."&amp;$C63,T$1)</f>
        <v>#VALUE!</v>
      </c>
      <c r="U63" s="13" t="e">
        <f>_xll.MKV("EUR.CM_DEPTH.XLS_GOVIES."&amp;$C63,U$1)</f>
        <v>#VALUE!</v>
      </c>
      <c r="V63" s="21" t="e">
        <f>IF(ISNA(C63),NA(),_xll.qlBondYieldFromCleanPrice(C63,O63,YieldDayCounter,YieldCompounding,YieldFrequency))</f>
        <v>#N/A</v>
      </c>
      <c r="W63" s="15" t="b">
        <v>0</v>
      </c>
      <c r="X63" s="22" t="b">
        <f t="shared" si="11"/>
        <v>0</v>
      </c>
      <c r="Y63" s="20" t="e">
        <f>IF(ISNA(C63),NA(),M63-_xll.qlQuoteValue(H63))</f>
        <v>#N/A</v>
      </c>
      <c r="Z63" s="8"/>
      <c r="AB63" s="66" t="e">
        <f t="shared" si="12"/>
        <v>#N/A</v>
      </c>
      <c r="AC63" s="131" t="e">
        <f>_xll.BDP(C63&amp;" Corp", "days to mty")</f>
        <v>#N/A</v>
      </c>
      <c r="AD63" s="136" t="str">
        <f>IF(ISNA(ROUND(VLOOKUP(AC63,Contribution!C:J,8,FALSE),2)),"",ROUND(VLOOKUP(AC63,Contribution!C:J,8,FALSE),2))</f>
        <v/>
      </c>
      <c r="AE63" s="134" t="str">
        <f t="shared" si="13"/>
        <v/>
      </c>
    </row>
    <row r="64" spans="1:41" x14ac:dyDescent="0.2">
      <c r="A64" s="4"/>
      <c r="B64" s="18" t="e">
        <f>IF(ISNA(C64),NA(),_xll.qlBondDescription(C64,Trigger))</f>
        <v>#N/A</v>
      </c>
      <c r="C64" s="2" t="e">
        <v>#N/A</v>
      </c>
      <c r="D64" s="14" t="e">
        <f>IF(ISNA(C64),NA(),_xll.qlBondMaturityDate(C64,Trigger))</f>
        <v>#N/A</v>
      </c>
      <c r="E64" s="15" t="e">
        <f>IF(ISNA(C64),NA(),_xll.qlBondNextCouponRate(C64,BondSettlementDate))</f>
        <v>#N/A</v>
      </c>
      <c r="F64" s="24" t="e">
        <f>IF(ISNA(C64),NA(),_xll.qlBondRedemptionAmount(C64,Trigger))</f>
        <v>#N/A</v>
      </c>
      <c r="G64" s="13" t="e">
        <f t="shared" si="5"/>
        <v>#N/A</v>
      </c>
      <c r="H64" s="23" t="e">
        <f t="shared" si="14"/>
        <v>#N/A</v>
      </c>
      <c r="I64" s="12" t="e">
        <f>IF(LEFT(B64,3)="BTP",_xll.qlBTP2(,B64,D64,E64,F64,,,,Trigger),_xll.qlCCTEU(,B64,D64,E64,F64,,,,Trigger))</f>
        <v>#N/A</v>
      </c>
      <c r="J64" s="25" t="e">
        <f>_xll.qlBondHelper(,H64,I64)</f>
        <v>#VALUE!</v>
      </c>
      <c r="K64" s="22" t="e">
        <f>_xll.qlBTP2(,B64,D64,E64,F64,,,,Trigger)</f>
        <v>#VALUE!</v>
      </c>
      <c r="L64" s="22" t="e">
        <f>_xll.qlInstrumentSetPricingEngine(K64,BondPricingEngine)</f>
        <v>#VALUE!</v>
      </c>
      <c r="M64" s="19" t="e">
        <f>_xll.qlBondCleanPrice(K64,AND(ISERROR(L64),ISERROR(N64)))</f>
        <v>#VALUE!</v>
      </c>
      <c r="N64" s="23" t="e">
        <f>_xll.qlSimpleQuoteSetValue(G64,O64)</f>
        <v>#VALUE!</v>
      </c>
      <c r="O64" s="23" t="e">
        <f t="shared" si="8"/>
        <v>#N/A</v>
      </c>
      <c r="P64" s="20" t="e">
        <f t="shared" si="9"/>
        <v>#N/A</v>
      </c>
      <c r="Q64" s="22" t="e">
        <f t="shared" si="10"/>
        <v>#N/A</v>
      </c>
      <c r="R64" s="19" t="s">
        <v>532</v>
      </c>
      <c r="S64" s="19" t="s">
        <v>532</v>
      </c>
      <c r="T64" s="13" t="e">
        <f>_xll.MKV("EUR.CM_DEPTH.XLS_GOVIES."&amp;$C64,T$1)</f>
        <v>#VALUE!</v>
      </c>
      <c r="U64" s="13" t="e">
        <f>_xll.MKV("EUR.CM_DEPTH.XLS_GOVIES."&amp;$C64,U$1)</f>
        <v>#VALUE!</v>
      </c>
      <c r="V64" s="21" t="e">
        <f>IF(ISNA(C64),NA(),_xll.qlBondYieldFromCleanPrice(C64,O64,YieldDayCounter,YieldCompounding,YieldFrequency))</f>
        <v>#N/A</v>
      </c>
      <c r="W64" s="15" t="b">
        <v>0</v>
      </c>
      <c r="X64" s="22" t="b">
        <f t="shared" si="11"/>
        <v>0</v>
      </c>
      <c r="Y64" s="20" t="e">
        <f>IF(ISNA(C64),NA(),M64-_xll.qlQuoteValue(H64))</f>
        <v>#N/A</v>
      </c>
      <c r="Z64" s="8"/>
      <c r="AB64" s="66" t="e">
        <f t="shared" si="12"/>
        <v>#N/A</v>
      </c>
      <c r="AC64" s="131" t="e">
        <f>_xll.BDP(C64&amp;" Corp", "days to mty")</f>
        <v>#N/A</v>
      </c>
      <c r="AD64" s="136" t="str">
        <f>IF(ISNA(ROUND(VLOOKUP(AC64,Contribution!C:J,8,FALSE),2)),"",ROUND(VLOOKUP(AC64,Contribution!C:J,8,FALSE),2))</f>
        <v/>
      </c>
      <c r="AE64" s="134" t="str">
        <f t="shared" si="13"/>
        <v/>
      </c>
    </row>
    <row r="65" spans="1:31" x14ac:dyDescent="0.2">
      <c r="A65" s="4"/>
      <c r="B65" s="18" t="e">
        <f>IF(ISNA(C65),NA(),_xll.qlBondDescription(C65,Trigger))</f>
        <v>#N/A</v>
      </c>
      <c r="C65" s="2" t="e">
        <v>#N/A</v>
      </c>
      <c r="D65" s="14" t="e">
        <f>IF(ISNA(C65),NA(),_xll.qlBondMaturityDate(C65,Trigger))</f>
        <v>#N/A</v>
      </c>
      <c r="E65" s="15" t="e">
        <f>IF(ISNA(C65),NA(),_xll.qlBondNextCouponRate(C65,BondSettlementDate))</f>
        <v>#N/A</v>
      </c>
      <c r="F65" s="24" t="e">
        <f>IF(ISNA(C65),NA(),_xll.qlBondRedemptionAmount(C65,Trigger))</f>
        <v>#N/A</v>
      </c>
      <c r="G65" s="13" t="e">
        <f t="shared" si="5"/>
        <v>#N/A</v>
      </c>
      <c r="H65" s="23" t="e">
        <f t="shared" si="14"/>
        <v>#N/A</v>
      </c>
      <c r="I65" s="12" t="e">
        <f>IF(LEFT(B65,3)="BTP",_xll.qlBTP2(,B65,D65,E65,F65,,,,Trigger),_xll.qlCCTEU(,B65,D65,E65,F65,,,,Trigger))</f>
        <v>#N/A</v>
      </c>
      <c r="J65" s="25" t="e">
        <f>_xll.qlBondHelper(,H65,I65)</f>
        <v>#VALUE!</v>
      </c>
      <c r="K65" s="22" t="e">
        <f>_xll.qlBTP2(,B65,D65,E65,F65,,,,Trigger)</f>
        <v>#VALUE!</v>
      </c>
      <c r="L65" s="22" t="e">
        <f>_xll.qlInstrumentSetPricingEngine(K65,BondPricingEngine)</f>
        <v>#VALUE!</v>
      </c>
      <c r="M65" s="19" t="e">
        <f>_xll.qlBondCleanPrice(K65,AND(ISERROR(L65),ISERROR(N65)))</f>
        <v>#VALUE!</v>
      </c>
      <c r="N65" s="23" t="e">
        <f>_xll.qlSimpleQuoteSetValue(G65,O65)</f>
        <v>#VALUE!</v>
      </c>
      <c r="O65" s="23" t="e">
        <f t="shared" si="8"/>
        <v>#N/A</v>
      </c>
      <c r="P65" s="20" t="e">
        <f t="shared" si="9"/>
        <v>#N/A</v>
      </c>
      <c r="Q65" s="22" t="e">
        <f t="shared" si="10"/>
        <v>#N/A</v>
      </c>
      <c r="R65" s="19" t="s">
        <v>532</v>
      </c>
      <c r="S65" s="19" t="s">
        <v>532</v>
      </c>
      <c r="T65" s="13" t="e">
        <f>_xll.MKV("EUR.CM_DEPTH.XLS_GOVIES."&amp;$C65,T$1)</f>
        <v>#VALUE!</v>
      </c>
      <c r="U65" s="13" t="e">
        <f>_xll.MKV("EUR.CM_DEPTH.XLS_GOVIES."&amp;$C65,U$1)</f>
        <v>#VALUE!</v>
      </c>
      <c r="V65" s="21" t="e">
        <f>IF(ISNA(C65),NA(),_xll.qlBondYieldFromCleanPrice(C65,O65,YieldDayCounter,YieldCompounding,YieldFrequency))</f>
        <v>#N/A</v>
      </c>
      <c r="W65" s="15" t="b">
        <v>0</v>
      </c>
      <c r="X65" s="22" t="b">
        <f t="shared" si="11"/>
        <v>0</v>
      </c>
      <c r="Y65" s="20" t="e">
        <f>IF(ISNA(C65),NA(),M65-_xll.qlQuoteValue(H65))</f>
        <v>#N/A</v>
      </c>
      <c r="Z65" s="8"/>
      <c r="AB65" s="66" t="e">
        <f t="shared" si="12"/>
        <v>#N/A</v>
      </c>
      <c r="AC65" s="131" t="e">
        <f>_xll.BDP(C65&amp;" Corp", "days to mty")</f>
        <v>#N/A</v>
      </c>
      <c r="AD65" s="136" t="str">
        <f>IF(ISNA(ROUND(VLOOKUP(AC65,Contribution!C:J,8,FALSE),2)),"",ROUND(VLOOKUP(AC65,Contribution!C:J,8,FALSE),2))</f>
        <v/>
      </c>
      <c r="AE65" s="134" t="str">
        <f t="shared" si="13"/>
        <v/>
      </c>
    </row>
    <row r="66" spans="1:31" x14ac:dyDescent="0.2">
      <c r="A66" s="4"/>
      <c r="B66" s="18" t="e">
        <f>IF(ISNA(C66),NA(),_xll.qlBondDescription(C66,Trigger))</f>
        <v>#N/A</v>
      </c>
      <c r="C66" s="2" t="e">
        <v>#N/A</v>
      </c>
      <c r="D66" s="14" t="e">
        <f>IF(ISNA(C66),NA(),_xll.qlBondMaturityDate(C66,Trigger))</f>
        <v>#N/A</v>
      </c>
      <c r="E66" s="15" t="e">
        <f>IF(ISNA(C66),NA(),_xll.qlBondNextCouponRate(C66,BondSettlementDate))</f>
        <v>#N/A</v>
      </c>
      <c r="F66" s="24" t="e">
        <f>IF(ISNA(C66),NA(),_xll.qlBondRedemptionAmount(C66,Trigger))</f>
        <v>#N/A</v>
      </c>
      <c r="G66" s="13" t="e">
        <f t="shared" si="5"/>
        <v>#N/A</v>
      </c>
      <c r="H66" s="23" t="e">
        <f t="shared" si="14"/>
        <v>#N/A</v>
      </c>
      <c r="I66" s="12" t="e">
        <f>IF(LEFT(B66,3)="BTP",_xll.qlBTP2(,B66,D66,E66,F66,,,,Trigger),_xll.qlCCTEU(,B66,D66,E66,F66,,,,Trigger))</f>
        <v>#N/A</v>
      </c>
      <c r="J66" s="25" t="e">
        <f>_xll.qlBondHelper(,H66,I66)</f>
        <v>#VALUE!</v>
      </c>
      <c r="K66" s="22" t="e">
        <f>_xll.qlBTP2(,B66,D66,E66,F66,,,,Trigger)</f>
        <v>#VALUE!</v>
      </c>
      <c r="L66" s="22" t="e">
        <f>_xll.qlInstrumentSetPricingEngine(K66,BondPricingEngine)</f>
        <v>#VALUE!</v>
      </c>
      <c r="M66" s="19" t="e">
        <f>_xll.qlBondCleanPrice(K66,AND(ISERROR(L66),ISERROR(N66)))</f>
        <v>#VALUE!</v>
      </c>
      <c r="N66" s="23" t="e">
        <f>_xll.qlSimpleQuoteSetValue(G66,O66)</f>
        <v>#VALUE!</v>
      </c>
      <c r="O66" s="23" t="e">
        <f t="shared" ref="O66:O80" si="16">IF(ISNA(C66),NA(),IF(ISERROR((T66+U66)/2),IF(PriceSelector="MID",(R66+S66)/2,IF(PriceSelector="BID",R66,S66)),IF(PriceSelector="MID",(T66+U66)/2,IF(PriceSelector="BID",T66,U66))))</f>
        <v>#N/A</v>
      </c>
      <c r="P66" s="20" t="e">
        <f t="shared" ref="P66:P80" si="17">IF(ISNA(C66),NA(),S66-R66)</f>
        <v>#N/A</v>
      </c>
      <c r="Q66" s="22" t="e">
        <f t="shared" ref="Q66:Q80" si="18">"IT"&amp;(LEFT(RIGHT(C66,7),6)*1)&amp;"=TT"</f>
        <v>#N/A</v>
      </c>
      <c r="R66" s="19" t="s">
        <v>532</v>
      </c>
      <c r="S66" s="19" t="s">
        <v>532</v>
      </c>
      <c r="T66" s="13" t="e">
        <f>_xll.MKV("EUR.CM_DEPTH.XLS_GOVIES."&amp;$C66,T$1)</f>
        <v>#VALUE!</v>
      </c>
      <c r="U66" s="13" t="e">
        <f>_xll.MKV("EUR.CM_DEPTH.XLS_GOVIES."&amp;$C66,U$1)</f>
        <v>#VALUE!</v>
      </c>
      <c r="V66" s="21" t="e">
        <f>IF(ISNA(C66),NA(),_xll.qlBondYieldFromCleanPrice(C66,O66,YieldDayCounter,YieldCompounding,YieldFrequency))</f>
        <v>#N/A</v>
      </c>
      <c r="W66" s="15" t="b">
        <v>0</v>
      </c>
      <c r="X66" s="22" t="b">
        <f t="shared" ref="X66:X80" si="19">IF(ISNA(C66),FALSE,IF(OR(LEFT(B66,3)="CCT",ExcludeMarchSeptember,NOT(IgnoreResiduePremium)),FALSE,IF((W66),TRUE,FALSE)))</f>
        <v>0</v>
      </c>
      <c r="Y66" s="20" t="e">
        <f>IF(ISNA(C66),NA(),M66-_xll.qlQuoteValue(H66))</f>
        <v>#N/A</v>
      </c>
      <c r="Z66" s="8"/>
      <c r="AB66" s="66" t="e">
        <f t="shared" ref="AB66:AB80" si="20">+B66</f>
        <v>#N/A</v>
      </c>
      <c r="AC66" s="131" t="e">
        <f>_xll.BDP(C66&amp;" Corp", "days to mty")</f>
        <v>#N/A</v>
      </c>
      <c r="AD66" s="136" t="str">
        <f>IF(ISNA(ROUND(VLOOKUP(AC66,Contribution!C:J,8,FALSE),2)),"",ROUND(VLOOKUP(AC66,Contribution!C:J,8,FALSE),2))</f>
        <v/>
      </c>
      <c r="AE66" s="134" t="str">
        <f t="shared" si="13"/>
        <v/>
      </c>
    </row>
    <row r="67" spans="1:31" x14ac:dyDescent="0.2">
      <c r="A67" s="4"/>
      <c r="B67" s="18" t="e">
        <f>IF(ISNA(C67),NA(),_xll.qlBondDescription(C67,Trigger))</f>
        <v>#N/A</v>
      </c>
      <c r="C67" s="2" t="e">
        <v>#N/A</v>
      </c>
      <c r="D67" s="14" t="e">
        <f>IF(ISNA(C67),NA(),_xll.qlBondMaturityDate(C67,Trigger))</f>
        <v>#N/A</v>
      </c>
      <c r="E67" s="15" t="e">
        <f>IF(ISNA(C67),NA(),_xll.qlBondNextCouponRate(C67,BondSettlementDate))</f>
        <v>#N/A</v>
      </c>
      <c r="F67" s="24" t="e">
        <f>IF(ISNA(C67),NA(),_xll.qlBondRedemptionAmount(C67,Trigger))</f>
        <v>#N/A</v>
      </c>
      <c r="G67" s="13" t="e">
        <f t="shared" ref="G67:G80" si="21">$C67&amp;"_Quote"</f>
        <v>#N/A</v>
      </c>
      <c r="H67" s="23" t="e">
        <f t="shared" si="14"/>
        <v>#N/A</v>
      </c>
      <c r="I67" s="12" t="e">
        <f>IF(LEFT(B67,3)="BTP",_xll.qlBTP2(,B67,D67,E67,F67,,,,Trigger),_xll.qlCCTEU(,B67,D67,E67,F67,,,,Trigger))</f>
        <v>#N/A</v>
      </c>
      <c r="J67" s="25" t="e">
        <f>_xll.qlBondHelper(,H67,I67)</f>
        <v>#VALUE!</v>
      </c>
      <c r="K67" s="22" t="e">
        <f>_xll.qlBTP2(,B67,D67,E67,F67,,,,Trigger)</f>
        <v>#VALUE!</v>
      </c>
      <c r="L67" s="22" t="e">
        <f>_xll.qlInstrumentSetPricingEngine(K67,BondPricingEngine)</f>
        <v>#VALUE!</v>
      </c>
      <c r="M67" s="19" t="e">
        <f>_xll.qlBondCleanPrice(K67,AND(ISERROR(L67),ISERROR(N67)))</f>
        <v>#VALUE!</v>
      </c>
      <c r="N67" s="23" t="e">
        <f>_xll.qlSimpleQuoteSetValue(G67,O67)</f>
        <v>#VALUE!</v>
      </c>
      <c r="O67" s="23" t="e">
        <f t="shared" si="16"/>
        <v>#N/A</v>
      </c>
      <c r="P67" s="20" t="e">
        <f t="shared" si="17"/>
        <v>#N/A</v>
      </c>
      <c r="Q67" s="22" t="e">
        <f t="shared" si="18"/>
        <v>#N/A</v>
      </c>
      <c r="R67" s="19" t="s">
        <v>532</v>
      </c>
      <c r="S67" s="19" t="s">
        <v>532</v>
      </c>
      <c r="T67" s="13" t="e">
        <f>_xll.MKV("EUR.CM_DEPTH.XLS_GOVIES."&amp;$C67,T$1)</f>
        <v>#VALUE!</v>
      </c>
      <c r="U67" s="13" t="e">
        <f>_xll.MKV("EUR.CM_DEPTH.XLS_GOVIES."&amp;$C67,U$1)</f>
        <v>#VALUE!</v>
      </c>
      <c r="V67" s="21" t="e">
        <f>IF(ISNA(C67),NA(),_xll.qlBondYieldFromCleanPrice(C67,O67,YieldDayCounter,YieldCompounding,YieldFrequency))</f>
        <v>#N/A</v>
      </c>
      <c r="W67" s="15" t="b">
        <v>0</v>
      </c>
      <c r="X67" s="22" t="b">
        <f t="shared" si="19"/>
        <v>0</v>
      </c>
      <c r="Y67" s="20" t="e">
        <f>IF(ISNA(C67),NA(),M67-_xll.qlQuoteValue(H67))</f>
        <v>#N/A</v>
      </c>
      <c r="Z67" s="8"/>
      <c r="AB67" s="66" t="e">
        <f t="shared" si="20"/>
        <v>#N/A</v>
      </c>
      <c r="AC67" s="131" t="e">
        <f>_xll.BDP(C67&amp;" Corp", "days to mty")</f>
        <v>#N/A</v>
      </c>
      <c r="AD67" s="136" t="str">
        <f>IF(ISNA(ROUND(VLOOKUP(AC67,Contribution!C:J,8,FALSE),2)),"",ROUND(VLOOKUP(AC67,Contribution!C:J,8,FALSE),2))</f>
        <v/>
      </c>
      <c r="AE67" s="134" t="str">
        <f t="shared" si="13"/>
        <v/>
      </c>
    </row>
    <row r="68" spans="1:31" x14ac:dyDescent="0.2">
      <c r="A68" s="4"/>
      <c r="B68" s="18" t="e">
        <f>IF(ISNA(C68),NA(),_xll.qlBondDescription(C68,Trigger))</f>
        <v>#N/A</v>
      </c>
      <c r="C68" s="2" t="e">
        <v>#N/A</v>
      </c>
      <c r="D68" s="14" t="e">
        <f>IF(ISNA(C68),NA(),_xll.qlBondMaturityDate(C68,Trigger))</f>
        <v>#N/A</v>
      </c>
      <c r="E68" s="15" t="e">
        <f>IF(ISNA(C68),NA(),_xll.qlBondNextCouponRate(C68,BondSettlementDate))</f>
        <v>#N/A</v>
      </c>
      <c r="F68" s="24" t="e">
        <f>IF(ISNA(C68),NA(),_xll.qlBondRedemptionAmount(C68,Trigger))</f>
        <v>#N/A</v>
      </c>
      <c r="G68" s="13" t="e">
        <f t="shared" si="21"/>
        <v>#N/A</v>
      </c>
      <c r="H68" s="23" t="e">
        <f t="shared" si="14"/>
        <v>#N/A</v>
      </c>
      <c r="I68" s="12" t="e">
        <f>IF(LEFT(B68,3)="BTP",_xll.qlBTP2(,B68,D68,E68,F68,,,,Trigger),_xll.qlCCTEU(,B68,D68,E68,F68,,,,Trigger))</f>
        <v>#N/A</v>
      </c>
      <c r="J68" s="25" t="e">
        <f>_xll.qlBondHelper(,H68,I68)</f>
        <v>#VALUE!</v>
      </c>
      <c r="K68" s="22" t="e">
        <f>_xll.qlBTP2(,B68,D68,E68,F68,,,,Trigger)</f>
        <v>#VALUE!</v>
      </c>
      <c r="L68" s="22" t="e">
        <f>_xll.qlInstrumentSetPricingEngine(K68,BondPricingEngine)</f>
        <v>#VALUE!</v>
      </c>
      <c r="M68" s="19" t="e">
        <f>_xll.qlBondCleanPrice(K68,AND(ISERROR(L68),ISERROR(N68)))</f>
        <v>#VALUE!</v>
      </c>
      <c r="N68" s="23" t="e">
        <f>_xll.qlSimpleQuoteSetValue(G68,O68)</f>
        <v>#VALUE!</v>
      </c>
      <c r="O68" s="23" t="e">
        <f t="shared" si="16"/>
        <v>#N/A</v>
      </c>
      <c r="P68" s="20" t="e">
        <f t="shared" si="17"/>
        <v>#N/A</v>
      </c>
      <c r="Q68" s="22" t="e">
        <f t="shared" si="18"/>
        <v>#N/A</v>
      </c>
      <c r="R68" s="19" t="s">
        <v>532</v>
      </c>
      <c r="S68" s="19" t="s">
        <v>532</v>
      </c>
      <c r="T68" s="13" t="e">
        <f>_xll.MKV("EUR.CM_DEPTH.XLS_GOVIES."&amp;$C68,T$1)</f>
        <v>#VALUE!</v>
      </c>
      <c r="U68" s="13" t="e">
        <f>_xll.MKV("EUR.CM_DEPTH.XLS_GOVIES."&amp;$C68,U$1)</f>
        <v>#VALUE!</v>
      </c>
      <c r="V68" s="21" t="e">
        <f>IF(ISNA(C68),NA(),_xll.qlBondYieldFromCleanPrice(C68,O68,YieldDayCounter,YieldCompounding,YieldFrequency))</f>
        <v>#N/A</v>
      </c>
      <c r="W68" s="15" t="b">
        <v>0</v>
      </c>
      <c r="X68" s="22" t="b">
        <f t="shared" si="19"/>
        <v>0</v>
      </c>
      <c r="Y68" s="20" t="e">
        <f>IF(ISNA(C68),NA(),M68-_xll.qlQuoteValue(H68))</f>
        <v>#N/A</v>
      </c>
      <c r="Z68" s="8"/>
      <c r="AB68" s="66" t="e">
        <f t="shared" si="20"/>
        <v>#N/A</v>
      </c>
      <c r="AC68" s="131" t="e">
        <f>_xll.BDP(C68&amp;" Corp", "days to mty")</f>
        <v>#N/A</v>
      </c>
      <c r="AD68" s="136" t="str">
        <f>IF(ISNA(ROUND(VLOOKUP(AC68,Contribution!C:J,8,FALSE),2)),"",ROUND(VLOOKUP(AC68,Contribution!C:J,8,FALSE),2))</f>
        <v/>
      </c>
      <c r="AE68" s="134" t="str">
        <f t="shared" si="13"/>
        <v/>
      </c>
    </row>
    <row r="69" spans="1:31" x14ac:dyDescent="0.2">
      <c r="A69" s="4"/>
      <c r="B69" s="18" t="e">
        <f>IF(ISNA(C69),NA(),_xll.qlBondDescription(C69,Trigger))</f>
        <v>#N/A</v>
      </c>
      <c r="C69" s="2" t="e">
        <v>#N/A</v>
      </c>
      <c r="D69" s="14" t="e">
        <f>IF(ISNA(C69),NA(),_xll.qlBondMaturityDate(C69,Trigger))</f>
        <v>#N/A</v>
      </c>
      <c r="E69" s="15" t="e">
        <f>IF(ISNA(C69),NA(),_xll.qlBondNextCouponRate(C69,BondSettlementDate))</f>
        <v>#N/A</v>
      </c>
      <c r="F69" s="24" t="e">
        <f>IF(ISNA(C69),NA(),_xll.qlBondRedemptionAmount(C69,Trigger))</f>
        <v>#N/A</v>
      </c>
      <c r="G69" s="13" t="e">
        <f t="shared" si="21"/>
        <v>#N/A</v>
      </c>
      <c r="H69" s="23" t="e">
        <f t="shared" si="14"/>
        <v>#N/A</v>
      </c>
      <c r="I69" s="12" t="e">
        <f>IF(LEFT(B69,3)="BTP",_xll.qlBTP2(,B69,D69,E69,F69,,,,Trigger),_xll.qlCCTEU(,B69,D69,E69,F69,,,,Trigger))</f>
        <v>#N/A</v>
      </c>
      <c r="J69" s="25" t="e">
        <f>_xll.qlBondHelper(,H69,I69)</f>
        <v>#VALUE!</v>
      </c>
      <c r="K69" s="22" t="e">
        <f>_xll.qlBTP2(,B69,D69,E69,F69,,,,Trigger)</f>
        <v>#VALUE!</v>
      </c>
      <c r="L69" s="22" t="e">
        <f>_xll.qlInstrumentSetPricingEngine(K69,BondPricingEngine)</f>
        <v>#VALUE!</v>
      </c>
      <c r="M69" s="19" t="e">
        <f>_xll.qlBondCleanPrice(K69,AND(ISERROR(L69),ISERROR(N69)))</f>
        <v>#VALUE!</v>
      </c>
      <c r="N69" s="23" t="e">
        <f>_xll.qlSimpleQuoteSetValue(G69,O69)</f>
        <v>#VALUE!</v>
      </c>
      <c r="O69" s="23" t="e">
        <f t="shared" si="16"/>
        <v>#N/A</v>
      </c>
      <c r="P69" s="20" t="e">
        <f t="shared" si="17"/>
        <v>#N/A</v>
      </c>
      <c r="Q69" s="22" t="e">
        <f t="shared" si="18"/>
        <v>#N/A</v>
      </c>
      <c r="R69" s="19" t="s">
        <v>532</v>
      </c>
      <c r="S69" s="19" t="s">
        <v>532</v>
      </c>
      <c r="T69" s="13" t="e">
        <f>_xll.MKV("EUR.CM_DEPTH.XLS_GOVIES."&amp;$C69,T$1)</f>
        <v>#VALUE!</v>
      </c>
      <c r="U69" s="13" t="e">
        <f>_xll.MKV("EUR.CM_DEPTH.XLS_GOVIES."&amp;$C69,U$1)</f>
        <v>#VALUE!</v>
      </c>
      <c r="V69" s="21" t="e">
        <f>IF(ISNA(C69),NA(),_xll.qlBondYieldFromCleanPrice(C69,O69,YieldDayCounter,YieldCompounding,YieldFrequency))</f>
        <v>#N/A</v>
      </c>
      <c r="W69" s="15" t="b">
        <v>0</v>
      </c>
      <c r="X69" s="22" t="b">
        <f t="shared" si="19"/>
        <v>0</v>
      </c>
      <c r="Y69" s="20" t="e">
        <f>IF(ISNA(C69),NA(),M69-_xll.qlQuoteValue(H69))</f>
        <v>#N/A</v>
      </c>
      <c r="Z69" s="8"/>
      <c r="AB69" s="66" t="e">
        <f t="shared" si="20"/>
        <v>#N/A</v>
      </c>
      <c r="AC69" s="131" t="e">
        <f>_xll.BDP(C69&amp;" Corp", "days to mty")</f>
        <v>#N/A</v>
      </c>
      <c r="AD69" s="136" t="str">
        <f>IF(ISNA(ROUND(VLOOKUP(AC69,Contribution!C:J,8,FALSE),2)),"",ROUND(VLOOKUP(AC69,Contribution!C:J,8,FALSE),2))</f>
        <v/>
      </c>
      <c r="AE69" s="134" t="str">
        <f t="shared" si="13"/>
        <v/>
      </c>
    </row>
    <row r="70" spans="1:31" x14ac:dyDescent="0.2">
      <c r="A70" s="4"/>
      <c r="B70" s="18" t="e">
        <f>IF(ISNA(C70),NA(),_xll.qlBondDescription(C70,Trigger))</f>
        <v>#N/A</v>
      </c>
      <c r="C70" s="2" t="e">
        <v>#N/A</v>
      </c>
      <c r="D70" s="14" t="e">
        <f>IF(ISNA(C70),NA(),_xll.qlBondMaturityDate(C70,Trigger))</f>
        <v>#N/A</v>
      </c>
      <c r="E70" s="15" t="e">
        <f>IF(ISNA(C70),NA(),_xll.qlBondNextCouponRate(C70,BondSettlementDate))</f>
        <v>#N/A</v>
      </c>
      <c r="F70" s="24" t="e">
        <f>IF(ISNA(C70),NA(),_xll.qlBondRedemptionAmount(C70,Trigger))</f>
        <v>#N/A</v>
      </c>
      <c r="G70" s="13" t="e">
        <f t="shared" si="21"/>
        <v>#N/A</v>
      </c>
      <c r="H70" s="23" t="e">
        <f t="shared" si="14"/>
        <v>#N/A</v>
      </c>
      <c r="I70" s="12" t="e">
        <f>IF(LEFT(B70,3)="BTP",_xll.qlBTP2(,B70,D70,E70,F70,,,,Trigger),_xll.qlCCTEU(,B70,D70,E70,F70,,,,Trigger))</f>
        <v>#N/A</v>
      </c>
      <c r="J70" s="25" t="e">
        <f>_xll.qlBondHelper(,H70,I70)</f>
        <v>#VALUE!</v>
      </c>
      <c r="K70" s="22" t="e">
        <f>_xll.qlBTP2(,B70,D70,E70,F70,,,,Trigger)</f>
        <v>#VALUE!</v>
      </c>
      <c r="L70" s="22" t="e">
        <f>_xll.qlInstrumentSetPricingEngine(K70,BondPricingEngine)</f>
        <v>#VALUE!</v>
      </c>
      <c r="M70" s="19" t="e">
        <f>_xll.qlBondCleanPrice(K70,AND(ISERROR(L70),ISERROR(N70)))</f>
        <v>#VALUE!</v>
      </c>
      <c r="N70" s="23" t="e">
        <f>_xll.qlSimpleQuoteSetValue(G70,O70)</f>
        <v>#VALUE!</v>
      </c>
      <c r="O70" s="23" t="e">
        <f t="shared" si="16"/>
        <v>#N/A</v>
      </c>
      <c r="P70" s="20" t="e">
        <f t="shared" si="17"/>
        <v>#N/A</v>
      </c>
      <c r="Q70" s="22" t="e">
        <f t="shared" si="18"/>
        <v>#N/A</v>
      </c>
      <c r="R70" s="19" t="s">
        <v>532</v>
      </c>
      <c r="S70" s="19" t="s">
        <v>532</v>
      </c>
      <c r="T70" s="13" t="e">
        <f>_xll.MKV("EUR.CM_DEPTH.XLS_GOVIES."&amp;$C70,T$1)</f>
        <v>#VALUE!</v>
      </c>
      <c r="U70" s="13" t="e">
        <f>_xll.MKV("EUR.CM_DEPTH.XLS_GOVIES."&amp;$C70,U$1)</f>
        <v>#VALUE!</v>
      </c>
      <c r="V70" s="21" t="e">
        <f>IF(ISNA(C70),NA(),_xll.qlBondYieldFromCleanPrice(C70,O70,YieldDayCounter,YieldCompounding,YieldFrequency))</f>
        <v>#N/A</v>
      </c>
      <c r="W70" s="15" t="b">
        <v>0</v>
      </c>
      <c r="X70" s="22" t="b">
        <f t="shared" si="19"/>
        <v>0</v>
      </c>
      <c r="Y70" s="20" t="e">
        <f>IF(ISNA(C70),NA(),M70-_xll.qlQuoteValue(H70))</f>
        <v>#N/A</v>
      </c>
      <c r="Z70" s="8"/>
      <c r="AB70" s="66" t="e">
        <f t="shared" si="20"/>
        <v>#N/A</v>
      </c>
      <c r="AC70" s="131" t="e">
        <f>_xll.BDP(C70&amp;" Corp", "days to mty")</f>
        <v>#N/A</v>
      </c>
      <c r="AD70" s="136" t="str">
        <f>IF(ISNA(ROUND(VLOOKUP(AC70,Contribution!C:J,8,FALSE),2)),"",ROUND(VLOOKUP(AC70,Contribution!C:J,8,FALSE),2))</f>
        <v/>
      </c>
      <c r="AE70" s="134" t="str">
        <f t="shared" si="13"/>
        <v/>
      </c>
    </row>
    <row r="71" spans="1:31" x14ac:dyDescent="0.2">
      <c r="A71" s="4"/>
      <c r="B71" s="18" t="e">
        <f>IF(ISNA(C71),NA(),_xll.qlBondDescription(C71,Trigger))</f>
        <v>#N/A</v>
      </c>
      <c r="C71" s="2" t="e">
        <v>#N/A</v>
      </c>
      <c r="D71" s="14" t="e">
        <f>IF(ISNA(C71),NA(),_xll.qlBondMaturityDate(C71,Trigger))</f>
        <v>#N/A</v>
      </c>
      <c r="E71" s="15" t="e">
        <f>IF(ISNA(C71),NA(),_xll.qlBondNextCouponRate(C71,BondSettlementDate))</f>
        <v>#N/A</v>
      </c>
      <c r="F71" s="24" t="e">
        <f>IF(ISNA(C71),NA(),_xll.qlBondRedemptionAmount(C71,Trigger))</f>
        <v>#N/A</v>
      </c>
      <c r="G71" s="13" t="e">
        <f t="shared" si="21"/>
        <v>#N/A</v>
      </c>
      <c r="H71" s="23" t="e">
        <f t="shared" si="14"/>
        <v>#N/A</v>
      </c>
      <c r="I71" s="12" t="e">
        <f>IF(LEFT(B71,3)="BTP",_xll.qlBTP2(,B71,D71,E71,F71,,,,Trigger),_xll.qlCCTEU(,B71,D71,E71,F71,,,,Trigger))</f>
        <v>#N/A</v>
      </c>
      <c r="J71" s="25" t="e">
        <f>_xll.qlBondHelper(,H71,I71)</f>
        <v>#VALUE!</v>
      </c>
      <c r="K71" s="22" t="e">
        <f>_xll.qlBTP2(,B71,D71,E71,F71,,,,Trigger)</f>
        <v>#VALUE!</v>
      </c>
      <c r="L71" s="22" t="e">
        <f>_xll.qlInstrumentSetPricingEngine(K71,BondPricingEngine)</f>
        <v>#VALUE!</v>
      </c>
      <c r="M71" s="19" t="e">
        <f>_xll.qlBondCleanPrice(K71,AND(ISERROR(L71),ISERROR(N71)))</f>
        <v>#VALUE!</v>
      </c>
      <c r="N71" s="23" t="e">
        <f>_xll.qlSimpleQuoteSetValue(G71,O71)</f>
        <v>#VALUE!</v>
      </c>
      <c r="O71" s="23" t="e">
        <f t="shared" si="16"/>
        <v>#N/A</v>
      </c>
      <c r="P71" s="20" t="e">
        <f t="shared" si="17"/>
        <v>#N/A</v>
      </c>
      <c r="Q71" s="22" t="e">
        <f t="shared" si="18"/>
        <v>#N/A</v>
      </c>
      <c r="R71" s="19" t="s">
        <v>532</v>
      </c>
      <c r="S71" s="19" t="s">
        <v>532</v>
      </c>
      <c r="T71" s="13" t="e">
        <f>_xll.MKV("EUR.CM_DEPTH.XLS_GOVIES."&amp;$C71,T$1)</f>
        <v>#VALUE!</v>
      </c>
      <c r="U71" s="13" t="e">
        <f>_xll.MKV("EUR.CM_DEPTH.XLS_GOVIES."&amp;$C71,U$1)</f>
        <v>#VALUE!</v>
      </c>
      <c r="V71" s="21" t="e">
        <f>IF(ISNA(C71),NA(),_xll.qlBondYieldFromCleanPrice(C71,O71,YieldDayCounter,YieldCompounding,YieldFrequency))</f>
        <v>#N/A</v>
      </c>
      <c r="W71" s="15" t="b">
        <v>0</v>
      </c>
      <c r="X71" s="22" t="b">
        <f t="shared" si="19"/>
        <v>0</v>
      </c>
      <c r="Y71" s="20" t="e">
        <f>IF(ISNA(C71),NA(),M71-_xll.qlQuoteValue(H71))</f>
        <v>#N/A</v>
      </c>
      <c r="Z71" s="8"/>
      <c r="AB71" s="66" t="e">
        <f t="shared" si="20"/>
        <v>#N/A</v>
      </c>
      <c r="AC71" s="131" t="e">
        <f>_xll.BDP(C71&amp;" Corp", "days to mty")</f>
        <v>#N/A</v>
      </c>
      <c r="AD71" s="136" t="str">
        <f>IF(ISNA(ROUND(VLOOKUP(AC71,Contribution!C:J,8,FALSE),2)),"",ROUND(VLOOKUP(AC71,Contribution!C:J,8,FALSE),2))</f>
        <v/>
      </c>
      <c r="AE71" s="134" t="str">
        <f t="shared" si="13"/>
        <v/>
      </c>
    </row>
    <row r="72" spans="1:31" x14ac:dyDescent="0.2">
      <c r="A72" s="4"/>
      <c r="B72" s="18" t="e">
        <f>IF(ISNA(C72),NA(),_xll.qlBondDescription(C72,Trigger))</f>
        <v>#N/A</v>
      </c>
      <c r="C72" s="2" t="e">
        <v>#N/A</v>
      </c>
      <c r="D72" s="14" t="e">
        <f>IF(ISNA(C72),NA(),_xll.qlBondMaturityDate(C72,Trigger))</f>
        <v>#N/A</v>
      </c>
      <c r="E72" s="15" t="e">
        <f>IF(ISNA(C72),NA(),_xll.qlBondNextCouponRate(C72,BondSettlementDate))</f>
        <v>#N/A</v>
      </c>
      <c r="F72" s="24" t="e">
        <f>IF(ISNA(C72),NA(),_xll.qlBondRedemptionAmount(C72,Trigger))</f>
        <v>#N/A</v>
      </c>
      <c r="G72" s="13" t="e">
        <f t="shared" si="21"/>
        <v>#N/A</v>
      </c>
      <c r="H72" s="23" t="e">
        <f t="shared" si="14"/>
        <v>#N/A</v>
      </c>
      <c r="I72" s="12" t="e">
        <f>IF(LEFT(B72,3)="BTP",_xll.qlBTP2(,B72,D72,E72,F72,,,,Trigger),_xll.qlCCTEU(,B72,D72,E72,F72,,,,Trigger))</f>
        <v>#N/A</v>
      </c>
      <c r="J72" s="25" t="e">
        <f>_xll.qlBondHelper(,H72,I72)</f>
        <v>#VALUE!</v>
      </c>
      <c r="K72" s="22" t="e">
        <f>_xll.qlBTP2(,B72,D72,E72,F72,,,,Trigger)</f>
        <v>#VALUE!</v>
      </c>
      <c r="L72" s="22" t="e">
        <f>_xll.qlInstrumentSetPricingEngine(K72,BondPricingEngine)</f>
        <v>#VALUE!</v>
      </c>
      <c r="M72" s="19" t="e">
        <f>_xll.qlBondCleanPrice(K72,AND(ISERROR(L72),ISERROR(N72)))</f>
        <v>#VALUE!</v>
      </c>
      <c r="N72" s="23" t="e">
        <f>_xll.qlSimpleQuoteSetValue(G72,O72)</f>
        <v>#VALUE!</v>
      </c>
      <c r="O72" s="23" t="e">
        <f t="shared" si="16"/>
        <v>#N/A</v>
      </c>
      <c r="P72" s="20" t="e">
        <f t="shared" si="17"/>
        <v>#N/A</v>
      </c>
      <c r="Q72" s="22" t="e">
        <f t="shared" si="18"/>
        <v>#N/A</v>
      </c>
      <c r="R72" s="19" t="s">
        <v>532</v>
      </c>
      <c r="S72" s="19" t="s">
        <v>532</v>
      </c>
      <c r="T72" s="13" t="e">
        <f>_xll.MKV("EUR.CM_DEPTH.XLS_GOVIES."&amp;$C72,T$1)</f>
        <v>#VALUE!</v>
      </c>
      <c r="U72" s="13" t="e">
        <f>_xll.MKV("EUR.CM_DEPTH.XLS_GOVIES."&amp;$C72,U$1)</f>
        <v>#VALUE!</v>
      </c>
      <c r="V72" s="21" t="e">
        <f>IF(ISNA(C72),NA(),_xll.qlBondYieldFromCleanPrice(C72,O72,YieldDayCounter,YieldCompounding,YieldFrequency))</f>
        <v>#N/A</v>
      </c>
      <c r="W72" s="15" t="b">
        <v>0</v>
      </c>
      <c r="X72" s="22" t="b">
        <f t="shared" si="19"/>
        <v>0</v>
      </c>
      <c r="Y72" s="20" t="e">
        <f>IF(ISNA(C72),NA(),M72-_xll.qlQuoteValue(H72))</f>
        <v>#N/A</v>
      </c>
      <c r="Z72" s="8"/>
      <c r="AB72" s="66" t="e">
        <f t="shared" si="20"/>
        <v>#N/A</v>
      </c>
      <c r="AC72" s="131" t="e">
        <f>_xll.BDP(C72&amp;" Corp", "days to mty")</f>
        <v>#N/A</v>
      </c>
      <c r="AD72" s="136" t="str">
        <f>IF(ISNA(ROUND(VLOOKUP(AC72,Contribution!C:J,8,FALSE),2)),"",ROUND(VLOOKUP(AC72,Contribution!C:J,8,FALSE),2))</f>
        <v/>
      </c>
      <c r="AE72" s="134" t="str">
        <f t="shared" si="13"/>
        <v/>
      </c>
    </row>
    <row r="73" spans="1:31" x14ac:dyDescent="0.2">
      <c r="A73" s="4"/>
      <c r="B73" s="18" t="e">
        <f>IF(ISNA(C73),NA(),_xll.qlBondDescription(C73,Trigger))</f>
        <v>#N/A</v>
      </c>
      <c r="C73" s="2" t="e">
        <v>#N/A</v>
      </c>
      <c r="D73" s="14" t="e">
        <f>IF(ISNA(C73),NA(),_xll.qlBondMaturityDate(C73,Trigger))</f>
        <v>#N/A</v>
      </c>
      <c r="E73" s="15" t="e">
        <f>IF(ISNA(C73),NA(),_xll.qlBondNextCouponRate(C73,BondSettlementDate))</f>
        <v>#N/A</v>
      </c>
      <c r="F73" s="24" t="e">
        <f>IF(ISNA(C73),NA(),_xll.qlBondRedemptionAmount(C73,Trigger))</f>
        <v>#N/A</v>
      </c>
      <c r="G73" s="13" t="e">
        <f t="shared" si="21"/>
        <v>#N/A</v>
      </c>
      <c r="H73" s="23" t="e">
        <f t="shared" si="14"/>
        <v>#N/A</v>
      </c>
      <c r="I73" s="12" t="e">
        <f>IF(LEFT(B73,3)="BTP",_xll.qlBTP2(,B73,D73,E73,F73,,,,Trigger),_xll.qlCCTEU(,B73,D73,E73,F73,,,,Trigger))</f>
        <v>#N/A</v>
      </c>
      <c r="J73" s="25" t="e">
        <f>_xll.qlBondHelper(,H73,I73)</f>
        <v>#VALUE!</v>
      </c>
      <c r="K73" s="22" t="e">
        <f>_xll.qlBTP2(,B73,D73,E73,F73,,,,Trigger)</f>
        <v>#VALUE!</v>
      </c>
      <c r="L73" s="22" t="e">
        <f>_xll.qlInstrumentSetPricingEngine(K73,BondPricingEngine)</f>
        <v>#VALUE!</v>
      </c>
      <c r="M73" s="19" t="e">
        <f>_xll.qlBondCleanPrice(K73,AND(ISERROR(L73),ISERROR(N73)))</f>
        <v>#VALUE!</v>
      </c>
      <c r="N73" s="23" t="e">
        <f>_xll.qlSimpleQuoteSetValue(G73,O73)</f>
        <v>#VALUE!</v>
      </c>
      <c r="O73" s="23" t="e">
        <f t="shared" si="16"/>
        <v>#N/A</v>
      </c>
      <c r="P73" s="20" t="e">
        <f t="shared" si="17"/>
        <v>#N/A</v>
      </c>
      <c r="Q73" s="22" t="e">
        <f t="shared" si="18"/>
        <v>#N/A</v>
      </c>
      <c r="R73" s="19" t="s">
        <v>532</v>
      </c>
      <c r="S73" s="19" t="s">
        <v>532</v>
      </c>
      <c r="T73" s="13" t="e">
        <f>_xll.MKV("EUR.CM_DEPTH.XLS_GOVIES."&amp;$C73,T$1)</f>
        <v>#VALUE!</v>
      </c>
      <c r="U73" s="13" t="e">
        <f>_xll.MKV("EUR.CM_DEPTH.XLS_GOVIES."&amp;$C73,U$1)</f>
        <v>#VALUE!</v>
      </c>
      <c r="V73" s="21" t="e">
        <f>IF(ISNA(C73),NA(),_xll.qlBondYieldFromCleanPrice(C73,O73,YieldDayCounter,YieldCompounding,YieldFrequency))</f>
        <v>#N/A</v>
      </c>
      <c r="W73" s="15" t="b">
        <v>0</v>
      </c>
      <c r="X73" s="22" t="b">
        <f t="shared" si="19"/>
        <v>0</v>
      </c>
      <c r="Y73" s="20" t="e">
        <f>IF(ISNA(C73),NA(),M73-_xll.qlQuoteValue(H73))</f>
        <v>#N/A</v>
      </c>
      <c r="Z73" s="8"/>
      <c r="AB73" s="66" t="e">
        <f t="shared" si="20"/>
        <v>#N/A</v>
      </c>
      <c r="AC73" s="131" t="e">
        <f>_xll.BDP(C73&amp;" Corp", "days to mty")</f>
        <v>#N/A</v>
      </c>
      <c r="AD73" s="136" t="str">
        <f>IF(ISNA(ROUND(VLOOKUP(AC73,Contribution!C:J,8,FALSE),2)),"",ROUND(VLOOKUP(AC73,Contribution!C:J,8,FALSE),2))</f>
        <v/>
      </c>
      <c r="AE73" s="134" t="str">
        <f t="shared" si="13"/>
        <v/>
      </c>
    </row>
    <row r="74" spans="1:31" x14ac:dyDescent="0.2">
      <c r="A74" s="4"/>
      <c r="B74" s="18" t="e">
        <f>IF(ISNA(C74),NA(),_xll.qlBondDescription(C74,Trigger))</f>
        <v>#N/A</v>
      </c>
      <c r="C74" s="2" t="e">
        <v>#N/A</v>
      </c>
      <c r="D74" s="14" t="e">
        <f>IF(ISNA(C74),NA(),_xll.qlBondMaturityDate(C74,Trigger))</f>
        <v>#N/A</v>
      </c>
      <c r="E74" s="15" t="e">
        <f>IF(ISNA(C74),NA(),_xll.qlBondNextCouponRate(C74,BondSettlementDate))</f>
        <v>#N/A</v>
      </c>
      <c r="F74" s="24" t="e">
        <f>IF(ISNA(C74),NA(),_xll.qlBondRedemptionAmount(C74,Trigger))</f>
        <v>#N/A</v>
      </c>
      <c r="G74" s="13" t="e">
        <f t="shared" si="21"/>
        <v>#N/A</v>
      </c>
      <c r="H74" s="23" t="e">
        <f t="shared" si="14"/>
        <v>#N/A</v>
      </c>
      <c r="I74" s="12" t="e">
        <f>IF(LEFT(B74,3)="BTP",_xll.qlBTP2(,B74,D74,E74,F74,,,,Trigger),_xll.qlCCTEU(,B74,D74,E74,F74,,,,Trigger))</f>
        <v>#N/A</v>
      </c>
      <c r="J74" s="25" t="e">
        <f>_xll.qlBondHelper(,H74,I74)</f>
        <v>#VALUE!</v>
      </c>
      <c r="K74" s="22" t="e">
        <f>_xll.qlBTP2(,B74,D74,E74,F74,,,,Trigger)</f>
        <v>#VALUE!</v>
      </c>
      <c r="L74" s="22" t="e">
        <f>_xll.qlInstrumentSetPricingEngine(K74,BondPricingEngine)</f>
        <v>#VALUE!</v>
      </c>
      <c r="M74" s="19" t="e">
        <f>_xll.qlBondCleanPrice(K74,AND(ISERROR(L74),ISERROR(N74)))</f>
        <v>#VALUE!</v>
      </c>
      <c r="N74" s="23" t="e">
        <f>_xll.qlSimpleQuoteSetValue(G74,O74)</f>
        <v>#VALUE!</v>
      </c>
      <c r="O74" s="23" t="e">
        <f t="shared" si="16"/>
        <v>#N/A</v>
      </c>
      <c r="P74" s="20" t="e">
        <f t="shared" si="17"/>
        <v>#N/A</v>
      </c>
      <c r="Q74" s="22" t="e">
        <f t="shared" si="18"/>
        <v>#N/A</v>
      </c>
      <c r="R74" s="19" t="s">
        <v>532</v>
      </c>
      <c r="S74" s="19" t="s">
        <v>532</v>
      </c>
      <c r="T74" s="13" t="e">
        <f>_xll.MKV("EUR.CM_DEPTH.XLS_GOVIES."&amp;$C74,T$1)</f>
        <v>#VALUE!</v>
      </c>
      <c r="U74" s="13" t="e">
        <f>_xll.MKV("EUR.CM_DEPTH.XLS_GOVIES."&amp;$C74,U$1)</f>
        <v>#VALUE!</v>
      </c>
      <c r="V74" s="21" t="e">
        <f>IF(ISNA(C74),NA(),_xll.qlBondYieldFromCleanPrice(C74,O74,YieldDayCounter,YieldCompounding,YieldFrequency))</f>
        <v>#N/A</v>
      </c>
      <c r="W74" s="15" t="b">
        <v>0</v>
      </c>
      <c r="X74" s="22" t="b">
        <f t="shared" si="19"/>
        <v>0</v>
      </c>
      <c r="Y74" s="20" t="e">
        <f>IF(ISNA(C74),NA(),M74-_xll.qlQuoteValue(H74))</f>
        <v>#N/A</v>
      </c>
      <c r="Z74" s="8"/>
      <c r="AB74" s="66" t="e">
        <f t="shared" si="20"/>
        <v>#N/A</v>
      </c>
      <c r="AC74" s="131" t="e">
        <f>_xll.BDP(C74&amp;" Corp", "days to mty")</f>
        <v>#N/A</v>
      </c>
      <c r="AD74" s="136" t="str">
        <f>IF(ISNA(ROUND(VLOOKUP(AC74,Contribution!C:J,8,FALSE),2)),"",ROUND(VLOOKUP(AC74,Contribution!C:J,8,FALSE),2))</f>
        <v/>
      </c>
      <c r="AE74" s="134" t="str">
        <f t="shared" si="13"/>
        <v/>
      </c>
    </row>
    <row r="75" spans="1:31" x14ac:dyDescent="0.2">
      <c r="A75" s="4"/>
      <c r="B75" s="18" t="e">
        <f>IF(ISNA(C75),NA(),_xll.qlBondDescription(C75,Trigger))</f>
        <v>#N/A</v>
      </c>
      <c r="C75" s="2" t="e">
        <v>#N/A</v>
      </c>
      <c r="D75" s="14" t="e">
        <f>IF(ISNA(C75),NA(),_xll.qlBondMaturityDate(C75,Trigger))</f>
        <v>#N/A</v>
      </c>
      <c r="E75" s="15" t="e">
        <f>IF(ISNA(C75),NA(),_xll.qlBondNextCouponRate(C75,BondSettlementDate))</f>
        <v>#N/A</v>
      </c>
      <c r="F75" s="24" t="e">
        <f>IF(ISNA(C75),NA(),_xll.qlBondRedemptionAmount(C75,Trigger))</f>
        <v>#N/A</v>
      </c>
      <c r="G75" s="13" t="e">
        <f t="shared" si="21"/>
        <v>#N/A</v>
      </c>
      <c r="H75" s="23" t="e">
        <f t="shared" si="14"/>
        <v>#N/A</v>
      </c>
      <c r="I75" s="12" t="e">
        <f>IF(LEFT(B75,3)="BTP",_xll.qlBTP2(,B75,D75,E75,F75,,,,Trigger),_xll.qlCCTEU(,B75,D75,E75,F75,,,,Trigger))</f>
        <v>#N/A</v>
      </c>
      <c r="J75" s="25" t="e">
        <f>_xll.qlBondHelper(,H75,I75)</f>
        <v>#VALUE!</v>
      </c>
      <c r="K75" s="22" t="e">
        <f>_xll.qlBTP2(,B75,D75,E75,F75,,,,Trigger)</f>
        <v>#VALUE!</v>
      </c>
      <c r="L75" s="22" t="e">
        <f>_xll.qlInstrumentSetPricingEngine(K75,BondPricingEngine)</f>
        <v>#VALUE!</v>
      </c>
      <c r="M75" s="19" t="e">
        <f>_xll.qlBondCleanPrice(K75,AND(ISERROR(L75),ISERROR(N75)))</f>
        <v>#VALUE!</v>
      </c>
      <c r="N75" s="23" t="e">
        <f>_xll.qlSimpleQuoteSetValue(G75,O75)</f>
        <v>#VALUE!</v>
      </c>
      <c r="O75" s="23" t="e">
        <f t="shared" si="16"/>
        <v>#N/A</v>
      </c>
      <c r="P75" s="20" t="e">
        <f t="shared" si="17"/>
        <v>#N/A</v>
      </c>
      <c r="Q75" s="22" t="e">
        <f t="shared" si="18"/>
        <v>#N/A</v>
      </c>
      <c r="R75" s="19" t="s">
        <v>532</v>
      </c>
      <c r="S75" s="19" t="s">
        <v>532</v>
      </c>
      <c r="T75" s="13" t="e">
        <f>_xll.MKV("EUR.CM_DEPTH.XLS_GOVIES."&amp;$C75,T$1)</f>
        <v>#VALUE!</v>
      </c>
      <c r="U75" s="13" t="e">
        <f>_xll.MKV("EUR.CM_DEPTH.XLS_GOVIES."&amp;$C75,U$1)</f>
        <v>#VALUE!</v>
      </c>
      <c r="V75" s="21" t="e">
        <f>IF(ISNA(C75),NA(),_xll.qlBondYieldFromCleanPrice(C75,O75,YieldDayCounter,YieldCompounding,YieldFrequency))</f>
        <v>#N/A</v>
      </c>
      <c r="W75" s="15" t="b">
        <v>0</v>
      </c>
      <c r="X75" s="22" t="b">
        <f t="shared" si="19"/>
        <v>0</v>
      </c>
      <c r="Y75" s="20" t="e">
        <f>IF(ISNA(C75),NA(),M75-_xll.qlQuoteValue(H75))</f>
        <v>#N/A</v>
      </c>
      <c r="Z75" s="8"/>
      <c r="AB75" s="66" t="e">
        <f t="shared" si="20"/>
        <v>#N/A</v>
      </c>
      <c r="AC75" s="131" t="e">
        <f>_xll.BDP(C75&amp;" Corp", "days to mty")</f>
        <v>#N/A</v>
      </c>
      <c r="AD75" s="136" t="str">
        <f>IF(ISNA(ROUND(VLOOKUP(AC75,Contribution!C:J,8,FALSE),2)),"",ROUND(VLOOKUP(AC75,Contribution!C:J,8,FALSE),2))</f>
        <v/>
      </c>
      <c r="AE75" s="134" t="str">
        <f t="shared" si="13"/>
        <v/>
      </c>
    </row>
    <row r="76" spans="1:31" x14ac:dyDescent="0.2">
      <c r="A76" s="4"/>
      <c r="B76" s="18" t="e">
        <f>IF(ISNA(C76),NA(),_xll.qlBondDescription(C76,Trigger))</f>
        <v>#N/A</v>
      </c>
      <c r="C76" s="2" t="e">
        <v>#N/A</v>
      </c>
      <c r="D76" s="14" t="e">
        <f>IF(ISNA(C76),NA(),_xll.qlBondMaturityDate(C76,Trigger))</f>
        <v>#N/A</v>
      </c>
      <c r="E76" s="15" t="e">
        <f>IF(ISNA(C76),NA(),_xll.qlBondNextCouponRate(C76,BondSettlementDate))</f>
        <v>#N/A</v>
      </c>
      <c r="F76" s="24" t="e">
        <f>IF(ISNA(C76),NA(),_xll.qlBondRedemptionAmount(C76,Trigger))</f>
        <v>#N/A</v>
      </c>
      <c r="G76" s="13" t="e">
        <f t="shared" si="21"/>
        <v>#N/A</v>
      </c>
      <c r="H76" s="23" t="e">
        <f t="shared" si="14"/>
        <v>#N/A</v>
      </c>
      <c r="I76" s="12" t="e">
        <f>IF(LEFT(B76,3)="BTP",_xll.qlBTP2(,B76,D76,E76,F76,,,,Trigger),_xll.qlCCTEU(,B76,D76,E76,F76,,,,Trigger))</f>
        <v>#N/A</v>
      </c>
      <c r="J76" s="25" t="e">
        <f>_xll.qlBondHelper(,H76,I76)</f>
        <v>#VALUE!</v>
      </c>
      <c r="K76" s="22" t="e">
        <f>_xll.qlBTP2(,B76,D76,E76,F76,,,,Trigger)</f>
        <v>#VALUE!</v>
      </c>
      <c r="L76" s="22" t="e">
        <f>_xll.qlInstrumentSetPricingEngine(K76,BondPricingEngine)</f>
        <v>#VALUE!</v>
      </c>
      <c r="M76" s="19" t="e">
        <f>_xll.qlBondCleanPrice(K76,AND(ISERROR(L76),ISERROR(N76)))</f>
        <v>#VALUE!</v>
      </c>
      <c r="N76" s="23" t="e">
        <f>_xll.qlSimpleQuoteSetValue(G76,O76)</f>
        <v>#VALUE!</v>
      </c>
      <c r="O76" s="23" t="e">
        <f t="shared" si="16"/>
        <v>#N/A</v>
      </c>
      <c r="P76" s="20" t="e">
        <f t="shared" si="17"/>
        <v>#N/A</v>
      </c>
      <c r="Q76" s="22" t="e">
        <f t="shared" si="18"/>
        <v>#N/A</v>
      </c>
      <c r="R76" s="19" t="s">
        <v>532</v>
      </c>
      <c r="S76" s="19" t="s">
        <v>532</v>
      </c>
      <c r="T76" s="13" t="e">
        <f>_xll.MKV("EUR.CM_DEPTH.XLS_GOVIES."&amp;$C76,T$1)</f>
        <v>#VALUE!</v>
      </c>
      <c r="U76" s="13" t="e">
        <f>_xll.MKV("EUR.CM_DEPTH.XLS_GOVIES."&amp;$C76,U$1)</f>
        <v>#VALUE!</v>
      </c>
      <c r="V76" s="21" t="e">
        <f>IF(ISNA(C76),NA(),_xll.qlBondYieldFromCleanPrice(C76,O76,YieldDayCounter,YieldCompounding,YieldFrequency))</f>
        <v>#N/A</v>
      </c>
      <c r="W76" s="15" t="b">
        <v>0</v>
      </c>
      <c r="X76" s="22" t="b">
        <f t="shared" si="19"/>
        <v>0</v>
      </c>
      <c r="Y76" s="20" t="e">
        <f>IF(ISNA(C76),NA(),M76-_xll.qlQuoteValue(H76))</f>
        <v>#N/A</v>
      </c>
      <c r="Z76" s="8"/>
      <c r="AB76" s="66" t="e">
        <f t="shared" si="20"/>
        <v>#N/A</v>
      </c>
      <c r="AC76" s="131" t="e">
        <f>_xll.BDP(C76&amp;" Corp", "days to mty")</f>
        <v>#N/A</v>
      </c>
      <c r="AD76" s="136" t="str">
        <f>IF(ISNA(ROUND(VLOOKUP(AC76,Contribution!C:J,8,FALSE),2)),"",ROUND(VLOOKUP(AC76,Contribution!C:J,8,FALSE),2))</f>
        <v/>
      </c>
      <c r="AE76" s="134" t="str">
        <f t="shared" si="13"/>
        <v/>
      </c>
    </row>
    <row r="77" spans="1:31" x14ac:dyDescent="0.2">
      <c r="A77" s="4"/>
      <c r="B77" s="18" t="e">
        <f>IF(ISNA(C77),NA(),_xll.qlBondDescription(C77,Trigger))</f>
        <v>#N/A</v>
      </c>
      <c r="C77" s="2" t="e">
        <v>#N/A</v>
      </c>
      <c r="D77" s="14" t="e">
        <f>IF(ISNA(C77),NA(),_xll.qlBondMaturityDate(C77,Trigger))</f>
        <v>#N/A</v>
      </c>
      <c r="E77" s="15" t="e">
        <f>IF(ISNA(C77),NA(),_xll.qlBondNextCouponRate(C77,BondSettlementDate))</f>
        <v>#N/A</v>
      </c>
      <c r="F77" s="24" t="e">
        <f>IF(ISNA(C77),NA(),_xll.qlBondRedemptionAmount(C77,Trigger))</f>
        <v>#N/A</v>
      </c>
      <c r="G77" s="13" t="e">
        <f t="shared" si="21"/>
        <v>#N/A</v>
      </c>
      <c r="H77" s="23" t="e">
        <f t="shared" si="14"/>
        <v>#N/A</v>
      </c>
      <c r="I77" s="12" t="e">
        <f>IF(LEFT(B77,3)="BTP",_xll.qlBTP2(,B77,D77,E77,F77,,,,Trigger),_xll.qlCCTEU(,B77,D77,E77,F77,,,,Trigger))</f>
        <v>#N/A</v>
      </c>
      <c r="J77" s="25" t="e">
        <f>_xll.qlBondHelper(,H77,I77)</f>
        <v>#VALUE!</v>
      </c>
      <c r="K77" s="22" t="e">
        <f>_xll.qlBTP2(,B77,D77,E77,F77,,,,Trigger)</f>
        <v>#VALUE!</v>
      </c>
      <c r="L77" s="22" t="e">
        <f>_xll.qlInstrumentSetPricingEngine(K77,BondPricingEngine)</f>
        <v>#VALUE!</v>
      </c>
      <c r="M77" s="19" t="e">
        <f>_xll.qlBondCleanPrice(K77,AND(ISERROR(L77),ISERROR(N77)))</f>
        <v>#VALUE!</v>
      </c>
      <c r="N77" s="23" t="e">
        <f>_xll.qlSimpleQuoteSetValue(G77,O77)</f>
        <v>#VALUE!</v>
      </c>
      <c r="O77" s="23" t="e">
        <f t="shared" si="16"/>
        <v>#N/A</v>
      </c>
      <c r="P77" s="20" t="e">
        <f t="shared" si="17"/>
        <v>#N/A</v>
      </c>
      <c r="Q77" s="22" t="e">
        <f t="shared" si="18"/>
        <v>#N/A</v>
      </c>
      <c r="R77" s="19" t="s">
        <v>532</v>
      </c>
      <c r="S77" s="19" t="s">
        <v>532</v>
      </c>
      <c r="T77" s="13" t="e">
        <f>_xll.MKV("EUR.CM_DEPTH.XLS_GOVIES."&amp;$C77,T$1)</f>
        <v>#VALUE!</v>
      </c>
      <c r="U77" s="13" t="e">
        <f>_xll.MKV("EUR.CM_DEPTH.XLS_GOVIES."&amp;$C77,U$1)</f>
        <v>#VALUE!</v>
      </c>
      <c r="V77" s="21" t="e">
        <f>IF(ISNA(C77),NA(),_xll.qlBondYieldFromCleanPrice(C77,O77,YieldDayCounter,YieldCompounding,YieldFrequency))</f>
        <v>#N/A</v>
      </c>
      <c r="W77" s="15" t="b">
        <v>0</v>
      </c>
      <c r="X77" s="22" t="b">
        <f t="shared" si="19"/>
        <v>0</v>
      </c>
      <c r="Y77" s="20" t="e">
        <f>IF(ISNA(C77),NA(),M77-_xll.qlQuoteValue(H77))</f>
        <v>#N/A</v>
      </c>
      <c r="Z77" s="8"/>
      <c r="AB77" s="66" t="e">
        <f t="shared" si="20"/>
        <v>#N/A</v>
      </c>
      <c r="AC77" s="131" t="e">
        <f>_xll.BDP(C77&amp;" Corp", "days to mty")</f>
        <v>#N/A</v>
      </c>
      <c r="AD77" s="136" t="str">
        <f>IF(ISNA(ROUND(VLOOKUP(AC77,Contribution!C:J,8,FALSE),2)),"",ROUND(VLOOKUP(AC77,Contribution!C:J,8,FALSE),2))</f>
        <v/>
      </c>
      <c r="AE77" s="134" t="str">
        <f t="shared" si="13"/>
        <v/>
      </c>
    </row>
    <row r="78" spans="1:31" x14ac:dyDescent="0.2">
      <c r="A78" s="4"/>
      <c r="B78" s="18" t="e">
        <f>IF(ISNA(C78),NA(),_xll.qlBondDescription(C78,Trigger))</f>
        <v>#N/A</v>
      </c>
      <c r="C78" s="2" t="e">
        <v>#N/A</v>
      </c>
      <c r="D78" s="14" t="e">
        <f>IF(ISNA(C78),NA(),_xll.qlBondMaturityDate(C78,Trigger))</f>
        <v>#N/A</v>
      </c>
      <c r="E78" s="15" t="e">
        <f>IF(ISNA(C78),NA(),_xll.qlBondNextCouponRate(C78,BondSettlementDate))</f>
        <v>#N/A</v>
      </c>
      <c r="F78" s="24" t="e">
        <f>IF(ISNA(C78),NA(),_xll.qlBondRedemptionAmount(C78,Trigger))</f>
        <v>#N/A</v>
      </c>
      <c r="G78" s="13" t="e">
        <f t="shared" si="21"/>
        <v>#N/A</v>
      </c>
      <c r="H78" s="23" t="e">
        <f t="shared" si="14"/>
        <v>#N/A</v>
      </c>
      <c r="I78" s="12" t="e">
        <f>IF(LEFT(B78,3)="BTP",_xll.qlBTP2(,B78,D78,E78,F78,,,,Trigger),_xll.qlCCTEU(,B78,D78,E78,F78,,,,Trigger))</f>
        <v>#N/A</v>
      </c>
      <c r="J78" s="25" t="e">
        <f>_xll.qlBondHelper(,H78,I78)</f>
        <v>#VALUE!</v>
      </c>
      <c r="K78" s="22" t="e">
        <f>_xll.qlBTP2(,B78,D78,E78,F78,,,,Trigger)</f>
        <v>#VALUE!</v>
      </c>
      <c r="L78" s="22" t="e">
        <f>_xll.qlInstrumentSetPricingEngine(K78,BondPricingEngine)</f>
        <v>#VALUE!</v>
      </c>
      <c r="M78" s="19" t="e">
        <f>_xll.qlBondCleanPrice(K78,AND(ISERROR(L78),ISERROR(N78)))</f>
        <v>#VALUE!</v>
      </c>
      <c r="N78" s="23" t="e">
        <f>_xll.qlSimpleQuoteSetValue(G78,O78)</f>
        <v>#VALUE!</v>
      </c>
      <c r="O78" s="23" t="e">
        <f t="shared" si="16"/>
        <v>#N/A</v>
      </c>
      <c r="P78" s="20" t="e">
        <f t="shared" si="17"/>
        <v>#N/A</v>
      </c>
      <c r="Q78" s="22" t="e">
        <f t="shared" si="18"/>
        <v>#N/A</v>
      </c>
      <c r="R78" s="19" t="s">
        <v>532</v>
      </c>
      <c r="S78" s="19" t="s">
        <v>532</v>
      </c>
      <c r="T78" s="13" t="e">
        <f>_xll.MKV("EUR.CM_DEPTH.XLS_GOVIES."&amp;$C78,T$1)</f>
        <v>#VALUE!</v>
      </c>
      <c r="U78" s="13" t="e">
        <f>_xll.MKV("EUR.CM_DEPTH.XLS_GOVIES."&amp;$C78,U$1)</f>
        <v>#VALUE!</v>
      </c>
      <c r="V78" s="21" t="e">
        <f>IF(ISNA(C78),NA(),_xll.qlBondYieldFromCleanPrice(C78,O78,YieldDayCounter,YieldCompounding,YieldFrequency))</f>
        <v>#N/A</v>
      </c>
      <c r="W78" s="15" t="b">
        <v>0</v>
      </c>
      <c r="X78" s="22" t="b">
        <f t="shared" si="19"/>
        <v>0</v>
      </c>
      <c r="Y78" s="20" t="e">
        <f>IF(ISNA(C78),NA(),M78-_xll.qlQuoteValue(H78))</f>
        <v>#N/A</v>
      </c>
      <c r="Z78" s="8"/>
      <c r="AB78" s="66" t="e">
        <f t="shared" si="20"/>
        <v>#N/A</v>
      </c>
      <c r="AC78" s="131" t="e">
        <f>_xll.BDP(C78&amp;" Corp", "days to mty")</f>
        <v>#N/A</v>
      </c>
      <c r="AD78" s="136" t="str">
        <f>IF(ISNA(ROUND(VLOOKUP(AC78,Contribution!C:J,8,FALSE),2)),"",ROUND(VLOOKUP(AC78,Contribution!C:J,8,FALSE),2))</f>
        <v/>
      </c>
      <c r="AE78" s="134" t="str">
        <f t="shared" si="13"/>
        <v/>
      </c>
    </row>
    <row r="79" spans="1:31" x14ac:dyDescent="0.2">
      <c r="A79" s="4"/>
      <c r="B79" s="18" t="e">
        <f>IF(ISNA(C79),NA(),_xll.qlBondDescription(C79,Trigger))</f>
        <v>#N/A</v>
      </c>
      <c r="C79" s="2" t="e">
        <v>#N/A</v>
      </c>
      <c r="D79" s="14" t="e">
        <f>IF(ISNA(C79),NA(),_xll.qlBondMaturityDate(C79,Trigger))</f>
        <v>#N/A</v>
      </c>
      <c r="E79" s="15" t="e">
        <f>IF(ISNA(C79),NA(),_xll.qlBondNextCouponRate(C79,BondSettlementDate))</f>
        <v>#N/A</v>
      </c>
      <c r="F79" s="24" t="e">
        <f>IF(ISNA(C79),NA(),_xll.qlBondRedemptionAmount(C79,Trigger))</f>
        <v>#N/A</v>
      </c>
      <c r="G79" s="13" t="e">
        <f t="shared" si="21"/>
        <v>#N/A</v>
      </c>
      <c r="H79" s="23" t="e">
        <f t="shared" si="14"/>
        <v>#N/A</v>
      </c>
      <c r="I79" s="12" t="e">
        <f>IF(LEFT(B79,3)="BTP",_xll.qlBTP2(,B79,D79,E79,F79,,,,Trigger),_xll.qlCCTEU(,B79,D79,E79,F79,,,,Trigger))</f>
        <v>#N/A</v>
      </c>
      <c r="J79" s="25" t="e">
        <f>_xll.qlBondHelper(,H79,I79)</f>
        <v>#VALUE!</v>
      </c>
      <c r="K79" s="22" t="e">
        <f>_xll.qlBTP2(,B79,D79,E79,F79,,,,Trigger)</f>
        <v>#VALUE!</v>
      </c>
      <c r="L79" s="22" t="e">
        <f>_xll.qlInstrumentSetPricingEngine(K79,BondPricingEngine)</f>
        <v>#VALUE!</v>
      </c>
      <c r="M79" s="19" t="e">
        <f>_xll.qlBondCleanPrice(K79,AND(ISERROR(L79),ISERROR(N79)))</f>
        <v>#VALUE!</v>
      </c>
      <c r="N79" s="23" t="e">
        <f>_xll.qlSimpleQuoteSetValue(G79,O79)</f>
        <v>#VALUE!</v>
      </c>
      <c r="O79" s="23" t="e">
        <f t="shared" si="16"/>
        <v>#N/A</v>
      </c>
      <c r="P79" s="20" t="e">
        <f t="shared" si="17"/>
        <v>#N/A</v>
      </c>
      <c r="Q79" s="22" t="e">
        <f t="shared" si="18"/>
        <v>#N/A</v>
      </c>
      <c r="R79" s="19" t="s">
        <v>532</v>
      </c>
      <c r="S79" s="19" t="s">
        <v>532</v>
      </c>
      <c r="T79" s="13" t="e">
        <f>_xll.MKV("EUR.CM_DEPTH.XLS_GOVIES."&amp;$C79,T$1)</f>
        <v>#VALUE!</v>
      </c>
      <c r="U79" s="13" t="e">
        <f>_xll.MKV("EUR.CM_DEPTH.XLS_GOVIES."&amp;$C79,U$1)</f>
        <v>#VALUE!</v>
      </c>
      <c r="V79" s="21" t="e">
        <f>IF(ISNA(C79),NA(),_xll.qlBondYieldFromCleanPrice(C79,O79,YieldDayCounter,YieldCompounding,YieldFrequency))</f>
        <v>#N/A</v>
      </c>
      <c r="W79" s="15" t="b">
        <v>0</v>
      </c>
      <c r="X79" s="22" t="b">
        <f t="shared" si="19"/>
        <v>0</v>
      </c>
      <c r="Y79" s="20" t="e">
        <f>IF(ISNA(C79),NA(),M79-_xll.qlQuoteValue(H79))</f>
        <v>#N/A</v>
      </c>
      <c r="Z79" s="8"/>
      <c r="AB79" s="66" t="e">
        <f t="shared" si="20"/>
        <v>#N/A</v>
      </c>
      <c r="AC79" s="131" t="e">
        <f>_xll.BDP(C79&amp;" Corp", "days to mty")</f>
        <v>#N/A</v>
      </c>
      <c r="AD79" s="136" t="str">
        <f>IF(ISNA(ROUND(VLOOKUP(AC79,Contribution!C:J,8,FALSE),2)),"",ROUND(VLOOKUP(AC79,Contribution!C:J,8,FALSE),2))</f>
        <v/>
      </c>
      <c r="AE79" s="134" t="str">
        <f t="shared" si="13"/>
        <v/>
      </c>
    </row>
    <row r="80" spans="1:31" ht="12" thickBot="1" x14ac:dyDescent="0.25">
      <c r="A80" s="5"/>
      <c r="B80" s="18" t="e">
        <f>IF(ISNA(C80),NA(),_xll.qlBondDescription(C80,Trigger))</f>
        <v>#N/A</v>
      </c>
      <c r="C80" s="2" t="e">
        <v>#N/A</v>
      </c>
      <c r="D80" s="14" t="e">
        <f>IF(ISNA(C80),NA(),_xll.qlBondMaturityDate(C80,Trigger))</f>
        <v>#N/A</v>
      </c>
      <c r="E80" s="15" t="e">
        <f>IF(ISNA(C80),NA(),_xll.qlBondNextCouponRate(C80,BondSettlementDate))</f>
        <v>#N/A</v>
      </c>
      <c r="F80" s="24" t="e">
        <f>IF(ISNA(C80),NA(),_xll.qlBondRedemptionAmount(C80,Trigger))</f>
        <v>#N/A</v>
      </c>
      <c r="G80" s="13" t="e">
        <f t="shared" si="21"/>
        <v>#N/A</v>
      </c>
      <c r="H80" s="23" t="e">
        <f t="shared" si="14"/>
        <v>#N/A</v>
      </c>
      <c r="I80" s="12" t="e">
        <f>IF(LEFT(B80,3)="BTP",_xll.qlBTP2(,B80,D80,E80,F80,,,,Trigger),_xll.qlCCTEU(,B80,D80,E80,F80,,,,Trigger))</f>
        <v>#N/A</v>
      </c>
      <c r="J80" s="25" t="e">
        <f>_xll.qlBondHelper(,H80,I80)</f>
        <v>#VALUE!</v>
      </c>
      <c r="K80" s="22" t="e">
        <f>_xll.qlBTP2(,B80,D80,E80,F80,,,,Trigger)</f>
        <v>#VALUE!</v>
      </c>
      <c r="L80" s="22" t="e">
        <f>_xll.qlInstrumentSetPricingEngine(K80,BondPricingEngine)</f>
        <v>#VALUE!</v>
      </c>
      <c r="M80" s="19" t="e">
        <f>_xll.qlBondCleanPrice(K80,AND(ISERROR(L80),ISERROR(N80)))</f>
        <v>#VALUE!</v>
      </c>
      <c r="N80" s="23" t="e">
        <f>_xll.qlSimpleQuoteSetValue(G80,O80)</f>
        <v>#VALUE!</v>
      </c>
      <c r="O80" s="23" t="e">
        <f t="shared" si="16"/>
        <v>#N/A</v>
      </c>
      <c r="P80" s="20" t="e">
        <f t="shared" si="17"/>
        <v>#N/A</v>
      </c>
      <c r="Q80" s="22" t="e">
        <f t="shared" si="18"/>
        <v>#N/A</v>
      </c>
      <c r="R80" s="19" t="s">
        <v>532</v>
      </c>
      <c r="S80" s="19" t="s">
        <v>532</v>
      </c>
      <c r="T80" s="13" t="e">
        <f>_xll.MKV("EUR.CM_DEPTH.XLS_GOVIES."&amp;$C80,T$1)</f>
        <v>#VALUE!</v>
      </c>
      <c r="U80" s="13" t="e">
        <f>_xll.MKV("EUR.CM_DEPTH.XLS_GOVIES."&amp;$C80,U$1)</f>
        <v>#VALUE!</v>
      </c>
      <c r="V80" s="21" t="e">
        <f>IF(ISNA(C80),NA(),_xll.qlBondYieldFromCleanPrice(C80,O80,YieldDayCounter,YieldCompounding,YieldFrequency))</f>
        <v>#N/A</v>
      </c>
      <c r="W80" s="15" t="b">
        <v>0</v>
      </c>
      <c r="X80" s="22" t="b">
        <f t="shared" si="19"/>
        <v>0</v>
      </c>
      <c r="Y80" s="20" t="e">
        <f>IF(ISNA(C80),NA(),M80-_xll.qlQuoteValue(H80))</f>
        <v>#N/A</v>
      </c>
      <c r="Z80" s="8"/>
      <c r="AB80" s="66" t="e">
        <f t="shared" si="20"/>
        <v>#N/A</v>
      </c>
      <c r="AC80" s="131" t="e">
        <f>_xll.BDP(C80&amp;" Corp", "days to mty")</f>
        <v>#N/A</v>
      </c>
      <c r="AD80" s="136" t="str">
        <f>IF(ISNA(ROUND(VLOOKUP(AC80,Contribution!C:J,8,FALSE),2)),"",ROUND(VLOOKUP(AC80,Contribution!C:J,8,FALSE),2))</f>
        <v/>
      </c>
      <c r="AE80" s="134" t="str">
        <f t="shared" si="13"/>
        <v/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151"/>
  <sheetViews>
    <sheetView tabSelected="1" workbookViewId="0">
      <pane ySplit="3" topLeftCell="A22" activePane="bottomLeft" state="frozen"/>
      <selection pane="bottomLeft" activeCell="AF61" sqref="AF61"/>
    </sheetView>
  </sheetViews>
  <sheetFormatPr defaultColWidth="9.140625" defaultRowHeight="11.25" outlineLevelCol="1" x14ac:dyDescent="0.2"/>
  <cols>
    <col min="1" max="1" width="21.42578125" style="27" bestFit="1" customWidth="1"/>
    <col min="2" max="2" width="17.28515625" style="27" bestFit="1" customWidth="1"/>
    <col min="3" max="3" width="9" style="27" bestFit="1" customWidth="1"/>
    <col min="4" max="4" width="9" style="27" hidden="1" customWidth="1" outlineLevel="1"/>
    <col min="5" max="6" width="17.28515625" style="27" hidden="1" customWidth="1" outlineLevel="1"/>
    <col min="7" max="7" width="8" style="27" hidden="1" customWidth="1" outlineLevel="1"/>
    <col min="8" max="8" width="6" style="27" hidden="1" customWidth="1" outlineLevel="1"/>
    <col min="9" max="10" width="7" style="27" hidden="1" customWidth="1" outlineLevel="1"/>
    <col min="11" max="11" width="21.42578125" style="27" hidden="1" customWidth="1" outlineLevel="1"/>
    <col min="12" max="12" width="8" style="27" hidden="1" customWidth="1" outlineLevel="1"/>
    <col min="13" max="13" width="10" style="27" hidden="1" customWidth="1" outlineLevel="1"/>
    <col min="14" max="14" width="6" style="27" hidden="1" customWidth="1" outlineLevel="1"/>
    <col min="15" max="15" width="8" style="27" hidden="1" customWidth="1" outlineLevel="1"/>
    <col min="16" max="16" width="7" style="27" hidden="1" customWidth="1" outlineLevel="1"/>
    <col min="17" max="17" width="6" style="27" hidden="1" customWidth="1" outlineLevel="1"/>
    <col min="18" max="18" width="7" style="27" hidden="1" customWidth="1" outlineLevel="1"/>
    <col min="19" max="19" width="5" style="27" hidden="1" customWidth="1" outlineLevel="1"/>
    <col min="20" max="24" width="8" style="27" hidden="1" customWidth="1" outlineLevel="1"/>
    <col min="25" max="27" width="7" style="27" hidden="1" customWidth="1" outlineLevel="1"/>
    <col min="28" max="30" width="8" style="27" hidden="1" customWidth="1" outlineLevel="1"/>
    <col min="31" max="31" width="9" style="27" bestFit="1" customWidth="1" collapsed="1"/>
    <col min="32" max="32" width="9" style="27" bestFit="1" customWidth="1"/>
    <col min="33" max="33" width="7" style="27" bestFit="1" customWidth="1"/>
    <col min="34" max="34" width="15.140625" style="27" hidden="1" customWidth="1" outlineLevel="1"/>
    <col min="35" max="35" width="7.85546875" style="27" customWidth="1" collapsed="1"/>
    <col min="36" max="36" width="9.140625" style="27"/>
    <col min="37" max="38" width="11" style="27" bestFit="1" customWidth="1"/>
    <col min="39" max="39" width="12.42578125" style="27" bestFit="1" customWidth="1"/>
    <col min="40" max="40" width="16.5703125" style="27" bestFit="1" customWidth="1"/>
    <col min="41" max="41" width="12" style="27" bestFit="1" customWidth="1"/>
    <col min="42" max="42" width="68" style="27" bestFit="1" customWidth="1"/>
    <col min="43" max="43" width="12" style="27" bestFit="1" customWidth="1"/>
    <col min="44" max="44" width="9.140625" style="27"/>
    <col min="45" max="45" width="11" style="27" bestFit="1" customWidth="1"/>
    <col min="46" max="16384" width="9.140625" style="27"/>
  </cols>
  <sheetData>
    <row r="1" spans="1:41" x14ac:dyDescent="0.2">
      <c r="A1" s="82" t="str">
        <f>VLOOKUP(ReferenceBondDescription,BtpCurve!B2:C56,2,FALSE)</f>
        <v>IT0004923998</v>
      </c>
      <c r="B1" s="82" t="s">
        <v>26</v>
      </c>
      <c r="C1" s="82"/>
      <c r="E1" s="27" t="s">
        <v>111</v>
      </c>
      <c r="F1" s="27">
        <f>_xll.qlBondAccruedAmount(ReferenceBond)</f>
        <v>1.1100543478260949</v>
      </c>
      <c r="V1" s="56">
        <f>SUM(V4:V67)-ReferenceBondAccruedAmount</f>
        <v>143.24500000006861</v>
      </c>
      <c r="W1" s="57"/>
      <c r="X1" s="59">
        <f>SUM(X4:X67)-ReferenceBondAccruedAmount</f>
        <v>143.24500000006861</v>
      </c>
      <c r="Y1" s="64"/>
      <c r="Z1" s="57"/>
      <c r="AA1" s="65"/>
      <c r="AB1" s="56">
        <f>SUMPRODUCT(_xll.ohPack(AB4:AB67),_xll.ohPack($C$4:$C$67))/100-ReferenceBondAccruedAmount</f>
        <v>143.45324200251912</v>
      </c>
      <c r="AC1" s="57"/>
      <c r="AD1" s="59">
        <f>SUMPRODUCT(_xll.ohPack(AD4:AD67),_xll.ohPack($C$4:$C$67))/100-ReferenceBondAccruedAmount</f>
        <v>143.45324200251912</v>
      </c>
      <c r="AE1" s="56">
        <f>SUM(_xll.ohPack(AE4:AE67))-ReferenceBondAccruedAmount</f>
        <v>143.45324200251912</v>
      </c>
      <c r="AF1" s="58">
        <f>SUMPRODUCT(_xll.ohPack(AF4:AF67),_xll.ohPack($C$4:$C$67))/100-ReferenceBondAccruedAmount</f>
        <v>143.45324200251912</v>
      </c>
      <c r="AG1" s="65"/>
      <c r="AI1" s="82" t="s">
        <v>109</v>
      </c>
      <c r="AK1" s="27" t="s">
        <v>109</v>
      </c>
      <c r="AL1" s="27" t="s">
        <v>0</v>
      </c>
      <c r="AM1" s="27" t="s">
        <v>1</v>
      </c>
    </row>
    <row r="2" spans="1:41" x14ac:dyDescent="0.2">
      <c r="A2" s="27" t="s">
        <v>548</v>
      </c>
      <c r="B2" s="89">
        <f>_xll.qlQuoteValue(ReferenceBondISIN&amp;"_Quote",PriceTrigger)</f>
        <v>143.245</v>
      </c>
      <c r="C2" s="89"/>
      <c r="V2" s="60">
        <f>V1-ReferenceBondPrice</f>
        <v>6.8610006564995274E-11</v>
      </c>
      <c r="W2" s="41"/>
      <c r="X2" s="61">
        <f>X1-ReferenceBondPrice</f>
        <v>6.8610006564995274E-11</v>
      </c>
      <c r="Y2" s="66"/>
      <c r="Z2" s="41"/>
      <c r="AA2" s="43"/>
      <c r="AB2" s="60">
        <f>AB1-ReferenceBondPrice</f>
        <v>0.20824200251911407</v>
      </c>
      <c r="AC2" s="41"/>
      <c r="AD2" s="61">
        <f>AD1-ReferenceBondPrice</f>
        <v>0.20824200251911407</v>
      </c>
      <c r="AE2" s="81">
        <f>AE1-ReferenceBondPrice</f>
        <v>0.20824200251911407</v>
      </c>
      <c r="AF2" s="71">
        <f>AF1-ReferenceBondPrice</f>
        <v>0.20824200251911407</v>
      </c>
      <c r="AG2" s="43"/>
    </row>
    <row r="3" spans="1:41" ht="33.75" x14ac:dyDescent="0.2">
      <c r="A3" s="29" t="s">
        <v>27</v>
      </c>
      <c r="B3" s="30" t="str">
        <f t="array" ref="B3:U67">_xll.qlBondFlowAnalysis(ReferenceBondISIN,BondSettlementDate)</f>
        <v>Payment Date</v>
      </c>
      <c r="C3" s="30" t="str">
        <v>Amount</v>
      </c>
      <c r="D3" s="29" t="str">
        <v>Nominal</v>
      </c>
      <c r="E3" s="30" t="str">
        <v>Accrual Start Date</v>
      </c>
      <c r="F3" s="30" t="str">
        <v>Accrual End Date</v>
      </c>
      <c r="G3" s="30" t="str">
        <v>Accrual Days</v>
      </c>
      <c r="H3" s="30" t="str">
        <v>Index</v>
      </c>
      <c r="I3" s="30" t="str">
        <v>Fixing Days</v>
      </c>
      <c r="J3" s="30" t="str">
        <v>Fixing Dates</v>
      </c>
      <c r="K3" s="30" t="str">
        <v>Day Counter</v>
      </c>
      <c r="L3" s="30" t="str">
        <v>Accrual Period</v>
      </c>
      <c r="M3" s="30" t="str">
        <v>Effective Rate</v>
      </c>
      <c r="N3" s="30" t="str">
        <v>Floor</v>
      </c>
      <c r="O3" s="30" t="str">
        <v>Gearing</v>
      </c>
      <c r="P3" s="30" t="str">
        <v>Index Fixing</v>
      </c>
      <c r="Q3" s="30" t="str">
        <v>Conv. Adj.</v>
      </c>
      <c r="R3" s="30" t="str">
        <v>Spread</v>
      </c>
      <c r="S3" s="30" t="str">
        <v>Cap</v>
      </c>
      <c r="T3" s="30" t="str">
        <v>Call Digital Payoff</v>
      </c>
      <c r="U3" s="30" t="str">
        <v>Put Digital Payoff</v>
      </c>
      <c r="V3" s="29" t="s">
        <v>95</v>
      </c>
      <c r="W3" s="30" t="s">
        <v>7</v>
      </c>
      <c r="X3" s="31" t="s">
        <v>96</v>
      </c>
      <c r="Y3" s="29" t="s">
        <v>6</v>
      </c>
      <c r="Z3" s="30" t="s">
        <v>7</v>
      </c>
      <c r="AA3" s="31" t="s">
        <v>10</v>
      </c>
      <c r="AB3" s="29" t="s">
        <v>8</v>
      </c>
      <c r="AC3" s="30" t="s">
        <v>7</v>
      </c>
      <c r="AD3" s="31" t="s">
        <v>9</v>
      </c>
      <c r="AE3" s="29" t="s">
        <v>95</v>
      </c>
      <c r="AF3" s="30" t="s">
        <v>8</v>
      </c>
      <c r="AG3" s="31" t="s">
        <v>6</v>
      </c>
      <c r="AH3" s="29" t="s">
        <v>11</v>
      </c>
    </row>
    <row r="4" spans="1:41" ht="12.75" x14ac:dyDescent="0.2">
      <c r="A4" s="42">
        <f>_xll.qlYieldTSDiscount(BtpCurve,B4,,PriceTrigger)</f>
        <v>1.0008941423281466</v>
      </c>
      <c r="B4" s="32">
        <v>42614</v>
      </c>
      <c r="C4" s="33">
        <v>2.3749999999999938</v>
      </c>
      <c r="D4" s="54">
        <v>100</v>
      </c>
      <c r="E4" s="32">
        <v>42430</v>
      </c>
      <c r="F4" s="32">
        <v>42614</v>
      </c>
      <c r="G4" s="34">
        <v>184</v>
      </c>
      <c r="H4" s="35" t="str">
        <v>#N/A</v>
      </c>
      <c r="I4" s="34" t="str">
        <v>#N/A</v>
      </c>
      <c r="J4" s="32" t="str">
        <v>#N/A</v>
      </c>
      <c r="K4" s="34" t="str">
        <v>Actual/Actual (ISMA)</v>
      </c>
      <c r="L4" s="36">
        <v>0.5</v>
      </c>
      <c r="M4" s="37">
        <v>4.7500000000000001E-2</v>
      </c>
      <c r="N4" s="37" t="str">
        <v>#N/A</v>
      </c>
      <c r="O4" s="38" t="str">
        <v>#N/A</v>
      </c>
      <c r="P4" s="37" t="str">
        <v>#N/A</v>
      </c>
      <c r="Q4" s="37" t="str">
        <v>#N/A</v>
      </c>
      <c r="R4" s="37" t="str">
        <v>#N/A</v>
      </c>
      <c r="S4" s="37" t="str">
        <v>#N/A</v>
      </c>
      <c r="T4" s="37" t="str">
        <v>#N/A</v>
      </c>
      <c r="U4" s="35" t="str">
        <v>#N/A</v>
      </c>
      <c r="V4" s="60">
        <f>IF(ISERROR(A4),0,A4*C4)</f>
        <v>2.3771235880293418</v>
      </c>
      <c r="W4" s="39"/>
      <c r="X4" s="61">
        <f t="shared" ref="X4:X67" si="0">IF(ISBLANK(W4),V4,W4)</f>
        <v>2.3771235880293418</v>
      </c>
      <c r="Y4" s="67">
        <f>IF(ISERROR(A4),NA(),_xll.qlBondYieldFromCleanPrice(AH4,X4/C4*100,YieldDayCounter,YieldCompounding,YieldFrequency))</f>
        <v>-3.3665869862006047E-3</v>
      </c>
      <c r="Z4" s="40"/>
      <c r="AA4" s="68">
        <f>IF(ISBLANK(Z4),Y4,Z4)</f>
        <v>-3.3665869862006047E-3</v>
      </c>
      <c r="AB4" s="60">
        <f>IF(ISERROR(A4),IF(ISNUMBER(C4),0,NA()),_xll.qlBondCleanPriceFromYield(AH4,AA4,YieldDayCounter,YieldCompounding,YieldFrequency))</f>
        <v>100.08941423187274</v>
      </c>
      <c r="AC4" s="39"/>
      <c r="AD4" s="61">
        <f t="shared" ref="AD4:AD67" si="1">IF(ISBLANK(AC4),AB4,AC4)</f>
        <v>100.08941423187274</v>
      </c>
      <c r="AE4" s="60">
        <f>IF(ISERROR(A4),0,AF4/100*C4)</f>
        <v>2.3771235880069712</v>
      </c>
      <c r="AF4" s="71">
        <f>IF(ISERROR(A4),IF(ISNUMBER(C4),0,NA()),AD4)</f>
        <v>100.08941423187274</v>
      </c>
      <c r="AG4" s="68">
        <f>IF(ISERROR(A4),NA(),_xll.qlBondYieldFromCleanPrice(AH4,AF4,YieldDayCounter,YieldCompounding,YieldFrequency))</f>
        <v>-3.3665869508111381E-3</v>
      </c>
      <c r="AH4" s="72" t="str">
        <f>_xll.qlZeroCouponBond(,,"EUR",3,"target",$C4,$B4,"f",100)</f>
        <v>obj_00aa5#0002</v>
      </c>
      <c r="AJ4" s="26"/>
      <c r="AK4" s="26"/>
      <c r="AL4" s="100"/>
      <c r="AM4" s="99"/>
      <c r="AN4" s="99"/>
      <c r="AO4" s="99"/>
    </row>
    <row r="5" spans="1:41" ht="12.75" x14ac:dyDescent="0.2">
      <c r="A5" s="42">
        <f>_xll.qlYieldTSDiscount(BtpCurve,B5,,PriceTrigger)</f>
        <v>1.0014125147867892</v>
      </c>
      <c r="B5" s="32">
        <v>42795</v>
      </c>
      <c r="C5" s="33">
        <v>2.3749999999999938</v>
      </c>
      <c r="D5" s="54">
        <v>100</v>
      </c>
      <c r="E5" s="32">
        <v>42614</v>
      </c>
      <c r="F5" s="32">
        <v>42795</v>
      </c>
      <c r="G5" s="34">
        <v>181</v>
      </c>
      <c r="H5" s="35" t="str">
        <v>#N/A</v>
      </c>
      <c r="I5" s="34" t="str">
        <v>#N/A</v>
      </c>
      <c r="J5" s="32" t="str">
        <v>#N/A</v>
      </c>
      <c r="K5" s="34" t="str">
        <v>Actual/Actual (ISMA)</v>
      </c>
      <c r="L5" s="36">
        <v>0.5</v>
      </c>
      <c r="M5" s="37">
        <v>4.7500000000000001E-2</v>
      </c>
      <c r="N5" s="37" t="str">
        <v>#N/A</v>
      </c>
      <c r="O5" s="38" t="str">
        <v>#N/A</v>
      </c>
      <c r="P5" s="37" t="str">
        <v>#N/A</v>
      </c>
      <c r="Q5" s="37" t="str">
        <v>#N/A</v>
      </c>
      <c r="R5" s="37" t="str">
        <v>#N/A</v>
      </c>
      <c r="S5" s="37" t="str">
        <v>#N/A</v>
      </c>
      <c r="T5" s="37" t="str">
        <v>#N/A</v>
      </c>
      <c r="U5" s="35" t="str">
        <v>#N/A</v>
      </c>
      <c r="V5" s="60">
        <f t="shared" ref="V5:V67" si="2">IF(ISERROR(A5),0,A5*C5)</f>
        <v>2.3783547226186181</v>
      </c>
      <c r="W5" s="39"/>
      <c r="X5" s="61">
        <f t="shared" si="0"/>
        <v>2.3783547226186181</v>
      </c>
      <c r="Y5" s="67">
        <f>IF(ISERROR(A5),NA(),_xll.qlBondYieldFromCleanPrice(AH5,X5/C5*100,YieldDayCounter,YieldCompounding,YieldFrequency))</f>
        <v>-1.8515359731089967E-3</v>
      </c>
      <c r="Z5" s="40"/>
      <c r="AA5" s="68">
        <f t="shared" ref="AA5:AA67" si="3">IF(ISBLANK(Z5),Y5,Z5)</f>
        <v>-1.8515359731089967E-3</v>
      </c>
      <c r="AB5" s="60">
        <f>IF(ISERROR(A5),IF(ISNUMBER(C5),0,NA()),_xll.qlBondCleanPriceFromYield(AH5,AA5,YieldDayCounter,YieldCompounding,YieldFrequency))</f>
        <v>100.14125147627874</v>
      </c>
      <c r="AC5" s="39"/>
      <c r="AD5" s="61">
        <f t="shared" si="1"/>
        <v>100.14125147627874</v>
      </c>
      <c r="AE5" s="60">
        <f t="shared" ref="AE5:AE36" si="4">AF5/100*C5</f>
        <v>2.378354722561614</v>
      </c>
      <c r="AF5" s="71">
        <f t="shared" ref="AF5:AF67" si="5">IF(ISERROR(A5),IF(ISNUMBER(C5),0,NA()),AD5)</f>
        <v>100.14125147627874</v>
      </c>
      <c r="AG5" s="68">
        <f>IF(ISERROR(A5),NA(),_xll.qlBondYieldFromCleanPrice(AH5,AF5,YieldDayCounter,YieldCompounding,YieldFrequency))</f>
        <v>-1.8515359416978079E-3</v>
      </c>
      <c r="AH5" s="72" t="str">
        <f>_xll.qlZeroCouponBond(,,"EUR",3,"target",$C5,$B5,"f",100)</f>
        <v>obj_00a8d#0002</v>
      </c>
      <c r="AJ5" s="26"/>
      <c r="AK5" s="26"/>
      <c r="AL5" s="100"/>
      <c r="AM5" s="99"/>
      <c r="AN5" s="99"/>
      <c r="AO5" s="99"/>
    </row>
    <row r="6" spans="1:41" ht="12.75" x14ac:dyDescent="0.2">
      <c r="A6" s="42">
        <f>_xll.qlYieldTSDiscount(BtpCurve,B6,,PriceTrigger)</f>
        <v>1.0011884104336974</v>
      </c>
      <c r="B6" s="32">
        <v>42979</v>
      </c>
      <c r="C6" s="33">
        <v>2.3749999999999938</v>
      </c>
      <c r="D6" s="54">
        <v>100</v>
      </c>
      <c r="E6" s="32">
        <v>42795</v>
      </c>
      <c r="F6" s="32">
        <v>42979</v>
      </c>
      <c r="G6" s="34">
        <v>184</v>
      </c>
      <c r="H6" s="35" t="str">
        <v>#N/A</v>
      </c>
      <c r="I6" s="34" t="str">
        <v>#N/A</v>
      </c>
      <c r="J6" s="32" t="str">
        <v>#N/A</v>
      </c>
      <c r="K6" s="34" t="str">
        <v>Actual/Actual (ISMA)</v>
      </c>
      <c r="L6" s="36">
        <v>0.5</v>
      </c>
      <c r="M6" s="37">
        <v>4.7500000000000001E-2</v>
      </c>
      <c r="N6" s="37" t="str">
        <v>#N/A</v>
      </c>
      <c r="O6" s="38" t="str">
        <v>#N/A</v>
      </c>
      <c r="P6" s="37" t="str">
        <v>#N/A</v>
      </c>
      <c r="Q6" s="37" t="str">
        <v>#N/A</v>
      </c>
      <c r="R6" s="37" t="str">
        <v>#N/A</v>
      </c>
      <c r="S6" s="37" t="str">
        <v>#N/A</v>
      </c>
      <c r="T6" s="37" t="str">
        <v>#N/A</v>
      </c>
      <c r="U6" s="35" t="str">
        <v>#N/A</v>
      </c>
      <c r="V6" s="60">
        <f t="shared" si="2"/>
        <v>2.3778224747800252</v>
      </c>
      <c r="W6" s="39"/>
      <c r="X6" s="61">
        <f t="shared" si="0"/>
        <v>2.3778224747800252</v>
      </c>
      <c r="Y6" s="67">
        <f>IF(ISERROR(A6),NA(),_xll.qlBondYieldFromCleanPrice(AH6,X6/C6*100,YieldDayCounter,YieldCompounding,YieldFrequency))</f>
        <v>-9.3843618809381533E-4</v>
      </c>
      <c r="Z6" s="40"/>
      <c r="AA6" s="68">
        <f t="shared" si="3"/>
        <v>-9.3843618809381533E-4</v>
      </c>
      <c r="AB6" s="60">
        <f>IF(ISERROR(A6),IF(ISNUMBER(C6),0,NA()),_xll.qlBondCleanPriceFromYield(AH6,AA6,YieldDayCounter,YieldCompounding,YieldFrequency))</f>
        <v>100.11884103987228</v>
      </c>
      <c r="AC6" s="39"/>
      <c r="AD6" s="61">
        <f t="shared" si="1"/>
        <v>100.11884103987228</v>
      </c>
      <c r="AE6" s="60">
        <f t="shared" si="4"/>
        <v>2.3778224746969605</v>
      </c>
      <c r="AF6" s="71">
        <f t="shared" si="5"/>
        <v>100.11884103987228</v>
      </c>
      <c r="AG6" s="68">
        <f>IF(ISERROR(A6),NA(),_xll.qlBondYieldFromCleanPrice(AH6,AF6,YieldDayCounter,YieldCompounding,YieldFrequency))</f>
        <v>-9.3843616050513811E-4</v>
      </c>
      <c r="AH6" s="72" t="str">
        <f>_xll.qlZeroCouponBond(,,"EUR",3,"target",$C6,$B6,"f",100)</f>
        <v>obj_00aa3#0002</v>
      </c>
      <c r="AJ6" s="26"/>
      <c r="AK6" s="26"/>
      <c r="AL6" s="100"/>
      <c r="AM6" s="99"/>
      <c r="AN6" s="99"/>
      <c r="AO6" s="99"/>
    </row>
    <row r="7" spans="1:41" ht="12.75" x14ac:dyDescent="0.2">
      <c r="A7" s="42">
        <f>_xll.qlYieldTSDiscount(BtpCurve,B7,,PriceTrigger)</f>
        <v>1.0005218359464609</v>
      </c>
      <c r="B7" s="32">
        <v>43160</v>
      </c>
      <c r="C7" s="33">
        <v>2.3749999999999938</v>
      </c>
      <c r="D7" s="54">
        <v>100</v>
      </c>
      <c r="E7" s="32">
        <v>42979</v>
      </c>
      <c r="F7" s="32">
        <v>43160</v>
      </c>
      <c r="G7" s="34">
        <v>181</v>
      </c>
      <c r="H7" s="35" t="str">
        <v>#N/A</v>
      </c>
      <c r="I7" s="34" t="str">
        <v>#N/A</v>
      </c>
      <c r="J7" s="32" t="str">
        <v>#N/A</v>
      </c>
      <c r="K7" s="34" t="str">
        <v>Actual/Actual (ISMA)</v>
      </c>
      <c r="L7" s="36">
        <v>0.5</v>
      </c>
      <c r="M7" s="37">
        <v>4.7500000000000001E-2</v>
      </c>
      <c r="N7" s="37" t="str">
        <v>#N/A</v>
      </c>
      <c r="O7" s="38" t="str">
        <v>#N/A</v>
      </c>
      <c r="P7" s="37" t="str">
        <v>#N/A</v>
      </c>
      <c r="Q7" s="37" t="str">
        <v>#N/A</v>
      </c>
      <c r="R7" s="37" t="str">
        <v>#N/A</v>
      </c>
      <c r="S7" s="37" t="str">
        <v>#N/A</v>
      </c>
      <c r="T7" s="37" t="str">
        <v>#N/A</v>
      </c>
      <c r="U7" s="35" t="str">
        <v>#N/A</v>
      </c>
      <c r="V7" s="60">
        <f t="shared" si="2"/>
        <v>2.3762393603728387</v>
      </c>
      <c r="W7" s="39"/>
      <c r="X7" s="61">
        <f t="shared" si="0"/>
        <v>2.3762393603728387</v>
      </c>
      <c r="Y7" s="67">
        <f>IF(ISERROR(A7),NA(),_xll.qlBondYieldFromCleanPrice(AH7,X7/C7*100,YieldDayCounter,YieldCompounding,YieldFrequency))</f>
        <v>-2.9609989443726603E-4</v>
      </c>
      <c r="Z7" s="40"/>
      <c r="AA7" s="68">
        <f t="shared" si="3"/>
        <v>-2.9609989443726603E-4</v>
      </c>
      <c r="AB7" s="60">
        <f>IF(ISERROR(A7),IF(ISNUMBER(C7),0,NA()),_xll.qlBondCleanPriceFromYield(AH7,AA7,YieldDayCounter,YieldCompounding,YieldFrequency))</f>
        <v>100.05218359042078</v>
      </c>
      <c r="AC7" s="39"/>
      <c r="AD7" s="61">
        <f t="shared" si="1"/>
        <v>100.05218359042078</v>
      </c>
      <c r="AE7" s="60">
        <f t="shared" si="4"/>
        <v>2.3762393602724874</v>
      </c>
      <c r="AF7" s="71">
        <f t="shared" si="5"/>
        <v>100.05218359042078</v>
      </c>
      <c r="AG7" s="68">
        <f>IF(ISERROR(A7),NA(),_xll.qlBondYieldFromCleanPrice(AH7,AF7,YieldDayCounter,YieldCompounding,YieldFrequency))</f>
        <v>-2.9609987047188552E-4</v>
      </c>
      <c r="AH7" s="72" t="str">
        <f>_xll.qlZeroCouponBond(,,"EUR",3,"target",$C7,$B7,"f",100)</f>
        <v>obj_00a87#0002</v>
      </c>
      <c r="AJ7" s="26"/>
      <c r="AK7" s="26"/>
      <c r="AL7" s="100"/>
      <c r="AM7" s="99"/>
      <c r="AN7" s="99"/>
      <c r="AO7" s="99"/>
    </row>
    <row r="8" spans="1:41" ht="12.75" x14ac:dyDescent="0.2">
      <c r="A8" s="42">
        <f>_xll.qlYieldTSDiscount(BtpCurve,B8,,PriceTrigger)</f>
        <v>1.0001473878616678</v>
      </c>
      <c r="B8" s="32">
        <v>43346</v>
      </c>
      <c r="C8" s="33">
        <v>2.3749999999999938</v>
      </c>
      <c r="D8" s="54">
        <v>100</v>
      </c>
      <c r="E8" s="32">
        <v>43160</v>
      </c>
      <c r="F8" s="32">
        <v>43344</v>
      </c>
      <c r="G8" s="34">
        <v>184</v>
      </c>
      <c r="H8" s="35" t="str">
        <v>#N/A</v>
      </c>
      <c r="I8" s="34" t="str">
        <v>#N/A</v>
      </c>
      <c r="J8" s="32" t="str">
        <v>#N/A</v>
      </c>
      <c r="K8" s="34" t="str">
        <v>Actual/Actual (ISMA)</v>
      </c>
      <c r="L8" s="36">
        <v>0.5</v>
      </c>
      <c r="M8" s="37">
        <v>4.7500000000000001E-2</v>
      </c>
      <c r="N8" s="37" t="str">
        <v>#N/A</v>
      </c>
      <c r="O8" s="38" t="str">
        <v>#N/A</v>
      </c>
      <c r="P8" s="37" t="str">
        <v>#N/A</v>
      </c>
      <c r="Q8" s="37" t="str">
        <v>#N/A</v>
      </c>
      <c r="R8" s="37" t="str">
        <v>#N/A</v>
      </c>
      <c r="S8" s="37" t="str">
        <v>#N/A</v>
      </c>
      <c r="T8" s="37" t="str">
        <v>#N/A</v>
      </c>
      <c r="U8" s="35" t="str">
        <v>#N/A</v>
      </c>
      <c r="V8" s="60">
        <f t="shared" si="2"/>
        <v>2.3753500461714547</v>
      </c>
      <c r="W8" s="39"/>
      <c r="X8" s="61">
        <f t="shared" si="0"/>
        <v>2.3753500461714547</v>
      </c>
      <c r="Y8" s="67">
        <f>IF(ISERROR(A8),NA(),_xll.qlBondYieldFromCleanPrice(AH8,X8/C8*100,YieldDayCounter,YieldCompounding,YieldFrequency))</f>
        <v>-6.4907596950509349E-5</v>
      </c>
      <c r="Z8" s="40"/>
      <c r="AA8" s="68">
        <f t="shared" si="3"/>
        <v>-6.4907596950509349E-5</v>
      </c>
      <c r="AB8" s="60">
        <f>IF(ISERROR(A8),IF(ISNUMBER(C8),0,NA()),_xll.qlBondCleanPriceFromYield(AH8,AA8,YieldDayCounter,YieldCompounding,YieldFrequency))</f>
        <v>100.01473878103566</v>
      </c>
      <c r="AC8" s="39"/>
      <c r="AD8" s="61">
        <f t="shared" si="1"/>
        <v>100.01473878103566</v>
      </c>
      <c r="AE8" s="60">
        <f t="shared" si="4"/>
        <v>2.3753500460495909</v>
      </c>
      <c r="AF8" s="71">
        <f t="shared" si="5"/>
        <v>100.01473878103566</v>
      </c>
      <c r="AG8" s="68">
        <f>IF(ISERROR(A8),NA(),_xll.qlBondYieldFromCleanPrice(AH8,AF8,YieldDayCounter,YieldCompounding,YieldFrequency))</f>
        <v>-6.4907574356222068E-5</v>
      </c>
      <c r="AH8" s="72" t="str">
        <f>_xll.qlZeroCouponBond(,,"EUR",3,"target",$C8,$B8,"f",100)</f>
        <v>obj_00a8b#0002</v>
      </c>
      <c r="AJ8" s="26"/>
      <c r="AK8" s="26"/>
      <c r="AL8" s="100"/>
      <c r="AM8" s="99"/>
      <c r="AN8" s="99"/>
      <c r="AO8" s="99"/>
    </row>
    <row r="9" spans="1:41" ht="12.75" x14ac:dyDescent="0.2">
      <c r="A9" s="42">
        <f>_xll.qlYieldTSDiscount(BtpCurve,B9,,PriceTrigger)</f>
        <v>0.99899521544491876</v>
      </c>
      <c r="B9" s="32">
        <v>43525</v>
      </c>
      <c r="C9" s="33">
        <v>2.3749999999999938</v>
      </c>
      <c r="D9" s="54">
        <v>100</v>
      </c>
      <c r="E9" s="32">
        <v>43344</v>
      </c>
      <c r="F9" s="32">
        <v>43525</v>
      </c>
      <c r="G9" s="34">
        <v>181</v>
      </c>
      <c r="H9" s="35" t="str">
        <v>#N/A</v>
      </c>
      <c r="I9" s="34" t="str">
        <v>#N/A</v>
      </c>
      <c r="J9" s="32" t="str">
        <v>#N/A</v>
      </c>
      <c r="K9" s="34" t="str">
        <v>Actual/Actual (ISMA)</v>
      </c>
      <c r="L9" s="36">
        <v>0.5</v>
      </c>
      <c r="M9" s="37">
        <v>4.7500000000000001E-2</v>
      </c>
      <c r="N9" s="37" t="str">
        <v>#N/A</v>
      </c>
      <c r="O9" s="38" t="str">
        <v>#N/A</v>
      </c>
      <c r="P9" s="37" t="str">
        <v>#N/A</v>
      </c>
      <c r="Q9" s="37" t="str">
        <v>#N/A</v>
      </c>
      <c r="R9" s="37" t="str">
        <v>#N/A</v>
      </c>
      <c r="S9" s="37" t="str">
        <v>#N/A</v>
      </c>
      <c r="T9" s="37" t="str">
        <v>#N/A</v>
      </c>
      <c r="U9" s="35" t="str">
        <v>#N/A</v>
      </c>
      <c r="V9" s="60">
        <f t="shared" si="2"/>
        <v>2.3726136366816757</v>
      </c>
      <c r="W9" s="39"/>
      <c r="X9" s="61">
        <f t="shared" si="0"/>
        <v>2.3726136366816757</v>
      </c>
      <c r="Y9" s="67">
        <f>IF(ISERROR(A9),NA(),_xll.qlBondYieldFromCleanPrice(AH9,X9/C9*100,YieldDayCounter,YieldCompounding,YieldFrequency))</f>
        <v>3.6408483671314281E-4</v>
      </c>
      <c r="Z9" s="40"/>
      <c r="AA9" s="68">
        <f t="shared" si="3"/>
        <v>3.6408483671314281E-4</v>
      </c>
      <c r="AB9" s="60">
        <f>IF(ISERROR(A9),IF(ISNUMBER(C9),0,NA()),_xll.qlBondCleanPriceFromYield(AH9,AA9,YieldDayCounter,YieldCompounding,YieldFrequency))</f>
        <v>99.899521548366366</v>
      </c>
      <c r="AC9" s="39"/>
      <c r="AD9" s="61">
        <f t="shared" si="1"/>
        <v>99.899521548366366</v>
      </c>
      <c r="AE9" s="60">
        <f t="shared" si="4"/>
        <v>2.372613636773695</v>
      </c>
      <c r="AF9" s="71">
        <f t="shared" si="5"/>
        <v>99.899521548366366</v>
      </c>
      <c r="AG9" s="68">
        <f>IF(ISERROR(A9),NA(),_xll.qlBondYieldFromCleanPrice(AH9,AF9,YieldDayCounter,YieldCompounding,YieldFrequency))</f>
        <v>3.6408482266424454E-4</v>
      </c>
      <c r="AH9" s="72" t="str">
        <f>_xll.qlZeroCouponBond(,,"EUR",3,"target",$C9,$B9,"f",100)</f>
        <v>obj_00a9b#0002</v>
      </c>
      <c r="AJ9" s="26"/>
      <c r="AK9" s="26"/>
      <c r="AL9" s="100"/>
      <c r="AM9" s="99"/>
      <c r="AN9" s="99"/>
      <c r="AO9" s="99"/>
    </row>
    <row r="10" spans="1:41" ht="12.75" x14ac:dyDescent="0.2">
      <c r="A10" s="42">
        <f>_xll.qlYieldTSDiscount(BtpCurve,B10,,PriceTrigger)</f>
        <v>0.9953634523357231</v>
      </c>
      <c r="B10" s="32">
        <v>43710</v>
      </c>
      <c r="C10" s="33">
        <v>2.3749999999999938</v>
      </c>
      <c r="D10" s="54">
        <v>100</v>
      </c>
      <c r="E10" s="32">
        <v>43525</v>
      </c>
      <c r="F10" s="32">
        <v>43709</v>
      </c>
      <c r="G10" s="34">
        <v>184</v>
      </c>
      <c r="H10" s="35" t="str">
        <v>#N/A</v>
      </c>
      <c r="I10" s="34" t="str">
        <v>#N/A</v>
      </c>
      <c r="J10" s="32" t="str">
        <v>#N/A</v>
      </c>
      <c r="K10" s="34" t="str">
        <v>Actual/Actual (ISMA)</v>
      </c>
      <c r="L10" s="36">
        <v>0.5</v>
      </c>
      <c r="M10" s="37">
        <v>4.7500000000000001E-2</v>
      </c>
      <c r="N10" s="37" t="str">
        <v>#N/A</v>
      </c>
      <c r="O10" s="38" t="str">
        <v>#N/A</v>
      </c>
      <c r="P10" s="37" t="str">
        <v>#N/A</v>
      </c>
      <c r="Q10" s="37" t="str">
        <v>#N/A</v>
      </c>
      <c r="R10" s="37" t="str">
        <v>#N/A</v>
      </c>
      <c r="S10" s="37" t="str">
        <v>#N/A</v>
      </c>
      <c r="T10" s="37" t="str">
        <v>#N/A</v>
      </c>
      <c r="U10" s="35" t="str">
        <v>#N/A</v>
      </c>
      <c r="V10" s="60">
        <f t="shared" si="2"/>
        <v>2.3639881992973364</v>
      </c>
      <c r="W10" s="39"/>
      <c r="X10" s="61">
        <f t="shared" si="0"/>
        <v>2.3639881992973364</v>
      </c>
      <c r="Y10" s="67">
        <f>IF(ISERROR(A10),NA(),_xll.qlBondYieldFromCleanPrice(AH10,X10/C10*100,YieldDayCounter,YieldCompounding,YieldFrequency))</f>
        <v>1.4231879373913267E-3</v>
      </c>
      <c r="Z10" s="40"/>
      <c r="AA10" s="68">
        <f t="shared" si="3"/>
        <v>1.4231879373913267E-3</v>
      </c>
      <c r="AB10" s="60">
        <f>IF(ISERROR(A10),IF(ISNUMBER(C10),0,NA()),_xll.qlBondCleanPriceFromYield(AH10,AA10,YieldDayCounter,YieldCompounding,YieldFrequency))</f>
        <v>99.536345236364113</v>
      </c>
      <c r="AC10" s="39"/>
      <c r="AD10" s="61">
        <f t="shared" si="1"/>
        <v>99.536345236364113</v>
      </c>
      <c r="AE10" s="60">
        <f t="shared" si="4"/>
        <v>2.3639881993636416</v>
      </c>
      <c r="AF10" s="71">
        <f t="shared" si="5"/>
        <v>99.536345236364113</v>
      </c>
      <c r="AG10" s="68">
        <f>IF(ISERROR(A10),NA(),_xll.qlBondYieldFromCleanPrice(AH10,AF10,YieldDayCounter,YieldCompounding,YieldFrequency))</f>
        <v>1.4231879287957905E-3</v>
      </c>
      <c r="AH10" s="72" t="str">
        <f>_xll.qlZeroCouponBond(,,"EUR",3,"target",$C10,$B10,"f",100)</f>
        <v>obj_00aa7#0002</v>
      </c>
      <c r="AJ10" s="26"/>
      <c r="AK10" s="26"/>
      <c r="AL10" s="100"/>
      <c r="AM10" s="99"/>
      <c r="AN10" s="99"/>
      <c r="AO10" s="99"/>
    </row>
    <row r="11" spans="1:41" ht="12.75" x14ac:dyDescent="0.2">
      <c r="A11" s="42">
        <f>_xll.qlYieldTSDiscount(BtpCurve,B11,,PriceTrigger)</f>
        <v>0.99242443313167339</v>
      </c>
      <c r="B11" s="32">
        <v>43892</v>
      </c>
      <c r="C11" s="33">
        <v>2.3749999999999938</v>
      </c>
      <c r="D11" s="54">
        <v>100</v>
      </c>
      <c r="E11" s="32">
        <v>43709</v>
      </c>
      <c r="F11" s="32">
        <v>43891</v>
      </c>
      <c r="G11" s="34">
        <v>182</v>
      </c>
      <c r="H11" s="35" t="str">
        <v>#N/A</v>
      </c>
      <c r="I11" s="34" t="str">
        <v>#N/A</v>
      </c>
      <c r="J11" s="32" t="str">
        <v>#N/A</v>
      </c>
      <c r="K11" s="34" t="str">
        <v>Actual/Actual (ISMA)</v>
      </c>
      <c r="L11" s="36">
        <v>0.5</v>
      </c>
      <c r="M11" s="37">
        <v>4.7500000000000001E-2</v>
      </c>
      <c r="N11" s="37" t="str">
        <v>#N/A</v>
      </c>
      <c r="O11" s="38" t="str">
        <v>#N/A</v>
      </c>
      <c r="P11" s="37" t="str">
        <v>#N/A</v>
      </c>
      <c r="Q11" s="37" t="str">
        <v>#N/A</v>
      </c>
      <c r="R11" s="37" t="str">
        <v>#N/A</v>
      </c>
      <c r="S11" s="37" t="str">
        <v>#N/A</v>
      </c>
      <c r="T11" s="37" t="str">
        <v>#N/A</v>
      </c>
      <c r="U11" s="35" t="str">
        <v>#N/A</v>
      </c>
      <c r="V11" s="60">
        <f t="shared" si="2"/>
        <v>2.357008028687718</v>
      </c>
      <c r="W11" s="39"/>
      <c r="X11" s="61">
        <f t="shared" si="0"/>
        <v>2.357008028687718</v>
      </c>
      <c r="Y11" s="67">
        <f>IF(ISERROR(A11),NA(),_xll.qlBondYieldFromCleanPrice(AH11,X11/C11*100,YieldDayCounter,YieldCompounding,YieldFrequency))</f>
        <v>2.0221353403388691E-3</v>
      </c>
      <c r="Z11" s="40"/>
      <c r="AA11" s="68">
        <f t="shared" si="3"/>
        <v>2.0221353403388691E-3</v>
      </c>
      <c r="AB11" s="60">
        <f>IF(ISERROR(A11),IF(ISNUMBER(C11),0,NA()),_xll.qlBondCleanPriceFromYield(AH11,AA11,YieldDayCounter,YieldCompounding,YieldFrequency))</f>
        <v>99.24244332993446</v>
      </c>
      <c r="AC11" s="39"/>
      <c r="AD11" s="61">
        <f t="shared" si="1"/>
        <v>99.24244332993446</v>
      </c>
      <c r="AE11" s="60">
        <f t="shared" si="4"/>
        <v>2.3570080290859372</v>
      </c>
      <c r="AF11" s="71">
        <f t="shared" si="5"/>
        <v>99.24244332993446</v>
      </c>
      <c r="AG11" s="68">
        <f>IF(ISERROR(A11),NA(),_xll.qlBondYieldFromCleanPrice(AH11,AF11,YieldDayCounter,YieldCompounding,YieldFrequency))</f>
        <v>2.0221352953666096E-3</v>
      </c>
      <c r="AH11" s="72" t="str">
        <f>_xll.qlZeroCouponBond(,,"EUR",3,"target",$C11,$B11,"f",100)</f>
        <v>obj_00a9a#0002</v>
      </c>
      <c r="AJ11" s="26"/>
      <c r="AK11" s="26"/>
      <c r="AL11" s="100"/>
      <c r="AM11" s="99"/>
      <c r="AN11" s="99"/>
      <c r="AO11" s="99"/>
    </row>
    <row r="12" spans="1:41" ht="12.75" x14ac:dyDescent="0.2">
      <c r="A12" s="42">
        <f>_xll.qlYieldTSDiscount(BtpCurve,B12,,PriceTrigger)</f>
        <v>0.98610674337409299</v>
      </c>
      <c r="B12" s="32">
        <v>44075</v>
      </c>
      <c r="C12" s="33">
        <v>2.3749999999999938</v>
      </c>
      <c r="D12" s="54">
        <v>100</v>
      </c>
      <c r="E12" s="32">
        <v>43891</v>
      </c>
      <c r="F12" s="32">
        <v>44075</v>
      </c>
      <c r="G12" s="34">
        <v>184</v>
      </c>
      <c r="H12" s="35" t="str">
        <v>#N/A</v>
      </c>
      <c r="I12" s="34" t="str">
        <v>#N/A</v>
      </c>
      <c r="J12" s="32" t="str">
        <v>#N/A</v>
      </c>
      <c r="K12" s="34" t="str">
        <v>Actual/Actual (ISMA)</v>
      </c>
      <c r="L12" s="36">
        <v>0.5</v>
      </c>
      <c r="M12" s="37">
        <v>4.7500000000000001E-2</v>
      </c>
      <c r="N12" s="37" t="str">
        <v>#N/A</v>
      </c>
      <c r="O12" s="38" t="str">
        <v>#N/A</v>
      </c>
      <c r="P12" s="37" t="str">
        <v>#N/A</v>
      </c>
      <c r="Q12" s="37" t="str">
        <v>#N/A</v>
      </c>
      <c r="R12" s="37" t="str">
        <v>#N/A</v>
      </c>
      <c r="S12" s="37" t="str">
        <v>#N/A</v>
      </c>
      <c r="T12" s="37" t="str">
        <v>#N/A</v>
      </c>
      <c r="U12" s="35" t="str">
        <v>#N/A</v>
      </c>
      <c r="V12" s="60">
        <f t="shared" si="2"/>
        <v>2.3420035155134649</v>
      </c>
      <c r="W12" s="39"/>
      <c r="X12" s="61">
        <f t="shared" si="0"/>
        <v>2.3420035155134649</v>
      </c>
      <c r="Y12" s="67">
        <f>IF(ISERROR(A12),NA(),_xll.qlBondYieldFromCleanPrice(AH12,X12/C12*100,YieldDayCounter,YieldCompounding,YieldFrequency))</f>
        <v>3.2857101063929134E-3</v>
      </c>
      <c r="Z12" s="40"/>
      <c r="AA12" s="68">
        <f t="shared" si="3"/>
        <v>3.2857101063929134E-3</v>
      </c>
      <c r="AB12" s="60">
        <f>IF(ISERROR(A12),IF(ISNUMBER(C12),0,NA()),_xll.qlBondCleanPriceFromYield(AH12,AA12,YieldDayCounter,YieldCompounding,YieldFrequency))</f>
        <v>98.610674331550413</v>
      </c>
      <c r="AC12" s="39"/>
      <c r="AD12" s="61">
        <f t="shared" si="1"/>
        <v>98.610674331550413</v>
      </c>
      <c r="AE12" s="60">
        <f t="shared" si="4"/>
        <v>2.3420035153743162</v>
      </c>
      <c r="AF12" s="71">
        <f t="shared" si="5"/>
        <v>98.610674331550413</v>
      </c>
      <c r="AG12" s="68">
        <f>IF(ISERROR(A12),NA(),_xll.qlBondYieldFromCleanPrice(AH12,AF12,YieldDayCounter,YieldCompounding,YieldFrequency))</f>
        <v>3.2857101203694252E-3</v>
      </c>
      <c r="AH12" s="72" t="str">
        <f>_xll.qlZeroCouponBond(,,"EUR",3,"target",$C12,$B12,"f",100)</f>
        <v>obj_00a7f#0002</v>
      </c>
      <c r="AJ12" s="26"/>
      <c r="AK12" s="26"/>
      <c r="AL12" s="100"/>
      <c r="AM12" s="99"/>
      <c r="AN12" s="99"/>
      <c r="AO12" s="99"/>
    </row>
    <row r="13" spans="1:41" ht="12.75" x14ac:dyDescent="0.2">
      <c r="A13" s="42">
        <f>_xll.qlYieldTSDiscount(BtpCurve,B13,,PriceTrigger)</f>
        <v>0.97898780065100532</v>
      </c>
      <c r="B13" s="32">
        <v>44256</v>
      </c>
      <c r="C13" s="33">
        <v>2.3749999999999938</v>
      </c>
      <c r="D13" s="54">
        <v>100</v>
      </c>
      <c r="E13" s="32">
        <v>44075</v>
      </c>
      <c r="F13" s="32">
        <v>44256</v>
      </c>
      <c r="G13" s="34">
        <v>181</v>
      </c>
      <c r="H13" s="35" t="str">
        <v>#N/A</v>
      </c>
      <c r="I13" s="34" t="str">
        <v>#N/A</v>
      </c>
      <c r="J13" s="32" t="str">
        <v>#N/A</v>
      </c>
      <c r="K13" s="34" t="str">
        <v>Actual/Actual (ISMA)</v>
      </c>
      <c r="L13" s="36">
        <v>0.5</v>
      </c>
      <c r="M13" s="37">
        <v>4.7500000000000001E-2</v>
      </c>
      <c r="N13" s="37" t="str">
        <v>#N/A</v>
      </c>
      <c r="O13" s="38" t="str">
        <v>#N/A</v>
      </c>
      <c r="P13" s="37" t="str">
        <v>#N/A</v>
      </c>
      <c r="Q13" s="37" t="str">
        <v>#N/A</v>
      </c>
      <c r="R13" s="37" t="str">
        <v>#N/A</v>
      </c>
      <c r="S13" s="37" t="str">
        <v>#N/A</v>
      </c>
      <c r="T13" s="37" t="str">
        <v>#N/A</v>
      </c>
      <c r="U13" s="35" t="str">
        <v>#N/A</v>
      </c>
      <c r="V13" s="60">
        <f t="shared" si="2"/>
        <v>2.3250960265461313</v>
      </c>
      <c r="W13" s="39"/>
      <c r="X13" s="61">
        <f t="shared" si="0"/>
        <v>2.3250960265461313</v>
      </c>
      <c r="Y13" s="67">
        <f>IF(ISERROR(A13),NA(),_xll.qlBondYieldFromCleanPrice(AH13,X13/C13*100,YieldDayCounter,YieldCompounding,YieldFrequency))</f>
        <v>4.4697847179169534E-3</v>
      </c>
      <c r="Z13" s="40"/>
      <c r="AA13" s="68">
        <f t="shared" si="3"/>
        <v>4.4697847179169534E-3</v>
      </c>
      <c r="AB13" s="60">
        <f>IF(ISERROR(A13),IF(ISNUMBER(C13),0,NA()),_xll.qlBondCleanPriceFromYield(AH13,AA13,YieldDayCounter,YieldCompounding,YieldFrequency))</f>
        <v>97.898780048101983</v>
      </c>
      <c r="AC13" s="39"/>
      <c r="AD13" s="61">
        <f t="shared" si="1"/>
        <v>97.898780048101983</v>
      </c>
      <c r="AE13" s="60">
        <f t="shared" si="4"/>
        <v>2.3250960261424161</v>
      </c>
      <c r="AF13" s="71">
        <f t="shared" si="5"/>
        <v>97.898780048101983</v>
      </c>
      <c r="AG13" s="68">
        <f>IF(ISERROR(A13),NA(),_xll.qlBondYieldFromCleanPrice(AH13,AF13,YieldDayCounter,YieldCompounding,YieldFrequency))</f>
        <v>4.4697847545448364E-3</v>
      </c>
      <c r="AH13" s="72" t="str">
        <f>_xll.qlZeroCouponBond(,,"EUR",3,"target",$C13,$B13,"f",100)</f>
        <v>obj_00ab6#0001</v>
      </c>
      <c r="AJ13" s="26"/>
      <c r="AK13" s="26"/>
      <c r="AL13" s="100"/>
      <c r="AM13" s="99"/>
      <c r="AN13" s="99"/>
      <c r="AO13" s="99"/>
    </row>
    <row r="14" spans="1:41" ht="12.75" x14ac:dyDescent="0.2">
      <c r="A14" s="42">
        <f>_xll.qlYieldTSDiscount(BtpCurve,B14,,PriceTrigger)</f>
        <v>0.97054412453360217</v>
      </c>
      <c r="B14" s="32">
        <v>44440</v>
      </c>
      <c r="C14" s="33">
        <v>2.3749999999999938</v>
      </c>
      <c r="D14" s="54">
        <v>100</v>
      </c>
      <c r="E14" s="32">
        <v>44256</v>
      </c>
      <c r="F14" s="32">
        <v>44440</v>
      </c>
      <c r="G14" s="34">
        <v>184</v>
      </c>
      <c r="H14" s="35" t="str">
        <v>#N/A</v>
      </c>
      <c r="I14" s="34" t="str">
        <v>#N/A</v>
      </c>
      <c r="J14" s="32" t="str">
        <v>#N/A</v>
      </c>
      <c r="K14" s="34" t="str">
        <v>Actual/Actual (ISMA)</v>
      </c>
      <c r="L14" s="36">
        <v>0.5</v>
      </c>
      <c r="M14" s="37">
        <v>4.7500000000000001E-2</v>
      </c>
      <c r="N14" s="37" t="str">
        <v>#N/A</v>
      </c>
      <c r="O14" s="38" t="str">
        <v>#N/A</v>
      </c>
      <c r="P14" s="37" t="str">
        <v>#N/A</v>
      </c>
      <c r="Q14" s="37" t="str">
        <v>#N/A</v>
      </c>
      <c r="R14" s="37" t="str">
        <v>#N/A</v>
      </c>
      <c r="S14" s="37" t="str">
        <v>#N/A</v>
      </c>
      <c r="T14" s="37" t="str">
        <v>#N/A</v>
      </c>
      <c r="U14" s="35" t="str">
        <v>#N/A</v>
      </c>
      <c r="V14" s="60">
        <f t="shared" si="2"/>
        <v>2.3050422957672989</v>
      </c>
      <c r="W14" s="39"/>
      <c r="X14" s="61">
        <f t="shared" si="0"/>
        <v>2.3050422957672989</v>
      </c>
      <c r="Y14" s="67">
        <f>IF(ISERROR(A14),NA(),_xll.qlBondYieldFromCleanPrice(AH14,X14/C14*100,YieldDayCounter,YieldCompounding,YieldFrequency))</f>
        <v>5.6948354382646811E-3</v>
      </c>
      <c r="Z14" s="40"/>
      <c r="AA14" s="68">
        <f t="shared" si="3"/>
        <v>5.6948354382646811E-3</v>
      </c>
      <c r="AB14" s="60">
        <f>IF(ISERROR(A14),IF(ISNUMBER(C14),0,NA()),_xll.qlBondCleanPriceFromYield(AH14,AA14,YieldDayCounter,YieldCompounding,YieldFrequency))</f>
        <v>97.054412467548289</v>
      </c>
      <c r="AC14" s="39"/>
      <c r="AD14" s="61">
        <f t="shared" si="1"/>
        <v>97.054412467548289</v>
      </c>
      <c r="AE14" s="60">
        <f t="shared" si="4"/>
        <v>2.3050422961042658</v>
      </c>
      <c r="AF14" s="71">
        <f t="shared" si="5"/>
        <v>97.054412467548289</v>
      </c>
      <c r="AG14" s="68">
        <f>IF(ISERROR(A14),NA(),_xll.qlBondYieldFromCleanPrice(AH14,AF14,YieldDayCounter,YieldCompounding,YieldFrequency))</f>
        <v>5.6948354103406734E-3</v>
      </c>
      <c r="AH14" s="72" t="str">
        <f>_xll.qlZeroCouponBond(,,"EUR",3,"target",$C14,$B14,"f",100)</f>
        <v>obj_00ab5#0001</v>
      </c>
      <c r="AJ14" s="26"/>
      <c r="AK14" s="26"/>
      <c r="AL14" s="100"/>
      <c r="AM14" s="99"/>
      <c r="AN14" s="99"/>
      <c r="AO14" s="99"/>
    </row>
    <row r="15" spans="1:41" ht="12.75" x14ac:dyDescent="0.2">
      <c r="A15" s="42">
        <f>_xll.qlYieldTSDiscount(BtpCurve,B15,,PriceTrigger)</f>
        <v>0.95953183520780705</v>
      </c>
      <c r="B15" s="32">
        <v>44621</v>
      </c>
      <c r="C15" s="33">
        <v>2.3749999999999938</v>
      </c>
      <c r="D15" s="54">
        <v>100</v>
      </c>
      <c r="E15" s="32">
        <v>44440</v>
      </c>
      <c r="F15" s="32">
        <v>44621</v>
      </c>
      <c r="G15" s="34">
        <v>181</v>
      </c>
      <c r="H15" s="35" t="str">
        <v>#N/A</v>
      </c>
      <c r="I15" s="34" t="str">
        <v>#N/A</v>
      </c>
      <c r="J15" s="32" t="str">
        <v>#N/A</v>
      </c>
      <c r="K15" s="34" t="str">
        <v>Actual/Actual (ISMA)</v>
      </c>
      <c r="L15" s="36">
        <v>0.5</v>
      </c>
      <c r="M15" s="37">
        <v>4.7500000000000001E-2</v>
      </c>
      <c r="N15" s="37" t="str">
        <v>#N/A</v>
      </c>
      <c r="O15" s="38" t="str">
        <v>#N/A</v>
      </c>
      <c r="P15" s="37" t="str">
        <v>#N/A</v>
      </c>
      <c r="Q15" s="37" t="str">
        <v>#N/A</v>
      </c>
      <c r="R15" s="37" t="str">
        <v>#N/A</v>
      </c>
      <c r="S15" s="37" t="str">
        <v>#N/A</v>
      </c>
      <c r="T15" s="37" t="str">
        <v>#N/A</v>
      </c>
      <c r="U15" s="35" t="str">
        <v>#N/A</v>
      </c>
      <c r="V15" s="60">
        <f t="shared" si="2"/>
        <v>2.2788881086185357</v>
      </c>
      <c r="W15" s="39"/>
      <c r="X15" s="61">
        <f t="shared" si="0"/>
        <v>2.2788881086185357</v>
      </c>
      <c r="Y15" s="67">
        <f>IF(ISERROR(A15),NA(),_xll.qlBondYieldFromCleanPrice(AH15,X15/C15*100,YieldDayCounter,YieldCompounding,YieldFrequency))</f>
        <v>7.1955560527351666E-3</v>
      </c>
      <c r="Z15" s="40"/>
      <c r="AA15" s="68">
        <f t="shared" si="3"/>
        <v>7.1955560527351666E-3</v>
      </c>
      <c r="AB15" s="60">
        <f>IF(ISERROR(A15),IF(ISNUMBER(C15),0,NA()),_xll.qlBondCleanPriceFromYield(AH15,AA15,YieldDayCounter,YieldCompounding,YieldFrequency))</f>
        <v>95.953183500868306</v>
      </c>
      <c r="AC15" s="39"/>
      <c r="AD15" s="61">
        <f t="shared" si="1"/>
        <v>95.953183500868306</v>
      </c>
      <c r="AE15" s="60">
        <f t="shared" si="4"/>
        <v>2.2788881081456163</v>
      </c>
      <c r="AF15" s="71">
        <f t="shared" si="5"/>
        <v>95.953183500868306</v>
      </c>
      <c r="AG15" s="68">
        <f>IF(ISERROR(A15),NA(),_xll.qlBondYieldFromCleanPrice(AH15,AF15,YieldDayCounter,YieldCompounding,YieldFrequency))</f>
        <v>7.1955560890122261E-3</v>
      </c>
      <c r="AH15" s="72" t="str">
        <f>_xll.qlZeroCouponBond(,,"EUR",3,"target",$C15,$B15,"f",100)</f>
        <v>obj_00abf#0001</v>
      </c>
      <c r="AJ15" s="26"/>
      <c r="AK15" s="26"/>
      <c r="AL15" s="100"/>
      <c r="AM15" s="99"/>
      <c r="AN15" s="99"/>
      <c r="AO15" s="99"/>
    </row>
    <row r="16" spans="1:41" ht="12.75" x14ac:dyDescent="0.2">
      <c r="A16" s="42">
        <f>_xll.qlYieldTSDiscount(BtpCurve,B16,,PriceTrigger)</f>
        <v>0.94966911798402476</v>
      </c>
      <c r="B16" s="32">
        <v>44805</v>
      </c>
      <c r="C16" s="33">
        <v>2.3749999999999938</v>
      </c>
      <c r="D16" s="54">
        <v>100</v>
      </c>
      <c r="E16" s="32">
        <v>44621</v>
      </c>
      <c r="F16" s="32">
        <v>44805</v>
      </c>
      <c r="G16" s="34">
        <v>184</v>
      </c>
      <c r="H16" s="35" t="str">
        <v>#N/A</v>
      </c>
      <c r="I16" s="34" t="str">
        <v>#N/A</v>
      </c>
      <c r="J16" s="32" t="str">
        <v>#N/A</v>
      </c>
      <c r="K16" s="34" t="str">
        <v>Actual/Actual (ISMA)</v>
      </c>
      <c r="L16" s="36">
        <v>0.5</v>
      </c>
      <c r="M16" s="37">
        <v>4.7500000000000001E-2</v>
      </c>
      <c r="N16" s="37" t="str">
        <v>#N/A</v>
      </c>
      <c r="O16" s="38" t="str">
        <v>#N/A</v>
      </c>
      <c r="P16" s="37" t="str">
        <v>#N/A</v>
      </c>
      <c r="Q16" s="37" t="str">
        <v>#N/A</v>
      </c>
      <c r="R16" s="37" t="str">
        <v>#N/A</v>
      </c>
      <c r="S16" s="37" t="str">
        <v>#N/A</v>
      </c>
      <c r="T16" s="37" t="str">
        <v>#N/A</v>
      </c>
      <c r="U16" s="35" t="str">
        <v>#N/A</v>
      </c>
      <c r="V16" s="60">
        <f t="shared" si="2"/>
        <v>2.2554641552120529</v>
      </c>
      <c r="W16" s="39"/>
      <c r="X16" s="61">
        <f t="shared" si="0"/>
        <v>2.2554641552120529</v>
      </c>
      <c r="Y16" s="67">
        <f>IF(ISERROR(A16),NA(),_xll.qlBondYieldFromCleanPrice(AH16,X16/C16*100,YieldDayCounter,YieldCompounding,YieldFrequency))</f>
        <v>8.2769112591298353E-3</v>
      </c>
      <c r="Z16" s="40"/>
      <c r="AA16" s="68">
        <f t="shared" si="3"/>
        <v>8.2769112591298353E-3</v>
      </c>
      <c r="AB16" s="60">
        <f>IF(ISERROR(A16),IF(ISNUMBER(C16),0,NA()),_xll.qlBondCleanPriceFromYield(AH16,AA16,YieldDayCounter,YieldCompounding,YieldFrequency))</f>
        <v>94.966911780638029</v>
      </c>
      <c r="AC16" s="39"/>
      <c r="AD16" s="61">
        <f t="shared" si="1"/>
        <v>94.966911780638029</v>
      </c>
      <c r="AE16" s="60">
        <f t="shared" si="4"/>
        <v>2.2554641547901473</v>
      </c>
      <c r="AF16" s="71">
        <f t="shared" si="5"/>
        <v>94.966911780638029</v>
      </c>
      <c r="AG16" s="68">
        <f>IF(ISERROR(A16),NA(),_xll.qlBondYieldFromCleanPrice(AH16,AF16,YieldDayCounter,YieldCompounding,YieldFrequency))</f>
        <v>8.2769112892346879E-3</v>
      </c>
      <c r="AH16" s="72" t="str">
        <f>_xll.qlZeroCouponBond(,,"EUR",3,"target",$C16,$B16,"f",100)</f>
        <v>obj_00abe#0001</v>
      </c>
      <c r="AJ16" s="26"/>
      <c r="AK16" s="26"/>
      <c r="AL16" s="100"/>
      <c r="AM16" s="99"/>
      <c r="AN16" s="99"/>
      <c r="AO16" s="99"/>
    </row>
    <row r="17" spans="1:41" ht="12.75" x14ac:dyDescent="0.2">
      <c r="A17" s="42">
        <f>_xll.qlYieldTSDiscount(BtpCurve,B17,,PriceTrigger)</f>
        <v>0.93717323690936782</v>
      </c>
      <c r="B17" s="32">
        <v>44986</v>
      </c>
      <c r="C17" s="33">
        <v>2.3749999999999938</v>
      </c>
      <c r="D17" s="54">
        <v>100</v>
      </c>
      <c r="E17" s="32">
        <v>44805</v>
      </c>
      <c r="F17" s="32">
        <v>44986</v>
      </c>
      <c r="G17" s="34">
        <v>181</v>
      </c>
      <c r="H17" s="35" t="str">
        <v>#N/A</v>
      </c>
      <c r="I17" s="34" t="str">
        <v>#N/A</v>
      </c>
      <c r="J17" s="32" t="str">
        <v>#N/A</v>
      </c>
      <c r="K17" s="34" t="str">
        <v>Actual/Actual (ISMA)</v>
      </c>
      <c r="L17" s="36">
        <v>0.5</v>
      </c>
      <c r="M17" s="37">
        <v>4.7500000000000001E-2</v>
      </c>
      <c r="N17" s="37" t="str">
        <v>#N/A</v>
      </c>
      <c r="O17" s="38" t="str">
        <v>#N/A</v>
      </c>
      <c r="P17" s="37" t="str">
        <v>#N/A</v>
      </c>
      <c r="Q17" s="37" t="str">
        <v>#N/A</v>
      </c>
      <c r="R17" s="37" t="str">
        <v>#N/A</v>
      </c>
      <c r="S17" s="37" t="str">
        <v>#N/A</v>
      </c>
      <c r="T17" s="37" t="str">
        <v>#N/A</v>
      </c>
      <c r="U17" s="35" t="str">
        <v>#N/A</v>
      </c>
      <c r="V17" s="60">
        <f t="shared" si="2"/>
        <v>2.2257864376597429</v>
      </c>
      <c r="W17" s="39"/>
      <c r="X17" s="61">
        <f t="shared" si="0"/>
        <v>2.2257864376597429</v>
      </c>
      <c r="Y17" s="67">
        <f>IF(ISERROR(A17),NA(),_xll.qlBondYieldFromCleanPrice(AH17,X17/C17*100,YieldDayCounter,YieldCompounding,YieldFrequency))</f>
        <v>9.6425468590719196E-3</v>
      </c>
      <c r="Z17" s="40"/>
      <c r="AA17" s="68">
        <f t="shared" si="3"/>
        <v>9.6425468590719196E-3</v>
      </c>
      <c r="AB17" s="60">
        <f>IF(ISERROR(A17),IF(ISNUMBER(C17),0,NA()),_xll.qlBondCleanPriceFromYield(AH17,AA17,YieldDayCounter,YieldCompounding,YieldFrequency))</f>
        <v>93.717323681860378</v>
      </c>
      <c r="AC17" s="39"/>
      <c r="AD17" s="61">
        <f t="shared" si="1"/>
        <v>93.717323681860378</v>
      </c>
      <c r="AE17" s="60">
        <f t="shared" si="4"/>
        <v>2.225786437444178</v>
      </c>
      <c r="AF17" s="71">
        <f t="shared" si="5"/>
        <v>93.717323681860378</v>
      </c>
      <c r="AG17" s="68">
        <f>IF(ISERROR(A17),NA(),_xll.qlBondYieldFromCleanPrice(AH17,AF17,YieldDayCounter,YieldCompounding,YieldFrequency))</f>
        <v>9.642546873533317E-3</v>
      </c>
      <c r="AH17" s="72" t="str">
        <f>_xll.qlZeroCouponBond(,,"EUR",3,"target",$C17,$B17,"f",100)</f>
        <v>obj_00aba#0001</v>
      </c>
      <c r="AJ17" s="26"/>
      <c r="AK17" s="26"/>
      <c r="AL17" s="100"/>
      <c r="AM17" s="99"/>
      <c r="AN17" s="99"/>
      <c r="AO17" s="99"/>
    </row>
    <row r="18" spans="1:41" ht="12.75" x14ac:dyDescent="0.2">
      <c r="A18" s="42">
        <f>_xll.qlYieldTSDiscount(BtpCurve,B18,,PriceTrigger)</f>
        <v>0.92443854547647097</v>
      </c>
      <c r="B18" s="32">
        <v>45170</v>
      </c>
      <c r="C18" s="33">
        <v>2.3749999999999938</v>
      </c>
      <c r="D18" s="54">
        <v>100</v>
      </c>
      <c r="E18" s="32">
        <v>44986</v>
      </c>
      <c r="F18" s="32">
        <v>45170</v>
      </c>
      <c r="G18" s="34">
        <v>184</v>
      </c>
      <c r="H18" s="35" t="str">
        <v>#N/A</v>
      </c>
      <c r="I18" s="34" t="str">
        <v>#N/A</v>
      </c>
      <c r="J18" s="32" t="str">
        <v>#N/A</v>
      </c>
      <c r="K18" s="34" t="str">
        <v>Actual/Actual (ISMA)</v>
      </c>
      <c r="L18" s="36">
        <v>0.5</v>
      </c>
      <c r="M18" s="37">
        <v>4.7500000000000001E-2</v>
      </c>
      <c r="N18" s="37" t="str">
        <v>#N/A</v>
      </c>
      <c r="O18" s="38" t="str">
        <v>#N/A</v>
      </c>
      <c r="P18" s="37" t="str">
        <v>#N/A</v>
      </c>
      <c r="Q18" s="37" t="str">
        <v>#N/A</v>
      </c>
      <c r="R18" s="37" t="str">
        <v>#N/A</v>
      </c>
      <c r="S18" s="37" t="str">
        <v>#N/A</v>
      </c>
      <c r="T18" s="37" t="str">
        <v>#N/A</v>
      </c>
      <c r="U18" s="35" t="str">
        <v>#N/A</v>
      </c>
      <c r="V18" s="60">
        <f t="shared" si="2"/>
        <v>2.1955415455066127</v>
      </c>
      <c r="W18" s="39"/>
      <c r="X18" s="61">
        <f t="shared" si="0"/>
        <v>2.1955415455066127</v>
      </c>
      <c r="Y18" s="67">
        <f>IF(ISERROR(A18),NA(),_xll.qlBondYieldFromCleanPrice(AH18,X18/C18*100,YieldDayCounter,YieldCompounding,YieldFrequency))</f>
        <v>1.0873336303049869E-2</v>
      </c>
      <c r="Z18" s="40"/>
      <c r="AA18" s="68">
        <f t="shared" si="3"/>
        <v>1.0873336303049869E-2</v>
      </c>
      <c r="AB18" s="60">
        <f>IF(ISERROR(A18),IF(ISNUMBER(C18),0,NA()),_xll.qlBondCleanPriceFromYield(AH18,AA18,YieldDayCounter,YieldCompounding,YieldFrequency))</f>
        <v>92.443854579384734</v>
      </c>
      <c r="AC18" s="39"/>
      <c r="AD18" s="61">
        <f t="shared" si="1"/>
        <v>92.443854579384734</v>
      </c>
      <c r="AE18" s="60">
        <f t="shared" si="4"/>
        <v>2.1955415462603818</v>
      </c>
      <c r="AF18" s="71">
        <f t="shared" si="5"/>
        <v>92.443854579384734</v>
      </c>
      <c r="AG18" s="68">
        <f>IF(ISERROR(A18),NA(),_xll.qlBondYieldFromCleanPrice(AH18,AF18,YieldDayCounter,YieldCompounding,YieldFrequency))</f>
        <v>1.0873336255279573E-2</v>
      </c>
      <c r="AH18" s="72" t="str">
        <f>_xll.qlZeroCouponBond(,,"EUR",3,"target",$C18,$B18,"f",100)</f>
        <v>obj_00ab3#0001</v>
      </c>
      <c r="AJ18" s="26"/>
      <c r="AK18" s="26"/>
      <c r="AL18" s="100"/>
      <c r="AM18" s="99"/>
      <c r="AN18" s="99"/>
      <c r="AO18" s="99"/>
    </row>
    <row r="19" spans="1:41" ht="12.75" x14ac:dyDescent="0.2">
      <c r="A19" s="42">
        <f>_xll.qlYieldTSDiscount(BtpCurve,B19,,PriceTrigger)</f>
        <v>0.90838614320654965</v>
      </c>
      <c r="B19" s="32">
        <v>45352</v>
      </c>
      <c r="C19" s="33">
        <v>2.3749999999999938</v>
      </c>
      <c r="D19" s="54">
        <v>100</v>
      </c>
      <c r="E19" s="32">
        <v>45170</v>
      </c>
      <c r="F19" s="32">
        <v>45352</v>
      </c>
      <c r="G19" s="34">
        <v>182</v>
      </c>
      <c r="H19" s="35" t="str">
        <v>#N/A</v>
      </c>
      <c r="I19" s="34" t="str">
        <v>#N/A</v>
      </c>
      <c r="J19" s="32" t="str">
        <v>#N/A</v>
      </c>
      <c r="K19" s="34" t="str">
        <v>Actual/Actual (ISMA)</v>
      </c>
      <c r="L19" s="36">
        <v>0.5</v>
      </c>
      <c r="M19" s="37">
        <v>4.7500000000000001E-2</v>
      </c>
      <c r="N19" s="37" t="str">
        <v>#N/A</v>
      </c>
      <c r="O19" s="38" t="str">
        <v>#N/A</v>
      </c>
      <c r="P19" s="37" t="str">
        <v>#N/A</v>
      </c>
      <c r="Q19" s="37" t="str">
        <v>#N/A</v>
      </c>
      <c r="R19" s="37" t="str">
        <v>#N/A</v>
      </c>
      <c r="S19" s="37" t="str">
        <v>#N/A</v>
      </c>
      <c r="T19" s="37" t="str">
        <v>#N/A</v>
      </c>
      <c r="U19" s="35" t="str">
        <v>#N/A</v>
      </c>
      <c r="V19" s="60">
        <f t="shared" si="2"/>
        <v>2.1574170901155498</v>
      </c>
      <c r="W19" s="39"/>
      <c r="X19" s="61">
        <f t="shared" si="0"/>
        <v>2.1574170901155498</v>
      </c>
      <c r="Y19" s="67">
        <f>IF(ISERROR(A19),NA(),_xll.qlBondYieldFromCleanPrice(AH19,X19/C19*100,YieldDayCounter,YieldCompounding,YieldFrequency))</f>
        <v>1.2456502279684235E-2</v>
      </c>
      <c r="Z19" s="40"/>
      <c r="AA19" s="68">
        <f t="shared" si="3"/>
        <v>1.2456502279684235E-2</v>
      </c>
      <c r="AB19" s="60">
        <f>IF(ISERROR(A19),IF(ISNUMBER(C19),0,NA()),_xll.qlBondCleanPriceFromYield(AH19,AA19,YieldDayCounter,YieldCompounding,YieldFrequency))</f>
        <v>90.838614326747333</v>
      </c>
      <c r="AC19" s="39"/>
      <c r="AD19" s="61">
        <f t="shared" si="1"/>
        <v>90.838614326747333</v>
      </c>
      <c r="AE19" s="60">
        <f t="shared" si="4"/>
        <v>2.1574170902602434</v>
      </c>
      <c r="AF19" s="71">
        <f t="shared" si="5"/>
        <v>90.838614326747333</v>
      </c>
      <c r="AG19" s="68">
        <f>IF(ISERROR(A19),NA(),_xll.qlBondYieldFromCleanPrice(AH19,AF19,YieldDayCounter,YieldCompounding,YieldFrequency))</f>
        <v>1.2456502270935529E-2</v>
      </c>
      <c r="AH19" s="72" t="str">
        <f>_xll.qlZeroCouponBond(,,"EUR",3,"target",$C19,$B19,"f",100)</f>
        <v>obj_00aae#0001</v>
      </c>
      <c r="AJ19" s="26"/>
      <c r="AK19" s="26"/>
      <c r="AL19" s="100"/>
      <c r="AM19" s="99"/>
      <c r="AN19" s="99"/>
      <c r="AO19" s="99"/>
    </row>
    <row r="20" spans="1:41" ht="12.75" x14ac:dyDescent="0.2">
      <c r="A20" s="42">
        <f>_xll.qlYieldTSDiscount(BtpCurve,B20,,PriceTrigger)</f>
        <v>0.89463079198900353</v>
      </c>
      <c r="B20" s="32">
        <v>45537</v>
      </c>
      <c r="C20" s="33">
        <v>2.3749999999999938</v>
      </c>
      <c r="D20" s="54">
        <v>100</v>
      </c>
      <c r="E20" s="32">
        <v>45352</v>
      </c>
      <c r="F20" s="32">
        <v>45536</v>
      </c>
      <c r="G20" s="34">
        <v>184</v>
      </c>
      <c r="H20" s="35" t="str">
        <v>#N/A</v>
      </c>
      <c r="I20" s="34" t="str">
        <v>#N/A</v>
      </c>
      <c r="J20" s="32" t="str">
        <v>#N/A</v>
      </c>
      <c r="K20" s="34" t="str">
        <v>Actual/Actual (ISMA)</v>
      </c>
      <c r="L20" s="36">
        <v>0.5</v>
      </c>
      <c r="M20" s="37">
        <v>4.7500000000000001E-2</v>
      </c>
      <c r="N20" s="37" t="str">
        <v>#N/A</v>
      </c>
      <c r="O20" s="38" t="str">
        <v>#N/A</v>
      </c>
      <c r="P20" s="37" t="str">
        <v>#N/A</v>
      </c>
      <c r="Q20" s="37" t="str">
        <v>#N/A</v>
      </c>
      <c r="R20" s="37" t="str">
        <v>#N/A</v>
      </c>
      <c r="S20" s="37" t="str">
        <v>#N/A</v>
      </c>
      <c r="T20" s="37" t="str">
        <v>#N/A</v>
      </c>
      <c r="U20" s="35" t="str">
        <v>#N/A</v>
      </c>
      <c r="V20" s="60">
        <f t="shared" si="2"/>
        <v>2.1247481309738778</v>
      </c>
      <c r="W20" s="39"/>
      <c r="X20" s="61">
        <f t="shared" si="0"/>
        <v>2.1247481309738778</v>
      </c>
      <c r="Y20" s="67">
        <f>IF(ISERROR(A20),NA(),_xll.qlBondYieldFromCleanPrice(AH20,X20/C20*100,YieldDayCounter,YieldCompounding,YieldFrequency))</f>
        <v>1.3558364416331251E-2</v>
      </c>
      <c r="Z20" s="40"/>
      <c r="AA20" s="68">
        <f t="shared" si="3"/>
        <v>1.3558364416331251E-2</v>
      </c>
      <c r="AB20" s="60">
        <f>IF(ISERROR(A20),IF(ISNUMBER(C20),0,NA()),_xll.qlBondCleanPriceFromYield(AH20,AA20,YieldDayCounter,YieldCompounding,YieldFrequency))</f>
        <v>89.463079186070672</v>
      </c>
      <c r="AC20" s="39"/>
      <c r="AD20" s="61">
        <f t="shared" si="1"/>
        <v>89.463079186070672</v>
      </c>
      <c r="AE20" s="60">
        <f t="shared" si="4"/>
        <v>2.1247481306691727</v>
      </c>
      <c r="AF20" s="71">
        <f t="shared" si="5"/>
        <v>89.463079186070672</v>
      </c>
      <c r="AG20" s="68">
        <f>IF(ISERROR(A20),NA(),_xll.qlBondYieldFromCleanPrice(AH20,AF20,YieldDayCounter,YieldCompounding,YieldFrequency))</f>
        <v>1.3558364433911636E-2</v>
      </c>
      <c r="AH20" s="72" t="str">
        <f>_xll.qlZeroCouponBond(,,"EUR",3,"target",$C20,$B20,"f",100)</f>
        <v>obj_00ac0#0001</v>
      </c>
      <c r="AJ20" s="26"/>
      <c r="AK20" s="26"/>
      <c r="AL20" s="100"/>
      <c r="AM20" s="99"/>
      <c r="AN20" s="99"/>
      <c r="AO20" s="99"/>
    </row>
    <row r="21" spans="1:41" ht="12.75" x14ac:dyDescent="0.2">
      <c r="A21" s="42">
        <f>_xll.qlYieldTSDiscount(BtpCurve,B21,,PriceTrigger)</f>
        <v>0.87982867250640384</v>
      </c>
      <c r="B21" s="32">
        <v>45719</v>
      </c>
      <c r="C21" s="33">
        <v>2.3749999999999938</v>
      </c>
      <c r="D21" s="54">
        <v>100</v>
      </c>
      <c r="E21" s="32">
        <v>45536</v>
      </c>
      <c r="F21" s="32">
        <v>45717</v>
      </c>
      <c r="G21" s="34">
        <v>181</v>
      </c>
      <c r="H21" s="35" t="str">
        <v>#N/A</v>
      </c>
      <c r="I21" s="34" t="str">
        <v>#N/A</v>
      </c>
      <c r="J21" s="32" t="str">
        <v>#N/A</v>
      </c>
      <c r="K21" s="34" t="str">
        <v>Actual/Actual (ISMA)</v>
      </c>
      <c r="L21" s="36">
        <v>0.5</v>
      </c>
      <c r="M21" s="37">
        <v>4.7500000000000001E-2</v>
      </c>
      <c r="N21" s="37" t="str">
        <v>#N/A</v>
      </c>
      <c r="O21" s="38" t="str">
        <v>#N/A</v>
      </c>
      <c r="P21" s="37" t="str">
        <v>#N/A</v>
      </c>
      <c r="Q21" s="37" t="str">
        <v>#N/A</v>
      </c>
      <c r="R21" s="37" t="str">
        <v>#N/A</v>
      </c>
      <c r="S21" s="37" t="str">
        <v>#N/A</v>
      </c>
      <c r="T21" s="37" t="str">
        <v>#N/A</v>
      </c>
      <c r="U21" s="35" t="str">
        <v>#N/A</v>
      </c>
      <c r="V21" s="60">
        <f t="shared" si="2"/>
        <v>2.0895930972027035</v>
      </c>
      <c r="W21" s="39"/>
      <c r="X21" s="61">
        <f t="shared" si="0"/>
        <v>2.0895930972027035</v>
      </c>
      <c r="Y21" s="67">
        <f>IF(ISERROR(A21),NA(),_xll.qlBondYieldFromCleanPrice(AH21,X21/C21*100,YieldDayCounter,YieldCompounding,YieldFrequency))</f>
        <v>1.4710350653962095E-2</v>
      </c>
      <c r="Z21" s="40"/>
      <c r="AA21" s="68">
        <f t="shared" si="3"/>
        <v>1.4710350653962095E-2</v>
      </c>
      <c r="AB21" s="60">
        <f>IF(ISERROR(A21),IF(ISNUMBER(C21),0,NA()),_xll.qlBondCleanPriceFromYield(AH21,AA21,YieldDayCounter,YieldCompounding,YieldFrequency))</f>
        <v>87.982867259546197</v>
      </c>
      <c r="AC21" s="39"/>
      <c r="AD21" s="61">
        <f t="shared" si="1"/>
        <v>87.982867259546197</v>
      </c>
      <c r="AE21" s="60">
        <f t="shared" si="4"/>
        <v>2.0895930974142165</v>
      </c>
      <c r="AF21" s="71">
        <f t="shared" si="5"/>
        <v>87.982867259546197</v>
      </c>
      <c r="AG21" s="68">
        <f>IF(ISERROR(A21),NA(),_xll.qlBondYieldFromCleanPrice(AH21,AF21,YieldDayCounter,YieldCompounding,YieldFrequency))</f>
        <v>1.4710350642246642E-2</v>
      </c>
      <c r="AH21" s="72" t="str">
        <f>_xll.qlZeroCouponBond(,,"EUR",3,"target",$C21,$B21,"f",100)</f>
        <v>obj_00ab2#0001</v>
      </c>
      <c r="AJ21" s="26"/>
      <c r="AK21" s="26"/>
      <c r="AL21" s="100"/>
      <c r="AM21" s="99"/>
      <c r="AN21" s="99"/>
      <c r="AO21" s="99"/>
    </row>
    <row r="22" spans="1:41" ht="12.75" x14ac:dyDescent="0.2">
      <c r="A22" s="42">
        <f>_xll.qlYieldTSDiscount(BtpCurve,B22,,PriceTrigger)</f>
        <v>0.87798072029641283</v>
      </c>
      <c r="B22" s="32">
        <v>45901</v>
      </c>
      <c r="C22" s="33">
        <v>2.3749999999999938</v>
      </c>
      <c r="D22" s="54">
        <v>100</v>
      </c>
      <c r="E22" s="32">
        <v>45717</v>
      </c>
      <c r="F22" s="32">
        <v>45901</v>
      </c>
      <c r="G22" s="34">
        <v>184</v>
      </c>
      <c r="H22" s="35" t="str">
        <v>#N/A</v>
      </c>
      <c r="I22" s="34" t="str">
        <v>#N/A</v>
      </c>
      <c r="J22" s="32" t="str">
        <v>#N/A</v>
      </c>
      <c r="K22" s="34" t="str">
        <v>Actual/Actual (ISMA)</v>
      </c>
      <c r="L22" s="36">
        <v>0.5</v>
      </c>
      <c r="M22" s="37">
        <v>4.7500000000000001E-2</v>
      </c>
      <c r="N22" s="37" t="str">
        <v>#N/A</v>
      </c>
      <c r="O22" s="38" t="str">
        <v>#N/A</v>
      </c>
      <c r="P22" s="37" t="str">
        <v>#N/A</v>
      </c>
      <c r="Q22" s="37" t="str">
        <v>#N/A</v>
      </c>
      <c r="R22" s="37" t="str">
        <v>#N/A</v>
      </c>
      <c r="S22" s="37" t="str">
        <v>#N/A</v>
      </c>
      <c r="T22" s="37" t="str">
        <v>#N/A</v>
      </c>
      <c r="U22" s="35" t="str">
        <v>#N/A</v>
      </c>
      <c r="V22" s="60">
        <f t="shared" si="2"/>
        <v>2.0852042107039752</v>
      </c>
      <c r="W22" s="39"/>
      <c r="X22" s="61">
        <f t="shared" si="0"/>
        <v>2.0852042107039752</v>
      </c>
      <c r="Y22" s="67">
        <f>IF(ISERROR(A22),NA(),_xll.qlBondYieldFromCleanPrice(AH22,X22/C22*100,YieldDayCounter,YieldCompounding,YieldFrequency))</f>
        <v>1.4144459492409014E-2</v>
      </c>
      <c r="Z22" s="40"/>
      <c r="AA22" s="68">
        <f t="shared" si="3"/>
        <v>1.4144459492409014E-2</v>
      </c>
      <c r="AB22" s="60">
        <f>IF(ISERROR(A22),IF(ISNUMBER(C22),0,NA()),_xll.qlBondCleanPriceFromYield(AH22,AA22,YieldDayCounter,YieldCompounding,YieldFrequency))</f>
        <v>87.798072034365248</v>
      </c>
      <c r="AC22" s="39"/>
      <c r="AD22" s="61">
        <f t="shared" si="1"/>
        <v>87.798072034365248</v>
      </c>
      <c r="AE22" s="60">
        <f t="shared" si="4"/>
        <v>2.085204210816169</v>
      </c>
      <c r="AF22" s="71">
        <f t="shared" si="5"/>
        <v>87.798072034365248</v>
      </c>
      <c r="AG22" s="68">
        <f>IF(ISERROR(A22),NA(),_xll.qlBondYieldFromCleanPrice(AH22,AF22,YieldDayCounter,YieldCompounding,YieldFrequency))</f>
        <v>1.4144459486519267E-2</v>
      </c>
      <c r="AH22" s="72" t="str">
        <f>_xll.qlZeroCouponBond(,,"EUR",3,"target",$C22,$B22,"f",100)</f>
        <v>obj_00ab4#0001</v>
      </c>
      <c r="AJ22" s="26"/>
      <c r="AK22" s="26"/>
      <c r="AL22" s="100"/>
      <c r="AM22" s="99"/>
      <c r="AN22" s="99"/>
      <c r="AO22" s="99"/>
    </row>
    <row r="23" spans="1:41" ht="12.75" x14ac:dyDescent="0.2">
      <c r="A23" s="42">
        <f>_xll.qlYieldTSDiscount(BtpCurve,B23,,PriceTrigger)</f>
        <v>0.85457822889852464</v>
      </c>
      <c r="B23" s="32">
        <v>46083</v>
      </c>
      <c r="C23" s="33">
        <v>2.3749999999999938</v>
      </c>
      <c r="D23" s="54">
        <v>100</v>
      </c>
      <c r="E23" s="32">
        <v>45901</v>
      </c>
      <c r="F23" s="32">
        <v>46082</v>
      </c>
      <c r="G23" s="34">
        <v>181</v>
      </c>
      <c r="H23" s="35" t="str">
        <v>#N/A</v>
      </c>
      <c r="I23" s="34" t="str">
        <v>#N/A</v>
      </c>
      <c r="J23" s="32" t="str">
        <v>#N/A</v>
      </c>
      <c r="K23" s="34" t="str">
        <v>Actual/Actual (ISMA)</v>
      </c>
      <c r="L23" s="36">
        <v>0.5</v>
      </c>
      <c r="M23" s="37">
        <v>4.7500000000000001E-2</v>
      </c>
      <c r="N23" s="37" t="str">
        <v>#N/A</v>
      </c>
      <c r="O23" s="38" t="str">
        <v>#N/A</v>
      </c>
      <c r="P23" s="37" t="str">
        <v>#N/A</v>
      </c>
      <c r="Q23" s="37" t="str">
        <v>#N/A</v>
      </c>
      <c r="R23" s="37" t="str">
        <v>#N/A</v>
      </c>
      <c r="S23" s="37" t="str">
        <v>#N/A</v>
      </c>
      <c r="T23" s="37" t="str">
        <v>#N/A</v>
      </c>
      <c r="U23" s="35" t="str">
        <v>#N/A</v>
      </c>
      <c r="V23" s="60">
        <f t="shared" si="2"/>
        <v>2.0296232936339909</v>
      </c>
      <c r="W23" s="39"/>
      <c r="X23" s="61">
        <f t="shared" si="0"/>
        <v>2.0296232936339909</v>
      </c>
      <c r="Y23" s="67">
        <f>IF(ISERROR(A23),NA(),_xll.qlBondYieldFromCleanPrice(AH23,X23/C23*100,YieldDayCounter,YieldCompounding,YieldFrequency))</f>
        <v>1.6224127159081871E-2</v>
      </c>
      <c r="Z23" s="40"/>
      <c r="AA23" s="68">
        <f t="shared" si="3"/>
        <v>1.6224127159081871E-2</v>
      </c>
      <c r="AB23" s="60">
        <f>IF(ISERROR(A23),IF(ISNUMBER(C23),0,NA()),_xll.qlBondCleanPriceFromYield(AH23,AA23,YieldDayCounter,YieldCompounding,YieldFrequency))</f>
        <v>85.457822865518196</v>
      </c>
      <c r="AC23" s="39"/>
      <c r="AD23" s="61">
        <f t="shared" si="1"/>
        <v>85.457822865518196</v>
      </c>
      <c r="AE23" s="60">
        <f t="shared" si="4"/>
        <v>2.0296232930560518</v>
      </c>
      <c r="AF23" s="71">
        <f t="shared" si="5"/>
        <v>85.457822865518196</v>
      </c>
      <c r="AG23" s="68">
        <f>IF(ISERROR(A23),NA(),_xll.qlBondYieldFromCleanPrice(AH23,AF23,YieldDayCounter,YieldCompounding,YieldFrequency))</f>
        <v>1.6224127188717099E-2</v>
      </c>
      <c r="AH23" s="72" t="str">
        <f>_xll.qlZeroCouponBond(,,"EUR",3,"target",$C23,$B23,"f",100)</f>
        <v>obj_00abb#0001</v>
      </c>
      <c r="AJ23" s="26"/>
      <c r="AK23" s="26"/>
      <c r="AL23" s="100"/>
      <c r="AM23" s="99"/>
      <c r="AN23" s="99"/>
      <c r="AO23" s="99"/>
    </row>
    <row r="24" spans="1:41" ht="12.75" x14ac:dyDescent="0.2">
      <c r="A24" s="42">
        <f>_xll.qlYieldTSDiscount(BtpCurve,B24,,PriceTrigger)</f>
        <v>0.83498075678957773</v>
      </c>
      <c r="B24" s="32">
        <v>46266</v>
      </c>
      <c r="C24" s="33">
        <v>2.3749999999999938</v>
      </c>
      <c r="D24" s="54">
        <v>100</v>
      </c>
      <c r="E24" s="32">
        <v>46082</v>
      </c>
      <c r="F24" s="32">
        <v>46266</v>
      </c>
      <c r="G24" s="34">
        <v>184</v>
      </c>
      <c r="H24" s="35" t="str">
        <v>#N/A</v>
      </c>
      <c r="I24" s="34" t="str">
        <v>#N/A</v>
      </c>
      <c r="J24" s="32" t="str">
        <v>#N/A</v>
      </c>
      <c r="K24" s="34" t="str">
        <v>Actual/Actual (ISMA)</v>
      </c>
      <c r="L24" s="36">
        <v>0.5</v>
      </c>
      <c r="M24" s="37">
        <v>4.7500000000000001E-2</v>
      </c>
      <c r="N24" s="37" t="str">
        <v>#N/A</v>
      </c>
      <c r="O24" s="38" t="str">
        <v>#N/A</v>
      </c>
      <c r="P24" s="37" t="str">
        <v>#N/A</v>
      </c>
      <c r="Q24" s="37" t="str">
        <v>#N/A</v>
      </c>
      <c r="R24" s="37" t="str">
        <v>#N/A</v>
      </c>
      <c r="S24" s="37" t="str">
        <v>#N/A</v>
      </c>
      <c r="T24" s="37" t="str">
        <v>#N/A</v>
      </c>
      <c r="U24" s="35" t="str">
        <v>#N/A</v>
      </c>
      <c r="V24" s="60">
        <f t="shared" si="2"/>
        <v>1.9830792973752418</v>
      </c>
      <c r="W24" s="39"/>
      <c r="X24" s="61">
        <f t="shared" si="0"/>
        <v>1.9830792973752418</v>
      </c>
      <c r="Y24" s="67">
        <f>IF(ISERROR(A24),NA(),_xll.qlBondYieldFromCleanPrice(AH24,X24/C24*100,YieldDayCounter,YieldCompounding,YieldFrequency))</f>
        <v>1.7724275931007071E-2</v>
      </c>
      <c r="Z24" s="40"/>
      <c r="AA24" s="68">
        <f t="shared" si="3"/>
        <v>1.7724275931007071E-2</v>
      </c>
      <c r="AB24" s="60">
        <f>IF(ISERROR(A24),IF(ISNUMBER(C24),0,NA()),_xll.qlBondCleanPriceFromYield(AH24,AA24,YieldDayCounter,YieldCompounding,YieldFrequency))</f>
        <v>83.498075675855773</v>
      </c>
      <c r="AC24" s="39"/>
      <c r="AD24" s="61">
        <f t="shared" si="1"/>
        <v>83.498075675855773</v>
      </c>
      <c r="AE24" s="60">
        <f t="shared" si="4"/>
        <v>1.9830792973015694</v>
      </c>
      <c r="AF24" s="71">
        <f t="shared" si="5"/>
        <v>83.498075675855773</v>
      </c>
      <c r="AG24" s="68">
        <f>IF(ISERROR(A24),NA(),_xll.qlBondYieldFromCleanPrice(AH24,AF24,YieldDayCounter,YieldCompounding,YieldFrequency))</f>
        <v>1.7724275934690333E-2</v>
      </c>
      <c r="AH24" s="72" t="str">
        <f>_xll.qlZeroCouponBond(,,"EUR",3,"target",$C24,$B24,"f",100)</f>
        <v>obj_00ab1#0001</v>
      </c>
      <c r="AJ24" s="26"/>
      <c r="AK24" s="144"/>
      <c r="AL24" s="115"/>
      <c r="AM24" s="115"/>
      <c r="AN24" s="99"/>
      <c r="AO24" s="99"/>
    </row>
    <row r="25" spans="1:41" ht="12.75" x14ac:dyDescent="0.2">
      <c r="A25" s="42">
        <f>_xll.qlYieldTSDiscount(BtpCurve,B25,,PriceTrigger)</f>
        <v>0.8180224616691415</v>
      </c>
      <c r="B25" s="32">
        <v>46447</v>
      </c>
      <c r="C25" s="33">
        <v>2.3749999999999938</v>
      </c>
      <c r="D25" s="54">
        <v>100</v>
      </c>
      <c r="E25" s="32">
        <v>46266</v>
      </c>
      <c r="F25" s="32">
        <v>46447</v>
      </c>
      <c r="G25" s="34">
        <v>181</v>
      </c>
      <c r="H25" s="35" t="str">
        <v>#N/A</v>
      </c>
      <c r="I25" s="34" t="str">
        <v>#N/A</v>
      </c>
      <c r="J25" s="32" t="str">
        <v>#N/A</v>
      </c>
      <c r="K25" s="34" t="str">
        <v>Actual/Actual (ISMA)</v>
      </c>
      <c r="L25" s="36">
        <v>0.5</v>
      </c>
      <c r="M25" s="37">
        <v>4.7500000000000001E-2</v>
      </c>
      <c r="N25" s="37" t="str">
        <v>#N/A</v>
      </c>
      <c r="O25" s="38" t="str">
        <v>#N/A</v>
      </c>
      <c r="P25" s="37" t="str">
        <v>#N/A</v>
      </c>
      <c r="Q25" s="37" t="str">
        <v>#N/A</v>
      </c>
      <c r="R25" s="37" t="str">
        <v>#N/A</v>
      </c>
      <c r="S25" s="37" t="str">
        <v>#N/A</v>
      </c>
      <c r="T25" s="37" t="str">
        <v>#N/A</v>
      </c>
      <c r="U25" s="35" t="str">
        <v>#N/A</v>
      </c>
      <c r="V25" s="60">
        <f t="shared" si="2"/>
        <v>1.942803346464206</v>
      </c>
      <c r="W25" s="39"/>
      <c r="X25" s="61">
        <f t="shared" si="0"/>
        <v>1.942803346464206</v>
      </c>
      <c r="Y25" s="67">
        <f>IF(ISERROR(A25),NA(),_xll.qlBondYieldFromCleanPrice(AH25,X25/C25*100,YieldDayCounter,YieldCompounding,YieldFrequency))</f>
        <v>1.8840223239628889E-2</v>
      </c>
      <c r="Z25" s="40"/>
      <c r="AA25" s="68">
        <f t="shared" si="3"/>
        <v>1.8840223239628889E-2</v>
      </c>
      <c r="AB25" s="60">
        <f>IF(ISERROR(A25),IF(ISNUMBER(C25),0,NA()),_xll.qlBondCleanPriceFromYield(AH25,AA25,YieldDayCounter,YieldCompounding,YieldFrequency))</f>
        <v>81.802246191206066</v>
      </c>
      <c r="AC25" s="39"/>
      <c r="AD25" s="61">
        <f t="shared" si="1"/>
        <v>81.802246191206066</v>
      </c>
      <c r="AE25" s="60">
        <f t="shared" si="4"/>
        <v>1.942803347041139</v>
      </c>
      <c r="AF25" s="71">
        <f t="shared" si="5"/>
        <v>81.802246191206066</v>
      </c>
      <c r="AG25" s="68">
        <f>IF(ISERROR(A25),NA(),_xll.qlBondYieldFromCleanPrice(AH25,AF25,YieldDayCounter,YieldCompounding,YieldFrequency))</f>
        <v>1.8840223211514961E-2</v>
      </c>
      <c r="AH25" s="72" t="str">
        <f>_xll.qlZeroCouponBond(,,"EUR",3,"target",$C25,$B25,"f",100)</f>
        <v>obj_00aaf#0001</v>
      </c>
      <c r="AJ25" s="26"/>
      <c r="AK25" s="26"/>
      <c r="AL25" s="100"/>
      <c r="AM25" s="145"/>
      <c r="AN25" s="99"/>
      <c r="AO25" s="99"/>
    </row>
    <row r="26" spans="1:41" ht="12.75" x14ac:dyDescent="0.2">
      <c r="A26" s="42">
        <f>_xll.qlYieldTSDiscount(BtpCurve,B26,,PriceTrigger)</f>
        <v>0.80264518840879906</v>
      </c>
      <c r="B26" s="32">
        <v>46631</v>
      </c>
      <c r="C26" s="33">
        <v>2.3749999999999938</v>
      </c>
      <c r="D26" s="54">
        <v>100</v>
      </c>
      <c r="E26" s="32">
        <v>46447</v>
      </c>
      <c r="F26" s="32">
        <v>46631</v>
      </c>
      <c r="G26" s="34">
        <v>184</v>
      </c>
      <c r="H26" s="35" t="str">
        <v>#N/A</v>
      </c>
      <c r="I26" s="34" t="str">
        <v>#N/A</v>
      </c>
      <c r="J26" s="32" t="str">
        <v>#N/A</v>
      </c>
      <c r="K26" s="34" t="str">
        <v>Actual/Actual (ISMA)</v>
      </c>
      <c r="L26" s="36">
        <v>0.5</v>
      </c>
      <c r="M26" s="37">
        <v>4.7500000000000001E-2</v>
      </c>
      <c r="N26" s="37" t="str">
        <v>#N/A</v>
      </c>
      <c r="O26" s="38" t="str">
        <v>#N/A</v>
      </c>
      <c r="P26" s="37" t="str">
        <v>#N/A</v>
      </c>
      <c r="Q26" s="37" t="str">
        <v>#N/A</v>
      </c>
      <c r="R26" s="37" t="str">
        <v>#N/A</v>
      </c>
      <c r="S26" s="37" t="str">
        <v>#N/A</v>
      </c>
      <c r="T26" s="37" t="str">
        <v>#N/A</v>
      </c>
      <c r="U26" s="35" t="str">
        <v>#N/A</v>
      </c>
      <c r="V26" s="60">
        <f t="shared" si="2"/>
        <v>1.9062823224708927</v>
      </c>
      <c r="W26" s="39"/>
      <c r="X26" s="61">
        <f t="shared" si="0"/>
        <v>1.9062823224708927</v>
      </c>
      <c r="Y26" s="67">
        <f>IF(ISERROR(A26),NA(),_xll.qlBondYieldFromCleanPrice(AH26,X26/C26*100,YieldDayCounter,YieldCompounding,YieldFrequency))</f>
        <v>1.97071612952672E-2</v>
      </c>
      <c r="Z26" s="40"/>
      <c r="AA26" s="68">
        <f t="shared" si="3"/>
        <v>1.97071612952672E-2</v>
      </c>
      <c r="AB26" s="60">
        <f>IF(ISERROR(A26),IF(ISNUMBER(C26),0,NA()),_xll.qlBondCleanPriceFromYield(AH26,AA26,YieldDayCounter,YieldCompounding,YieldFrequency))</f>
        <v>80.264518837410336</v>
      </c>
      <c r="AC26" s="39"/>
      <c r="AD26" s="61">
        <f t="shared" si="1"/>
        <v>80.264518837410336</v>
      </c>
      <c r="AE26" s="60">
        <f t="shared" si="4"/>
        <v>1.9062823223884906</v>
      </c>
      <c r="AF26" s="71">
        <f t="shared" si="5"/>
        <v>80.264518837410336</v>
      </c>
      <c r="AG26" s="68">
        <f>IF(ISERROR(A26),NA(),_xll.qlBondYieldFromCleanPrice(AH26,AF26,YieldDayCounter,YieldCompounding,YieldFrequency))</f>
        <v>1.9707161299180046E-2</v>
      </c>
      <c r="AH26" s="72" t="str">
        <f>_xll.qlZeroCouponBond(,,"EUR",3,"target",$C26,$B26,"f",100)</f>
        <v>obj_00ab8#0001</v>
      </c>
      <c r="AJ26" s="26"/>
      <c r="AK26" s="26"/>
      <c r="AL26" s="100"/>
      <c r="AM26" s="145"/>
      <c r="AN26" s="99"/>
      <c r="AO26" s="99"/>
    </row>
    <row r="27" spans="1:41" ht="12.75" x14ac:dyDescent="0.2">
      <c r="A27" s="42">
        <f>_xll.qlYieldTSDiscount(BtpCurve,B27,,PriceTrigger)</f>
        <v>0.79497427196760273</v>
      </c>
      <c r="B27" s="32">
        <v>46813</v>
      </c>
      <c r="C27" s="33">
        <v>2.3749999999999938</v>
      </c>
      <c r="D27" s="54">
        <v>100</v>
      </c>
      <c r="E27" s="32">
        <v>46631</v>
      </c>
      <c r="F27" s="32">
        <v>46813</v>
      </c>
      <c r="G27" s="34">
        <v>182</v>
      </c>
      <c r="H27" s="35" t="str">
        <v>#N/A</v>
      </c>
      <c r="I27" s="34" t="str">
        <v>#N/A</v>
      </c>
      <c r="J27" s="32" t="str">
        <v>#N/A</v>
      </c>
      <c r="K27" s="34" t="str">
        <v>Actual/Actual (ISMA)</v>
      </c>
      <c r="L27" s="36">
        <v>0.5</v>
      </c>
      <c r="M27" s="37">
        <v>4.7500000000000001E-2</v>
      </c>
      <c r="N27" s="37" t="str">
        <v>#N/A</v>
      </c>
      <c r="O27" s="38" t="str">
        <v>#N/A</v>
      </c>
      <c r="P27" s="37" t="str">
        <v>#N/A</v>
      </c>
      <c r="Q27" s="37" t="str">
        <v>#N/A</v>
      </c>
      <c r="R27" s="37" t="str">
        <v>#N/A</v>
      </c>
      <c r="S27" s="37" t="str">
        <v>#N/A</v>
      </c>
      <c r="T27" s="37" t="str">
        <v>#N/A</v>
      </c>
      <c r="U27" s="35" t="str">
        <v>#N/A</v>
      </c>
      <c r="V27" s="60">
        <f t="shared" si="2"/>
        <v>1.8880638959230516</v>
      </c>
      <c r="W27" s="39"/>
      <c r="X27" s="61">
        <f t="shared" si="0"/>
        <v>1.8880638959230516</v>
      </c>
      <c r="Y27" s="67">
        <f>IF(ISERROR(A27),NA(),_xll.qlBondYieldFromCleanPrice(AH27,X27/C27*100,YieldDayCounter,YieldCompounding,YieldFrequency))</f>
        <v>1.9699470594568343E-2</v>
      </c>
      <c r="Z27" s="40"/>
      <c r="AA27" s="68">
        <f t="shared" si="3"/>
        <v>1.9699470594568343E-2</v>
      </c>
      <c r="AB27" s="60">
        <f>IF(ISERROR(A27),IF(ISNUMBER(C27),0,NA()),_xll.qlBondCleanPriceFromYield(AH27,AA27,YieldDayCounter,YieldCompounding,YieldFrequency))</f>
        <v>79.497427205115912</v>
      </c>
      <c r="AC27" s="39"/>
      <c r="AD27" s="61">
        <f t="shared" si="1"/>
        <v>79.497427205115912</v>
      </c>
      <c r="AE27" s="60">
        <f t="shared" si="4"/>
        <v>1.8880638961214979</v>
      </c>
      <c r="AF27" s="71">
        <f t="shared" si="5"/>
        <v>79.497427205115912</v>
      </c>
      <c r="AG27" s="68">
        <f>IF(ISERROR(A27),NA(),_xll.qlBondYieldFromCleanPrice(AH27,AF27,YieldDayCounter,YieldCompounding,YieldFrequency))</f>
        <v>1.9699470585456205E-2</v>
      </c>
      <c r="AH27" s="72" t="str">
        <f>_xll.qlZeroCouponBond(,,"EUR",3,"target",$C27,$B27,"f",100)</f>
        <v>obj_00ac2#0001</v>
      </c>
      <c r="AJ27" s="26"/>
      <c r="AK27" s="144"/>
      <c r="AL27" s="115"/>
      <c r="AM27" s="115"/>
      <c r="AN27" s="99"/>
      <c r="AO27" s="99"/>
    </row>
    <row r="28" spans="1:41" ht="12.75" x14ac:dyDescent="0.2">
      <c r="A28" s="42">
        <f>_xll.qlYieldTSDiscount(BtpCurve,B28,,PriceTrigger)</f>
        <v>0.78732031767031374</v>
      </c>
      <c r="B28" s="32">
        <v>46997</v>
      </c>
      <c r="C28" s="33">
        <v>2.3749999999999938</v>
      </c>
      <c r="D28" s="54">
        <v>100</v>
      </c>
      <c r="E28" s="32">
        <v>46813</v>
      </c>
      <c r="F28" s="32">
        <v>46997</v>
      </c>
      <c r="G28" s="34">
        <v>184</v>
      </c>
      <c r="H28" s="35" t="str">
        <v>#N/A</v>
      </c>
      <c r="I28" s="34" t="str">
        <v>#N/A</v>
      </c>
      <c r="J28" s="32" t="str">
        <v>#N/A</v>
      </c>
      <c r="K28" s="34" t="str">
        <v>Actual/Actual (ISMA)</v>
      </c>
      <c r="L28" s="36">
        <v>0.5</v>
      </c>
      <c r="M28" s="37">
        <v>4.7500000000000001E-2</v>
      </c>
      <c r="N28" s="37" t="str">
        <v>#N/A</v>
      </c>
      <c r="O28" s="38" t="str">
        <v>#N/A</v>
      </c>
      <c r="P28" s="37" t="str">
        <v>#N/A</v>
      </c>
      <c r="Q28" s="37" t="str">
        <v>#N/A</v>
      </c>
      <c r="R28" s="37" t="str">
        <v>#N/A</v>
      </c>
      <c r="S28" s="37" t="str">
        <v>#N/A</v>
      </c>
      <c r="T28" s="37" t="str">
        <v>#N/A</v>
      </c>
      <c r="U28" s="35" t="str">
        <v>#N/A</v>
      </c>
      <c r="V28" s="60">
        <f t="shared" si="2"/>
        <v>1.8698857544669902</v>
      </c>
      <c r="W28" s="39"/>
      <c r="X28" s="61">
        <f t="shared" si="0"/>
        <v>1.8698857544669902</v>
      </c>
      <c r="Y28" s="67">
        <f>IF(ISERROR(A28),NA(),_xll.qlBondYieldFromCleanPrice(AH28,X28/C28*100,YieldDayCounter,YieldCompounding,YieldFrequency))</f>
        <v>1.9687382002286091E-2</v>
      </c>
      <c r="Z28" s="40"/>
      <c r="AA28" s="68">
        <f t="shared" si="3"/>
        <v>1.9687382002286091E-2</v>
      </c>
      <c r="AB28" s="60">
        <f>IF(ISERROR(A28),IF(ISNUMBER(C28),0,NA()),_xll.qlBondCleanPriceFromYield(AH28,AA28,YieldDayCounter,YieldCompounding,YieldFrequency))</f>
        <v>78.732031785873147</v>
      </c>
      <c r="AC28" s="39"/>
      <c r="AD28" s="61">
        <f t="shared" si="1"/>
        <v>78.732031785873147</v>
      </c>
      <c r="AE28" s="60">
        <f t="shared" si="4"/>
        <v>1.8698857549144823</v>
      </c>
      <c r="AF28" s="71">
        <f t="shared" si="5"/>
        <v>78.732031785873147</v>
      </c>
      <c r="AG28" s="68">
        <f>IF(ISERROR(A28),NA(),_xll.qlBondYieldFromCleanPrice(AH28,AF28,YieldDayCounter,YieldCompounding,YieldFrequency))</f>
        <v>1.9687381982389941E-2</v>
      </c>
      <c r="AH28" s="72" t="str">
        <f>_xll.qlZeroCouponBond(,,"EUR",3,"target",$C28,$B28,"f",100)</f>
        <v>obj_00abd#0001</v>
      </c>
      <c r="AJ28" s="26"/>
      <c r="AK28" s="26"/>
      <c r="AL28" s="100"/>
      <c r="AM28" s="145"/>
      <c r="AN28" s="99"/>
      <c r="AO28" s="99"/>
    </row>
    <row r="29" spans="1:41" ht="12.75" x14ac:dyDescent="0.2">
      <c r="A29" s="42">
        <f>_xll.qlYieldTSDiscount(BtpCurve,B29,,PriceTrigger)</f>
        <v>0.77065490949780813</v>
      </c>
      <c r="B29" s="32">
        <v>47178</v>
      </c>
      <c r="C29" s="33">
        <v>2.3749999999999938</v>
      </c>
      <c r="D29" s="54">
        <v>100</v>
      </c>
      <c r="E29" s="32">
        <v>46997</v>
      </c>
      <c r="F29" s="32">
        <v>47178</v>
      </c>
      <c r="G29" s="34">
        <v>181</v>
      </c>
      <c r="H29" s="35" t="str">
        <v>#N/A</v>
      </c>
      <c r="I29" s="34" t="str">
        <v>#N/A</v>
      </c>
      <c r="J29" s="32" t="str">
        <v>#N/A</v>
      </c>
      <c r="K29" s="34" t="str">
        <v>Actual/Actual (ISMA)</v>
      </c>
      <c r="L29" s="36">
        <v>0.5</v>
      </c>
      <c r="M29" s="37">
        <v>4.7500000000000001E-2</v>
      </c>
      <c r="N29" s="37" t="str">
        <v>#N/A</v>
      </c>
      <c r="O29" s="38" t="str">
        <v>#N/A</v>
      </c>
      <c r="P29" s="37" t="str">
        <v>#N/A</v>
      </c>
      <c r="Q29" s="37" t="str">
        <v>#N/A</v>
      </c>
      <c r="R29" s="37" t="str">
        <v>#N/A</v>
      </c>
      <c r="S29" s="37" t="str">
        <v>#N/A</v>
      </c>
      <c r="T29" s="37" t="str">
        <v>#N/A</v>
      </c>
      <c r="U29" s="35" t="str">
        <v>#N/A</v>
      </c>
      <c r="V29" s="60">
        <f t="shared" si="2"/>
        <v>1.8303054100572895</v>
      </c>
      <c r="W29" s="39"/>
      <c r="X29" s="61">
        <f t="shared" si="0"/>
        <v>1.8303054100572895</v>
      </c>
      <c r="Y29" s="67">
        <f>IF(ISERROR(A29),NA(),_xll.qlBondYieldFromCleanPrice(AH29,X29/C29*100,YieldDayCounter,YieldCompounding,YieldFrequency))</f>
        <v>2.0623662543860687E-2</v>
      </c>
      <c r="Z29" s="40"/>
      <c r="AA29" s="68">
        <f t="shared" si="3"/>
        <v>2.0623662543860687E-2</v>
      </c>
      <c r="AB29" s="60">
        <f>IF(ISERROR(A29),IF(ISNUMBER(C29),0,NA()),_xll.qlBondCleanPriceFromYield(AH29,AA29,YieldDayCounter,YieldCompounding,YieldFrequency))</f>
        <v>77.065490990348721</v>
      </c>
      <c r="AC29" s="39"/>
      <c r="AD29" s="61">
        <f t="shared" si="1"/>
        <v>77.065490990348721</v>
      </c>
      <c r="AE29" s="60">
        <f t="shared" si="4"/>
        <v>1.8303054110207773</v>
      </c>
      <c r="AF29" s="71">
        <f t="shared" si="5"/>
        <v>77.065490990348721</v>
      </c>
      <c r="AG29" s="68">
        <f>IF(ISERROR(A29),NA(),_xll.qlBondYieldFromCleanPrice(AH29,AF29,YieldDayCounter,YieldCompounding,YieldFrequency))</f>
        <v>2.0623662501760641E-2</v>
      </c>
      <c r="AH29" s="72" t="str">
        <f>_xll.qlZeroCouponBond(,,"EUR",3,"target",$C29,$B29,"f",100)</f>
        <v>obj_00ac1#0001</v>
      </c>
      <c r="AJ29" s="26"/>
      <c r="AK29" s="26"/>
      <c r="AL29" s="100"/>
      <c r="AM29" s="145"/>
      <c r="AN29" s="99"/>
      <c r="AO29" s="99"/>
    </row>
    <row r="30" spans="1:41" ht="12.75" x14ac:dyDescent="0.2">
      <c r="A30" s="42">
        <f>_xll.qlYieldTSDiscount(BtpCurve,B30,,PriceTrigger)</f>
        <v>0.75655810969204662</v>
      </c>
      <c r="B30" s="32">
        <v>47364</v>
      </c>
      <c r="C30" s="33">
        <v>2.3749999999999938</v>
      </c>
      <c r="D30" s="54">
        <v>100</v>
      </c>
      <c r="E30" s="32">
        <v>47178</v>
      </c>
      <c r="F30" s="32">
        <v>47362</v>
      </c>
      <c r="G30" s="34">
        <v>184</v>
      </c>
      <c r="H30" s="35" t="str">
        <v>#N/A</v>
      </c>
      <c r="I30" s="34" t="str">
        <v>#N/A</v>
      </c>
      <c r="J30" s="32" t="str">
        <v>#N/A</v>
      </c>
      <c r="K30" s="34" t="str">
        <v>Actual/Actual (ISMA)</v>
      </c>
      <c r="L30" s="36">
        <v>0.5</v>
      </c>
      <c r="M30" s="37">
        <v>4.7500000000000001E-2</v>
      </c>
      <c r="N30" s="37" t="str">
        <v>#N/A</v>
      </c>
      <c r="O30" s="38" t="str">
        <v>#N/A</v>
      </c>
      <c r="P30" s="37" t="str">
        <v>#N/A</v>
      </c>
      <c r="Q30" s="37" t="str">
        <v>#N/A</v>
      </c>
      <c r="R30" s="37" t="str">
        <v>#N/A</v>
      </c>
      <c r="S30" s="37" t="str">
        <v>#N/A</v>
      </c>
      <c r="T30" s="37" t="str">
        <v>#N/A</v>
      </c>
      <c r="U30" s="35" t="str">
        <v>#N/A</v>
      </c>
      <c r="V30" s="60">
        <f t="shared" si="2"/>
        <v>1.796825510518606</v>
      </c>
      <c r="W30" s="39"/>
      <c r="X30" s="61">
        <f t="shared" si="0"/>
        <v>1.796825510518606</v>
      </c>
      <c r="Y30" s="67">
        <f>IF(ISERROR(A30),NA(),_xll.qlBondYieldFromCleanPrice(AH30,X30/C30*100,YieldDayCounter,YieldCompounding,YieldFrequency))</f>
        <v>2.1244800123281646E-2</v>
      </c>
      <c r="Z30" s="40"/>
      <c r="AA30" s="68">
        <f t="shared" si="3"/>
        <v>2.1244800123281646E-2</v>
      </c>
      <c r="AB30" s="60">
        <f>IF(ISERROR(A30),IF(ISNUMBER(C30),0,NA()),_xll.qlBondCleanPriceFromYield(AH30,AA30,YieldDayCounter,YieldCompounding,YieldFrequency))</f>
        <v>75.655810978137097</v>
      </c>
      <c r="AC30" s="39"/>
      <c r="AD30" s="61">
        <f t="shared" si="1"/>
        <v>75.655810978137097</v>
      </c>
      <c r="AE30" s="60">
        <f t="shared" si="4"/>
        <v>1.7968255107307514</v>
      </c>
      <c r="AF30" s="71">
        <f t="shared" si="5"/>
        <v>75.655810978137097</v>
      </c>
      <c r="AG30" s="68">
        <f>IF(ISERROR(A30),NA(),_xll.qlBondYieldFromCleanPrice(AH30,AF30,YieldDayCounter,YieldCompounding,YieldFrequency))</f>
        <v>2.1244800114195717E-2</v>
      </c>
      <c r="AH30" s="72" t="str">
        <f>_xll.qlZeroCouponBond(,,"EUR",3,"target",$C30,$B30,"f",100)</f>
        <v>obj_00ab7#0001</v>
      </c>
      <c r="AJ30" s="26"/>
      <c r="AK30" s="26"/>
      <c r="AL30" s="100"/>
      <c r="AM30" s="145"/>
      <c r="AN30" s="99"/>
      <c r="AO30" s="99"/>
    </row>
    <row r="31" spans="1:41" ht="12.75" x14ac:dyDescent="0.2">
      <c r="A31" s="42">
        <f>_xll.qlYieldTSDiscount(BtpCurve,B31,,PriceTrigger)</f>
        <v>0.75760693746339203</v>
      </c>
      <c r="B31" s="32">
        <v>47543</v>
      </c>
      <c r="C31" s="33">
        <v>2.3749999999999938</v>
      </c>
      <c r="D31" s="54">
        <v>100</v>
      </c>
      <c r="E31" s="32">
        <v>47362</v>
      </c>
      <c r="F31" s="32">
        <v>47543</v>
      </c>
      <c r="G31" s="34">
        <v>181</v>
      </c>
      <c r="H31" s="35" t="str">
        <v>#N/A</v>
      </c>
      <c r="I31" s="34" t="str">
        <v>#N/A</v>
      </c>
      <c r="J31" s="32" t="str">
        <v>#N/A</v>
      </c>
      <c r="K31" s="34" t="str">
        <v>Actual/Actual (ISMA)</v>
      </c>
      <c r="L31" s="36">
        <v>0.5</v>
      </c>
      <c r="M31" s="37">
        <v>4.7500000000000001E-2</v>
      </c>
      <c r="N31" s="37" t="str">
        <v>#N/A</v>
      </c>
      <c r="O31" s="38" t="str">
        <v>#N/A</v>
      </c>
      <c r="P31" s="37" t="str">
        <v>#N/A</v>
      </c>
      <c r="Q31" s="37" t="str">
        <v>#N/A</v>
      </c>
      <c r="R31" s="37" t="str">
        <v>#N/A</v>
      </c>
      <c r="S31" s="37" t="str">
        <v>#N/A</v>
      </c>
      <c r="T31" s="37" t="str">
        <v>#N/A</v>
      </c>
      <c r="U31" s="35" t="str">
        <v>#N/A</v>
      </c>
      <c r="V31" s="60">
        <f t="shared" si="2"/>
        <v>1.7993164764755514</v>
      </c>
      <c r="W31" s="39"/>
      <c r="X31" s="61">
        <f t="shared" si="0"/>
        <v>1.7993164764755514</v>
      </c>
      <c r="Y31" s="67">
        <f>IF(ISERROR(A31),NA(),_xll.qlBondYieldFromCleanPrice(AH31,X31/C31*100,YieldDayCounter,YieldCompounding,YieldFrequency))</f>
        <v>2.0376140216480071E-2</v>
      </c>
      <c r="Z31" s="40"/>
      <c r="AA31" s="68">
        <f t="shared" si="3"/>
        <v>2.0376140216480071E-2</v>
      </c>
      <c r="AB31" s="60">
        <f>IF(ISERROR(A31),IF(ISNUMBER(C31),0,NA()),_xll.qlBondCleanPriceFromYield(AH31,AA31,YieldDayCounter,YieldCompounding,YieldFrequency))</f>
        <v>75.760693757559437</v>
      </c>
      <c r="AC31" s="39"/>
      <c r="AD31" s="61">
        <f t="shared" si="1"/>
        <v>75.760693757559437</v>
      </c>
      <c r="AE31" s="60">
        <f t="shared" si="4"/>
        <v>1.799316476742032</v>
      </c>
      <c r="AF31" s="71">
        <f t="shared" si="5"/>
        <v>75.760693757559437</v>
      </c>
      <c r="AG31" s="68">
        <f>IF(ISERROR(A31),NA(),_xll.qlBondYieldFromCleanPrice(AH31,AF31,YieldDayCounter,YieldCompounding,YieldFrequency))</f>
        <v>2.0376140205498886E-2</v>
      </c>
      <c r="AH31" s="72" t="str">
        <f>_xll.qlZeroCouponBond(,,"EUR",3,"target",$C31,$B31,"f",100)</f>
        <v>obj_00abc#0001</v>
      </c>
      <c r="AJ31" s="26"/>
      <c r="AK31" s="144"/>
      <c r="AL31" s="115"/>
      <c r="AM31" s="115"/>
      <c r="AN31" s="147"/>
      <c r="AO31" s="99"/>
    </row>
    <row r="32" spans="1:41" ht="12.75" x14ac:dyDescent="0.2">
      <c r="A32" s="42">
        <f>_xll.qlYieldTSDiscount(BtpCurve,B32,,PriceTrigger)</f>
        <v>0.74001058125028873</v>
      </c>
      <c r="B32" s="32">
        <v>47728</v>
      </c>
      <c r="C32" s="33">
        <v>2.3749999999999938</v>
      </c>
      <c r="D32" s="54">
        <v>100</v>
      </c>
      <c r="E32" s="32">
        <v>47543</v>
      </c>
      <c r="F32" s="32">
        <v>47727</v>
      </c>
      <c r="G32" s="34">
        <v>184</v>
      </c>
      <c r="H32" s="35" t="str">
        <v>#N/A</v>
      </c>
      <c r="I32" s="34" t="str">
        <v>#N/A</v>
      </c>
      <c r="J32" s="32" t="str">
        <v>#N/A</v>
      </c>
      <c r="K32" s="34" t="str">
        <v>Actual/Actual (ISMA)</v>
      </c>
      <c r="L32" s="36">
        <v>0.5</v>
      </c>
      <c r="M32" s="37">
        <v>4.7500000000000001E-2</v>
      </c>
      <c r="N32" s="37" t="str">
        <v>#N/A</v>
      </c>
      <c r="O32" s="38" t="str">
        <v>#N/A</v>
      </c>
      <c r="P32" s="37" t="str">
        <v>#N/A</v>
      </c>
      <c r="Q32" s="37" t="str">
        <v>#N/A</v>
      </c>
      <c r="R32" s="37" t="str">
        <v>#N/A</v>
      </c>
      <c r="S32" s="37" t="str">
        <v>#N/A</v>
      </c>
      <c r="T32" s="37" t="str">
        <v>#N/A</v>
      </c>
      <c r="U32" s="35" t="str">
        <v>#N/A</v>
      </c>
      <c r="V32" s="60">
        <f t="shared" si="2"/>
        <v>1.757525130469431</v>
      </c>
      <c r="W32" s="39"/>
      <c r="X32" s="61">
        <f t="shared" si="0"/>
        <v>1.757525130469431</v>
      </c>
      <c r="Y32" s="67">
        <f>IF(ISERROR(A32),NA(),_xll.qlBondYieldFromCleanPrice(AH32,X32/C32*100,YieldDayCounter,YieldCompounding,YieldFrequency))</f>
        <v>2.132711866611095E-2</v>
      </c>
      <c r="Z32" s="40">
        <f>+BtpCurve!V40+AL32/10000</f>
        <v>1.334293086919934E-2</v>
      </c>
      <c r="AA32" s="68">
        <f t="shared" si="3"/>
        <v>1.334293086919934E-2</v>
      </c>
      <c r="AB32" s="60">
        <f>IF(ISERROR(A32),IF(ISNUMBER(C32),0,NA()),_xll.qlBondCleanPriceFromYield(AH32,AA32,YieldDayCounter,YieldCompounding,YieldFrequency))</f>
        <v>82.76914462221653</v>
      </c>
      <c r="AC32" s="39"/>
      <c r="AD32" s="61">
        <f t="shared" si="1"/>
        <v>82.76914462221653</v>
      </c>
      <c r="AE32" s="60">
        <f t="shared" si="4"/>
        <v>1.9657671847776375</v>
      </c>
      <c r="AF32" s="71">
        <f t="shared" si="5"/>
        <v>82.76914462221653</v>
      </c>
      <c r="AG32" s="68">
        <f>IF(ISERROR(A32),NA(),_xll.qlBondYieldFromCleanPrice(AH32,AF32,YieldDayCounter,YieldCompounding,YieldFrequency))</f>
        <v>1.3342930839617769E-2</v>
      </c>
      <c r="AH32" s="72" t="str">
        <f>_xll.qlZeroCouponBond(,,"EUR",3,"target",$C32,$B32,"f",100)</f>
        <v>obj_00ab9#0001</v>
      </c>
      <c r="AJ32" s="26"/>
      <c r="AK32" s="144"/>
      <c r="AL32" s="115"/>
      <c r="AM32" s="115"/>
      <c r="AN32" s="147"/>
      <c r="AO32" s="99"/>
    </row>
    <row r="33" spans="1:41" ht="12.75" x14ac:dyDescent="0.2">
      <c r="A33" s="42">
        <f>_xll.qlYieldTSDiscount(BtpCurve,B33,,PriceTrigger)</f>
        <v>0.71780546469099105</v>
      </c>
      <c r="B33" s="32">
        <v>47910</v>
      </c>
      <c r="C33" s="33">
        <v>2.3749999999999938</v>
      </c>
      <c r="D33" s="54">
        <v>100</v>
      </c>
      <c r="E33" s="32">
        <v>47727</v>
      </c>
      <c r="F33" s="32">
        <v>47908</v>
      </c>
      <c r="G33" s="34">
        <v>181</v>
      </c>
      <c r="H33" s="35" t="str">
        <v>#N/A</v>
      </c>
      <c r="I33" s="34" t="str">
        <v>#N/A</v>
      </c>
      <c r="J33" s="32" t="str">
        <v>#N/A</v>
      </c>
      <c r="K33" s="34" t="str">
        <v>Actual/Actual (ISMA)</v>
      </c>
      <c r="L33" s="36">
        <v>0.5</v>
      </c>
      <c r="M33" s="37">
        <v>4.7500000000000001E-2</v>
      </c>
      <c r="N33" s="37" t="str">
        <v>#N/A</v>
      </c>
      <c r="O33" s="38" t="str">
        <v>#N/A</v>
      </c>
      <c r="P33" s="37" t="str">
        <v>#N/A</v>
      </c>
      <c r="Q33" s="37" t="str">
        <v>#N/A</v>
      </c>
      <c r="R33" s="37" t="str">
        <v>#N/A</v>
      </c>
      <c r="S33" s="37" t="str">
        <v>#N/A</v>
      </c>
      <c r="T33" s="37" t="str">
        <v>#N/A</v>
      </c>
      <c r="U33" s="35" t="str">
        <v>#N/A</v>
      </c>
      <c r="V33" s="60">
        <f t="shared" si="2"/>
        <v>1.7047879786410993</v>
      </c>
      <c r="W33" s="39"/>
      <c r="X33" s="61">
        <f t="shared" si="0"/>
        <v>1.7047879786410993</v>
      </c>
      <c r="Y33" s="67">
        <f>IF(ISERROR(A33),NA(),_xll.qlBondYieldFromCleanPrice(AH33,X33/C33*100,YieldDayCounter,YieldCompounding,YieldFrequency))</f>
        <v>2.2706305623082308E-2</v>
      </c>
      <c r="Z33" s="40"/>
      <c r="AA33" s="68">
        <f t="shared" si="3"/>
        <v>2.2706305623082308E-2</v>
      </c>
      <c r="AB33" s="60">
        <f>IF(ISERROR(A33),IF(ISNUMBER(C33),0,NA()),_xll.qlBondCleanPriceFromYield(AH33,AA33,YieldDayCounter,YieldCompounding,YieldFrequency))</f>
        <v>71.780546510735434</v>
      </c>
      <c r="AC33" s="39"/>
      <c r="AD33" s="61">
        <f t="shared" si="1"/>
        <v>71.780546510735434</v>
      </c>
      <c r="AE33" s="60">
        <f t="shared" si="4"/>
        <v>1.7047879796299621</v>
      </c>
      <c r="AF33" s="71">
        <f t="shared" si="5"/>
        <v>71.780546510735434</v>
      </c>
      <c r="AG33" s="68">
        <f>IF(ISERROR(A33),NA(),_xll.qlBondYieldFromCleanPrice(AH33,AF33,YieldDayCounter,YieldCompounding,YieldFrequency))</f>
        <v>2.2706305582910435E-2</v>
      </c>
      <c r="AH33" s="72" t="str">
        <f>_xll.qlZeroCouponBond(,,"EUR",3,"target",$C33,$B33,"f",100)</f>
        <v>obj_00ab0#0001</v>
      </c>
      <c r="AJ33" s="26"/>
      <c r="AK33" s="26"/>
      <c r="AL33" s="100"/>
      <c r="AM33" s="99"/>
      <c r="AN33" s="99"/>
      <c r="AO33" s="99"/>
    </row>
    <row r="34" spans="1:41" ht="12.75" x14ac:dyDescent="0.2">
      <c r="A34" s="42">
        <f>_xll.qlYieldTSDiscount(BtpCurve,B34,,PriceTrigger)</f>
        <v>0.71995276007431463</v>
      </c>
      <c r="B34" s="32">
        <v>48092</v>
      </c>
      <c r="C34" s="33">
        <v>2.3749999999999938</v>
      </c>
      <c r="D34" s="54">
        <v>100</v>
      </c>
      <c r="E34" s="32">
        <v>47908</v>
      </c>
      <c r="F34" s="32">
        <v>48092</v>
      </c>
      <c r="G34" s="34">
        <v>184</v>
      </c>
      <c r="H34" s="35" t="str">
        <v>#N/A</v>
      </c>
      <c r="I34" s="34" t="str">
        <v>#N/A</v>
      </c>
      <c r="J34" s="32" t="str">
        <v>#N/A</v>
      </c>
      <c r="K34" s="34" t="str">
        <v>Actual/Actual (ISMA)</v>
      </c>
      <c r="L34" s="36">
        <v>0.5</v>
      </c>
      <c r="M34" s="37">
        <v>4.7500000000000001E-2</v>
      </c>
      <c r="N34" s="37" t="str">
        <v>#N/A</v>
      </c>
      <c r="O34" s="38" t="str">
        <v>#N/A</v>
      </c>
      <c r="P34" s="37" t="str">
        <v>#N/A</v>
      </c>
      <c r="Q34" s="37" t="str">
        <v>#N/A</v>
      </c>
      <c r="R34" s="37" t="str">
        <v>#N/A</v>
      </c>
      <c r="S34" s="37" t="str">
        <v>#N/A</v>
      </c>
      <c r="T34" s="37" t="str">
        <v>#N/A</v>
      </c>
      <c r="U34" s="35" t="str">
        <v>#N/A</v>
      </c>
      <c r="V34" s="60">
        <f t="shared" si="2"/>
        <v>1.7098878051764927</v>
      </c>
      <c r="W34" s="39"/>
      <c r="X34" s="61">
        <f t="shared" si="0"/>
        <v>1.7098878051764927</v>
      </c>
      <c r="Y34" s="67">
        <f>IF(ISERROR(A34),NA(),_xll.qlBondYieldFromCleanPrice(AH34,X34/C34*100,YieldDayCounter,YieldCompounding,YieldFrequency))</f>
        <v>2.1757662400151947E-2</v>
      </c>
      <c r="Z34" s="40"/>
      <c r="AA34" s="68">
        <f t="shared" si="3"/>
        <v>2.1757662400151947E-2</v>
      </c>
      <c r="AB34" s="60">
        <f>IF(ISERROR(A34),IF(ISNUMBER(C34),0,NA()),_xll.qlBondCleanPriceFromYield(AH34,AA34,YieldDayCounter,YieldCompounding,YieldFrequency))</f>
        <v>71.99527603211915</v>
      </c>
      <c r="AC34" s="39"/>
      <c r="AD34" s="61">
        <f t="shared" si="1"/>
        <v>71.99527603211915</v>
      </c>
      <c r="AE34" s="60">
        <f t="shared" si="4"/>
        <v>1.7098878057628253</v>
      </c>
      <c r="AF34" s="71">
        <f t="shared" si="5"/>
        <v>71.99527603211915</v>
      </c>
      <c r="AG34" s="68">
        <f>IF(ISERROR(A34),NA(),_xll.qlBondYieldFromCleanPrice(AH34,AF34,YieldDayCounter,YieldCompounding,YieldFrequency))</f>
        <v>2.1757662377199321E-2</v>
      </c>
      <c r="AH34" s="72" t="str">
        <f>_xll.qlZeroCouponBond(,,"EUR",3,"target",$C34,$B34,"f",100)</f>
        <v>obj_00ac3#0001</v>
      </c>
      <c r="AJ34" s="26"/>
      <c r="AK34" s="26"/>
      <c r="AL34" s="100"/>
      <c r="AM34" s="99"/>
      <c r="AN34" s="149"/>
      <c r="AO34" s="148"/>
    </row>
    <row r="35" spans="1:41" ht="12.75" x14ac:dyDescent="0.2">
      <c r="A35" s="42">
        <f>_xll.qlYieldTSDiscount(BtpCurve,B35,,PriceTrigger)</f>
        <v>0.72625436507071217</v>
      </c>
      <c r="B35" s="32">
        <v>48274</v>
      </c>
      <c r="C35" s="33">
        <v>2.3749999999999938</v>
      </c>
      <c r="D35" s="54">
        <v>100</v>
      </c>
      <c r="E35" s="32">
        <v>48092</v>
      </c>
      <c r="F35" s="32">
        <v>48274</v>
      </c>
      <c r="G35" s="34">
        <v>182</v>
      </c>
      <c r="H35" s="35" t="str">
        <v>#N/A</v>
      </c>
      <c r="I35" s="34" t="str">
        <v>#N/A</v>
      </c>
      <c r="J35" s="32" t="str">
        <v>#N/A</v>
      </c>
      <c r="K35" s="34" t="str">
        <v>Actual/Actual (ISMA)</v>
      </c>
      <c r="L35" s="36">
        <v>0.5</v>
      </c>
      <c r="M35" s="37">
        <v>4.7500000000000001E-2</v>
      </c>
      <c r="N35" s="37" t="str">
        <v>#N/A</v>
      </c>
      <c r="O35" s="38" t="str">
        <v>#N/A</v>
      </c>
      <c r="P35" s="37" t="str">
        <v>#N/A</v>
      </c>
      <c r="Q35" s="37" t="str">
        <v>#N/A</v>
      </c>
      <c r="R35" s="37" t="str">
        <v>#N/A</v>
      </c>
      <c r="S35" s="37" t="str">
        <v>#N/A</v>
      </c>
      <c r="T35" s="37" t="str">
        <v>#N/A</v>
      </c>
      <c r="U35" s="35" t="str">
        <v>#N/A</v>
      </c>
      <c r="V35" s="60">
        <f t="shared" si="2"/>
        <v>1.7248541170429368</v>
      </c>
      <c r="W35" s="39"/>
      <c r="X35" s="61">
        <f t="shared" si="0"/>
        <v>1.7248541170429368</v>
      </c>
      <c r="Y35" s="67">
        <f>IF(ISERROR(A35),NA(),_xll.qlBondYieldFromCleanPrice(AH35,X35/C35*100,YieldDayCounter,YieldCompounding,YieldFrequency))</f>
        <v>2.0500556718074017E-2</v>
      </c>
      <c r="Z35" s="40"/>
      <c r="AA35" s="68">
        <f t="shared" si="3"/>
        <v>2.0500556718074017E-2</v>
      </c>
      <c r="AB35" s="60">
        <f>IF(ISERROR(A35),IF(ISNUMBER(C35),0,NA()),_xll.qlBondCleanPriceFromYield(AH35,AA35,YieldDayCounter,YieldCompounding,YieldFrequency))</f>
        <v>72.62543654493966</v>
      </c>
      <c r="AC35" s="39"/>
      <c r="AD35" s="61">
        <f t="shared" si="1"/>
        <v>72.62543654493966</v>
      </c>
      <c r="AE35" s="60">
        <f t="shared" si="4"/>
        <v>1.7248541179423125</v>
      </c>
      <c r="AF35" s="71">
        <f t="shared" si="5"/>
        <v>72.62543654493966</v>
      </c>
      <c r="AG35" s="68">
        <f>IF(ISERROR(A35),NA(),_xll.qlBondYieldFromCleanPrice(AH35,AF35,YieldDayCounter,YieldCompounding,YieldFrequency))</f>
        <v>2.0500556684314247E-2</v>
      </c>
      <c r="AH35" s="72" t="str">
        <f>_xll.qlZeroCouponBond(,,"EUR",3,"target",$C35,$B35,"f",100)</f>
        <v>obj_00add#0000</v>
      </c>
      <c r="AJ35" s="26"/>
      <c r="AK35" s="26"/>
      <c r="AL35" s="100"/>
      <c r="AM35" s="99"/>
      <c r="AN35" s="99"/>
      <c r="AO35" s="99"/>
    </row>
    <row r="36" spans="1:41" ht="12.75" x14ac:dyDescent="0.2">
      <c r="A36" s="42">
        <f>_xll.qlYieldTSDiscount(BtpCurve,B36,,PriceTrigger)</f>
        <v>0.70004770830765395</v>
      </c>
      <c r="B36" s="32">
        <v>48458</v>
      </c>
      <c r="C36" s="33">
        <v>2.3749999999999938</v>
      </c>
      <c r="D36" s="54">
        <v>100</v>
      </c>
      <c r="E36" s="32">
        <v>48274</v>
      </c>
      <c r="F36" s="32">
        <v>48458</v>
      </c>
      <c r="G36" s="34">
        <v>184</v>
      </c>
      <c r="H36" s="35" t="str">
        <v>#N/A</v>
      </c>
      <c r="I36" s="34" t="str">
        <v>#N/A</v>
      </c>
      <c r="J36" s="32" t="str">
        <v>#N/A</v>
      </c>
      <c r="K36" s="34" t="str">
        <v>Actual/Actual (ISMA)</v>
      </c>
      <c r="L36" s="36">
        <v>0.5</v>
      </c>
      <c r="M36" s="37">
        <v>4.7500000000000001E-2</v>
      </c>
      <c r="N36" s="37" t="str">
        <v>#N/A</v>
      </c>
      <c r="O36" s="38" t="str">
        <v>#N/A</v>
      </c>
      <c r="P36" s="37" t="str">
        <v>#N/A</v>
      </c>
      <c r="Q36" s="37" t="str">
        <v>#N/A</v>
      </c>
      <c r="R36" s="37" t="str">
        <v>#N/A</v>
      </c>
      <c r="S36" s="37" t="str">
        <v>#N/A</v>
      </c>
      <c r="T36" s="37" t="str">
        <v>#N/A</v>
      </c>
      <c r="U36" s="35" t="str">
        <v>#N/A</v>
      </c>
      <c r="V36" s="60">
        <f t="shared" si="2"/>
        <v>1.6626133072306737</v>
      </c>
      <c r="W36" s="39"/>
      <c r="X36" s="61">
        <f t="shared" si="0"/>
        <v>1.6626133072306737</v>
      </c>
      <c r="Y36" s="67">
        <f>IF(ISERROR(A36),NA(),_xll.qlBondYieldFromCleanPrice(AH36,X36/C36*100,YieldDayCounter,YieldCompounding,YieldFrequency))</f>
        <v>2.2166871888285214E-2</v>
      </c>
      <c r="Z36" s="40"/>
      <c r="AA36" s="68">
        <f t="shared" si="3"/>
        <v>2.2166871888285214E-2</v>
      </c>
      <c r="AB36" s="60">
        <f>IF(ISERROR(A36),IF(ISNUMBER(C36),0,NA()),_xll.qlBondCleanPriceFromYield(AH36,AA36,YieldDayCounter,YieldCompounding,YieldFrequency))</f>
        <v>70.004770871920755</v>
      </c>
      <c r="AC36" s="39"/>
      <c r="AD36" s="61">
        <f t="shared" si="1"/>
        <v>70.004770871920755</v>
      </c>
      <c r="AE36" s="60">
        <f t="shared" si="4"/>
        <v>1.6626133082081136</v>
      </c>
      <c r="AF36" s="71">
        <f t="shared" si="5"/>
        <v>70.004770871920755</v>
      </c>
      <c r="AG36" s="68">
        <f>IF(ISERROR(A36),NA(),_xll.qlBondYieldFromCleanPrice(AH36,AF36,YieldDayCounter,YieldCompounding,YieldFrequency))</f>
        <v>2.2166871851339441E-2</v>
      </c>
      <c r="AH36" s="72" t="str">
        <f>_xll.qlZeroCouponBond(,,"EUR",3,"target",$C36,$B36,"f",100)</f>
        <v>obj_00ace#0000</v>
      </c>
      <c r="AJ36" s="26"/>
      <c r="AK36" s="26"/>
      <c r="AL36" s="100"/>
      <c r="AM36" s="99"/>
      <c r="AN36" s="99"/>
      <c r="AO36" s="99"/>
    </row>
    <row r="37" spans="1:41" ht="12.75" x14ac:dyDescent="0.2">
      <c r="A37" s="42">
        <f>_xll.qlYieldTSDiscount(BtpCurve,B37,,PriceTrigger)</f>
        <v>0.66630917537361134</v>
      </c>
      <c r="B37" s="32">
        <v>48639</v>
      </c>
      <c r="C37" s="33">
        <v>2.3749999999999938</v>
      </c>
      <c r="D37" s="54">
        <v>100</v>
      </c>
      <c r="E37" s="32">
        <v>48458</v>
      </c>
      <c r="F37" s="32">
        <v>48639</v>
      </c>
      <c r="G37" s="34">
        <v>181</v>
      </c>
      <c r="H37" s="35" t="str">
        <v>#N/A</v>
      </c>
      <c r="I37" s="34" t="str">
        <v>#N/A</v>
      </c>
      <c r="J37" s="32" t="str">
        <v>#N/A</v>
      </c>
      <c r="K37" s="34" t="str">
        <v>Actual/Actual (ISMA)</v>
      </c>
      <c r="L37" s="36">
        <v>0.5</v>
      </c>
      <c r="M37" s="37">
        <v>4.7500000000000001E-2</v>
      </c>
      <c r="N37" s="37" t="str">
        <v>#N/A</v>
      </c>
      <c r="O37" s="38" t="str">
        <v>#N/A</v>
      </c>
      <c r="P37" s="37" t="str">
        <v>#N/A</v>
      </c>
      <c r="Q37" s="37" t="str">
        <v>#N/A</v>
      </c>
      <c r="R37" s="37" t="str">
        <v>#N/A</v>
      </c>
      <c r="S37" s="37" t="str">
        <v>#N/A</v>
      </c>
      <c r="T37" s="37" t="str">
        <v>#N/A</v>
      </c>
      <c r="U37" s="35" t="str">
        <v>#N/A</v>
      </c>
      <c r="V37" s="60">
        <f t="shared" si="2"/>
        <v>1.5824842915123227</v>
      </c>
      <c r="W37" s="39"/>
      <c r="X37" s="61">
        <f t="shared" si="0"/>
        <v>1.5824842915123227</v>
      </c>
      <c r="Y37" s="67">
        <f>IF(ISERROR(A37),NA(),_xll.qlBondYieldFromCleanPrice(AH37,X37/C37*100,YieldDayCounter,YieldCompounding,YieldFrequency))</f>
        <v>2.4517793792126069E-2</v>
      </c>
      <c r="Z37" s="40"/>
      <c r="AA37" s="68">
        <f t="shared" si="3"/>
        <v>2.4517793792126069E-2</v>
      </c>
      <c r="AB37" s="60">
        <f>IF(ISERROR(A37),IF(ISNUMBER(C37),0,NA()),_xll.qlBondCleanPriceFromYield(AH37,AA37,YieldDayCounter,YieldCompounding,YieldFrequency))</f>
        <v>66.630917508475932</v>
      </c>
      <c r="AC37" s="39"/>
      <c r="AD37" s="61">
        <f t="shared" si="1"/>
        <v>66.630917508475932</v>
      </c>
      <c r="AE37" s="60">
        <f t="shared" ref="AE37:AE67" si="6">AF37/100*C37</f>
        <v>1.5824842908262993</v>
      </c>
      <c r="AF37" s="71">
        <f t="shared" si="5"/>
        <v>66.630917508475932</v>
      </c>
      <c r="AG37" s="68">
        <f>IF(ISERROR(A37),NA(),_xll.qlBondYieldFromCleanPrice(AH37,AF37,YieldDayCounter,YieldCompounding,YieldFrequency))</f>
        <v>2.4517793818623301E-2</v>
      </c>
      <c r="AH37" s="72" t="str">
        <f>_xll.qlZeroCouponBond(,,"EUR",3,"target",$C37,$B37,"f",100)</f>
        <v>obj_00ac5#0000</v>
      </c>
      <c r="AJ37" s="26"/>
      <c r="AK37" s="26"/>
      <c r="AL37" s="100"/>
      <c r="AM37" s="99"/>
      <c r="AN37" s="99"/>
      <c r="AO37" s="99"/>
    </row>
    <row r="38" spans="1:41" ht="12.75" x14ac:dyDescent="0.2">
      <c r="A38" s="42">
        <f>_xll.qlYieldTSDiscount(BtpCurve,B38,,PriceTrigger)</f>
        <v>0.64827503880853932</v>
      </c>
      <c r="B38" s="32">
        <v>48823</v>
      </c>
      <c r="C38" s="33">
        <v>2.3749999999999938</v>
      </c>
      <c r="D38" s="54">
        <v>100</v>
      </c>
      <c r="E38" s="32">
        <v>48639</v>
      </c>
      <c r="F38" s="32">
        <v>48823</v>
      </c>
      <c r="G38" s="34">
        <v>184</v>
      </c>
      <c r="H38" s="35" t="str">
        <v>#N/A</v>
      </c>
      <c r="I38" s="34" t="str">
        <v>#N/A</v>
      </c>
      <c r="J38" s="32" t="str">
        <v>#N/A</v>
      </c>
      <c r="K38" s="34" t="str">
        <v>Actual/Actual (ISMA)</v>
      </c>
      <c r="L38" s="36">
        <v>0.5</v>
      </c>
      <c r="M38" s="37">
        <v>4.7500000000000001E-2</v>
      </c>
      <c r="N38" s="37" t="str">
        <v>#N/A</v>
      </c>
      <c r="O38" s="38" t="str">
        <v>#N/A</v>
      </c>
      <c r="P38" s="37" t="str">
        <v>#N/A</v>
      </c>
      <c r="Q38" s="37" t="str">
        <v>#N/A</v>
      </c>
      <c r="R38" s="37" t="str">
        <v>#N/A</v>
      </c>
      <c r="S38" s="37" t="str">
        <v>#N/A</v>
      </c>
      <c r="T38" s="37" t="str">
        <v>#N/A</v>
      </c>
      <c r="U38" s="35" t="str">
        <v>#N/A</v>
      </c>
      <c r="V38" s="60">
        <f t="shared" si="2"/>
        <v>1.5396532171702768</v>
      </c>
      <c r="W38" s="39"/>
      <c r="X38" s="61">
        <f t="shared" si="0"/>
        <v>1.5396532171702768</v>
      </c>
      <c r="Y38" s="67">
        <f>IF(ISERROR(A38),NA(),_xll.qlBondYieldFromCleanPrice(AH38,X38/C38*100,YieldDayCounter,YieldCompounding,YieldFrequency))</f>
        <v>2.5422886336401784E-2</v>
      </c>
      <c r="Z38" s="40"/>
      <c r="AA38" s="68">
        <f t="shared" si="3"/>
        <v>2.5422886336401784E-2</v>
      </c>
      <c r="AB38" s="60">
        <f>IF(ISERROR(A38),IF(ISNUMBER(C38),0,NA()),_xll.qlBondCleanPriceFromYield(AH38,AA38,YieldDayCounter,YieldCompounding,YieldFrequency))</f>
        <v>64.827503917134578</v>
      </c>
      <c r="AC38" s="39"/>
      <c r="AD38" s="61">
        <f t="shared" si="1"/>
        <v>64.827503917134578</v>
      </c>
      <c r="AE38" s="60">
        <f t="shared" si="6"/>
        <v>1.5396532180319422</v>
      </c>
      <c r="AF38" s="71">
        <f t="shared" si="5"/>
        <v>64.827503917134578</v>
      </c>
      <c r="AG38" s="68">
        <f>IF(ISERROR(A38),NA(),_xll.qlBondYieldFromCleanPrice(AH38,AF38,YieldDayCounter,YieldCompounding,YieldFrequency))</f>
        <v>2.5422886303162927E-2</v>
      </c>
      <c r="AH38" s="72" t="str">
        <f>_xll.qlZeroCouponBond(,,"EUR",3,"target",$C38,$B38,"f",100)</f>
        <v>obj_00ade#0000</v>
      </c>
      <c r="AJ38" s="26"/>
      <c r="AK38" s="26"/>
      <c r="AL38" s="100"/>
      <c r="AM38" s="99"/>
      <c r="AN38" s="99"/>
      <c r="AO38" s="99"/>
    </row>
    <row r="39" spans="1:41" ht="12.75" x14ac:dyDescent="0.2">
      <c r="A39" s="42">
        <f>_xll.qlYieldTSDiscount(BtpCurve,B39,,PriceTrigger)</f>
        <v>0.64154267014612842</v>
      </c>
      <c r="B39" s="32">
        <v>49004</v>
      </c>
      <c r="C39" s="33">
        <v>2.3749999999999938</v>
      </c>
      <c r="D39" s="54">
        <v>100</v>
      </c>
      <c r="E39" s="32">
        <v>48823</v>
      </c>
      <c r="F39" s="32">
        <v>49004</v>
      </c>
      <c r="G39" s="34">
        <v>181</v>
      </c>
      <c r="H39" s="35" t="str">
        <v>#N/A</v>
      </c>
      <c r="I39" s="34" t="str">
        <v>#N/A</v>
      </c>
      <c r="J39" s="32" t="str">
        <v>#N/A</v>
      </c>
      <c r="K39" s="34" t="str">
        <v>Actual/Actual (ISMA)</v>
      </c>
      <c r="L39" s="36">
        <v>0.5</v>
      </c>
      <c r="M39" s="37">
        <v>4.7500000000000001E-2</v>
      </c>
      <c r="N39" s="37" t="str">
        <v>#N/A</v>
      </c>
      <c r="O39" s="38" t="str">
        <v>#N/A</v>
      </c>
      <c r="P39" s="37" t="str">
        <v>#N/A</v>
      </c>
      <c r="Q39" s="37" t="str">
        <v>#N/A</v>
      </c>
      <c r="R39" s="37" t="str">
        <v>#N/A</v>
      </c>
      <c r="S39" s="37" t="str">
        <v>#N/A</v>
      </c>
      <c r="T39" s="37" t="str">
        <v>#N/A</v>
      </c>
      <c r="U39" s="35" t="str">
        <v>#N/A</v>
      </c>
      <c r="V39" s="60">
        <f t="shared" si="2"/>
        <v>1.5236638415970509</v>
      </c>
      <c r="W39" s="39"/>
      <c r="X39" s="61">
        <f t="shared" si="0"/>
        <v>1.5236638415970509</v>
      </c>
      <c r="Y39" s="67">
        <f>IF(ISERROR(A39),NA(),_xll.qlBondYieldFromCleanPrice(AH39,X39/C39*100,YieldDayCounter,YieldCompounding,YieldFrequency))</f>
        <v>2.5305796920620613E-2</v>
      </c>
      <c r="Z39" s="40"/>
      <c r="AA39" s="68">
        <f t="shared" si="3"/>
        <v>2.5305796920620613E-2</v>
      </c>
      <c r="AB39" s="60">
        <f>IF(ISERROR(A39),IF(ISNUMBER(C39),0,NA()),_xll.qlBondCleanPriceFromYield(AH39,AA39,YieldDayCounter,YieldCompounding,YieldFrequency))</f>
        <v>64.154266986744375</v>
      </c>
      <c r="AC39" s="39"/>
      <c r="AD39" s="61">
        <f t="shared" si="1"/>
        <v>64.154266986744375</v>
      </c>
      <c r="AE39" s="60">
        <f t="shared" si="6"/>
        <v>1.523663840935175</v>
      </c>
      <c r="AF39" s="71">
        <f t="shared" si="5"/>
        <v>64.154266986744375</v>
      </c>
      <c r="AG39" s="68">
        <f>IF(ISERROR(A39),NA(),_xll.qlBondYieldFromCleanPrice(AH39,AF39,YieldDayCounter,YieldCompounding,YieldFrequency))</f>
        <v>2.5305796945696693E-2</v>
      </c>
      <c r="AH39" s="72" t="str">
        <f>_xll.qlZeroCouponBond(,,"EUR",3,"target",$C39,$B39,"f",100)</f>
        <v>obj_00ad5#0000</v>
      </c>
      <c r="AJ39" s="26"/>
      <c r="AK39" s="26"/>
      <c r="AL39" s="100"/>
      <c r="AM39" s="99"/>
      <c r="AN39" s="99"/>
      <c r="AO39" s="99"/>
    </row>
    <row r="40" spans="1:41" ht="12.75" x14ac:dyDescent="0.2">
      <c r="A40" s="42">
        <f>_xll.qlYieldTSDiscount(BtpCurve,B40,,PriceTrigger)</f>
        <v>0.63753668995320578</v>
      </c>
      <c r="B40" s="32">
        <v>49188</v>
      </c>
      <c r="C40" s="33">
        <v>2.3749999999999938</v>
      </c>
      <c r="D40" s="54">
        <v>100</v>
      </c>
      <c r="E40" s="32">
        <v>49004</v>
      </c>
      <c r="F40" s="32">
        <v>49188</v>
      </c>
      <c r="G40" s="34">
        <v>184</v>
      </c>
      <c r="H40" s="35" t="str">
        <v>#N/A</v>
      </c>
      <c r="I40" s="34" t="str">
        <v>#N/A</v>
      </c>
      <c r="J40" s="32" t="str">
        <v>#N/A</v>
      </c>
      <c r="K40" s="34" t="str">
        <v>Actual/Actual (ISMA)</v>
      </c>
      <c r="L40" s="36">
        <v>0.5</v>
      </c>
      <c r="M40" s="37">
        <v>4.7500000000000001E-2</v>
      </c>
      <c r="N40" s="37" t="str">
        <v>#N/A</v>
      </c>
      <c r="O40" s="38" t="str">
        <v>#N/A</v>
      </c>
      <c r="P40" s="37" t="str">
        <v>#N/A</v>
      </c>
      <c r="Q40" s="37" t="str">
        <v>#N/A</v>
      </c>
      <c r="R40" s="37" t="str">
        <v>#N/A</v>
      </c>
      <c r="S40" s="37" t="str">
        <v>#N/A</v>
      </c>
      <c r="T40" s="37" t="str">
        <v>#N/A</v>
      </c>
      <c r="U40" s="35" t="str">
        <v>#N/A</v>
      </c>
      <c r="V40" s="60">
        <f t="shared" si="2"/>
        <v>1.5141496386388598</v>
      </c>
      <c r="W40" s="39"/>
      <c r="X40" s="61">
        <f t="shared" si="0"/>
        <v>1.5141496386388598</v>
      </c>
      <c r="Y40" s="67">
        <f>IF(ISERROR(A40),NA(),_xll.qlBondYieldFromCleanPrice(AH40,X40/C40*100,YieldDayCounter,YieldCompounding,YieldFrequency))</f>
        <v>2.4951302174810234E-2</v>
      </c>
      <c r="Z40" s="40"/>
      <c r="AA40" s="68">
        <f t="shared" si="3"/>
        <v>2.4951302174810234E-2</v>
      </c>
      <c r="AB40" s="60">
        <f>IF(ISERROR(A40),IF(ISNUMBER(C40),0,NA()),_xll.qlBondCleanPriceFromYield(AH40,AA40,YieldDayCounter,YieldCompounding,YieldFrequency))</f>
        <v>63.753669028202488</v>
      </c>
      <c r="AC40" s="39"/>
      <c r="AD40" s="61">
        <f t="shared" si="1"/>
        <v>63.753669028202488</v>
      </c>
      <c r="AE40" s="60">
        <f t="shared" si="6"/>
        <v>1.5141496394198051</v>
      </c>
      <c r="AF40" s="71">
        <f t="shared" si="5"/>
        <v>63.753669028202488</v>
      </c>
      <c r="AG40" s="68">
        <f>IF(ISERROR(A40),NA(),_xll.qlBondYieldFromCleanPrice(AH40,AF40,YieldDayCounter,YieldCompounding,YieldFrequency))</f>
        <v>2.4951302145867923E-2</v>
      </c>
      <c r="AH40" s="72" t="str">
        <f>_xll.qlZeroCouponBond(,,"EUR",3,"target",$C40,$B40,"f",100)</f>
        <v>obj_00adb#0000</v>
      </c>
      <c r="AJ40" s="26"/>
      <c r="AK40" s="26"/>
      <c r="AL40" s="100"/>
      <c r="AM40" s="99"/>
      <c r="AN40" s="99"/>
      <c r="AO40" s="99"/>
    </row>
    <row r="41" spans="1:41" ht="12.75" x14ac:dyDescent="0.2">
      <c r="A41" s="42">
        <f>_xll.qlYieldTSDiscount(BtpCurve,B41,,PriceTrigger)</f>
        <v>0.63083248569886308</v>
      </c>
      <c r="B41" s="32">
        <v>49369</v>
      </c>
      <c r="C41" s="33">
        <v>2.3749999999999938</v>
      </c>
      <c r="D41" s="54">
        <v>100</v>
      </c>
      <c r="E41" s="32">
        <v>49188</v>
      </c>
      <c r="F41" s="32">
        <v>49369</v>
      </c>
      <c r="G41" s="34">
        <v>181</v>
      </c>
      <c r="H41" s="35" t="str">
        <v>#N/A</v>
      </c>
      <c r="I41" s="34" t="str">
        <v>#N/A</v>
      </c>
      <c r="J41" s="32" t="str">
        <v>#N/A</v>
      </c>
      <c r="K41" s="34" t="str">
        <v>Actual/Actual (ISMA)</v>
      </c>
      <c r="L41" s="36">
        <v>0.5</v>
      </c>
      <c r="M41" s="37">
        <v>4.7500000000000001E-2</v>
      </c>
      <c r="N41" s="37" t="str">
        <v>#N/A</v>
      </c>
      <c r="O41" s="38" t="str">
        <v>#N/A</v>
      </c>
      <c r="P41" s="37" t="str">
        <v>#N/A</v>
      </c>
      <c r="Q41" s="37" t="str">
        <v>#N/A</v>
      </c>
      <c r="R41" s="37" t="str">
        <v>#N/A</v>
      </c>
      <c r="S41" s="37" t="str">
        <v>#N/A</v>
      </c>
      <c r="T41" s="37" t="str">
        <v>#N/A</v>
      </c>
      <c r="U41" s="35" t="str">
        <v>#N/A</v>
      </c>
      <c r="V41" s="60">
        <f t="shared" si="2"/>
        <v>1.498227153534796</v>
      </c>
      <c r="W41" s="39"/>
      <c r="X41" s="61">
        <f t="shared" si="0"/>
        <v>1.498227153534796</v>
      </c>
      <c r="Y41" s="67">
        <f>IF(ISERROR(A41),NA(),_xll.qlBondYieldFromCleanPrice(AH41,X41/C41*100,YieldDayCounter,YieldCompounding,YieldFrequency))</f>
        <v>2.4860200182888079E-2</v>
      </c>
      <c r="Z41" s="40"/>
      <c r="AA41" s="68">
        <f t="shared" si="3"/>
        <v>2.4860200182888079E-2</v>
      </c>
      <c r="AB41" s="60">
        <f>IF(ISERROR(A41),IF(ISNUMBER(C41),0,NA()),_xll.qlBondCleanPriceFromYield(AH41,AA41,YieldDayCounter,YieldCompounding,YieldFrequency))</f>
        <v>63.083248542997161</v>
      </c>
      <c r="AC41" s="39"/>
      <c r="AD41" s="61">
        <f t="shared" si="1"/>
        <v>63.083248542997161</v>
      </c>
      <c r="AE41" s="60">
        <f t="shared" si="6"/>
        <v>1.4982271528961786</v>
      </c>
      <c r="AF41" s="71">
        <f t="shared" si="5"/>
        <v>63.083248542997161</v>
      </c>
      <c r="AG41" s="68">
        <f>IF(ISERROR(A41),NA(),_xll.qlBondYieldFromCleanPrice(AH41,AF41,YieldDayCounter,YieldCompounding,YieldFrequency))</f>
        <v>2.4860200206172006E-2</v>
      </c>
      <c r="AH41" s="72" t="str">
        <f>_xll.qlZeroCouponBond(,,"EUR",3,"target",$C41,$B41,"f",100)</f>
        <v>obj_00ac6#0000</v>
      </c>
      <c r="AJ41" s="26"/>
      <c r="AK41" s="26"/>
      <c r="AL41" s="100"/>
      <c r="AM41" s="99"/>
      <c r="AN41" s="99"/>
      <c r="AO41" s="99"/>
    </row>
    <row r="42" spans="1:41" ht="12.75" x14ac:dyDescent="0.2">
      <c r="A42" s="42">
        <f>_xll.qlYieldTSDiscount(BtpCurve,B42,,PriceTrigger)</f>
        <v>0.62115920026118676</v>
      </c>
      <c r="B42" s="32">
        <v>49555</v>
      </c>
      <c r="C42" s="33">
        <v>2.3749999999999938</v>
      </c>
      <c r="D42" s="54">
        <v>100</v>
      </c>
      <c r="E42" s="32">
        <v>49369</v>
      </c>
      <c r="F42" s="32">
        <v>49553</v>
      </c>
      <c r="G42" s="34">
        <v>184</v>
      </c>
      <c r="H42" s="35" t="str">
        <v>#N/A</v>
      </c>
      <c r="I42" s="34" t="str">
        <v>#N/A</v>
      </c>
      <c r="J42" s="32" t="str">
        <v>#N/A</v>
      </c>
      <c r="K42" s="34" t="str">
        <v>Actual/Actual (ISMA)</v>
      </c>
      <c r="L42" s="36">
        <v>0.5</v>
      </c>
      <c r="M42" s="37">
        <v>4.7500000000000001E-2</v>
      </c>
      <c r="N42" s="37" t="str">
        <v>#N/A</v>
      </c>
      <c r="O42" s="38" t="str">
        <v>#N/A</v>
      </c>
      <c r="P42" s="37" t="str">
        <v>#N/A</v>
      </c>
      <c r="Q42" s="37" t="str">
        <v>#N/A</v>
      </c>
      <c r="R42" s="37" t="str">
        <v>#N/A</v>
      </c>
      <c r="S42" s="37" t="str">
        <v>#N/A</v>
      </c>
      <c r="T42" s="37" t="str">
        <v>#N/A</v>
      </c>
      <c r="U42" s="35" t="str">
        <v>#N/A</v>
      </c>
      <c r="V42" s="60">
        <f t="shared" si="2"/>
        <v>1.4752531006203147</v>
      </c>
      <c r="W42" s="39"/>
      <c r="X42" s="61">
        <f t="shared" si="0"/>
        <v>1.4752531006203147</v>
      </c>
      <c r="Y42" s="67">
        <f>IF(ISERROR(A42),NA(),_xll.qlBondYieldFromCleanPrice(AH42,X42/C42*100,YieldDayCounter,YieldCompounding,YieldFrequency))</f>
        <v>2.5017503998041157E-2</v>
      </c>
      <c r="Z42" s="40"/>
      <c r="AA42" s="68">
        <f t="shared" si="3"/>
        <v>2.5017503998041157E-2</v>
      </c>
      <c r="AB42" s="60">
        <f>IF(ISERROR(A42),IF(ISNUMBER(C42),0,NA()),_xll.qlBondCleanPriceFromYield(AH42,AA42,YieldDayCounter,YieldCompounding,YieldFrequency))</f>
        <v>62.115919994953181</v>
      </c>
      <c r="AC42" s="39"/>
      <c r="AD42" s="61">
        <f t="shared" si="1"/>
        <v>62.115919994953181</v>
      </c>
      <c r="AE42" s="60">
        <f t="shared" si="6"/>
        <v>1.4752530998801343</v>
      </c>
      <c r="AF42" s="71">
        <f t="shared" si="5"/>
        <v>62.115919994953181</v>
      </c>
      <c r="AG42" s="68">
        <f>IF(ISERROR(A42),NA(),_xll.qlBondYieldFromCleanPrice(AH42,AF42,YieldDayCounter,YieldCompounding,YieldFrequency))</f>
        <v>2.5017504024728403E-2</v>
      </c>
      <c r="AH42" s="72" t="str">
        <f>_xll.qlZeroCouponBond(,,"EUR",3,"target",$C42,$B42,"f",100)</f>
        <v>obj_00ada#0000</v>
      </c>
      <c r="AJ42" s="26"/>
      <c r="AK42" s="26"/>
      <c r="AL42" s="100"/>
      <c r="AM42" s="99"/>
      <c r="AN42" s="99"/>
      <c r="AO42" s="99"/>
    </row>
    <row r="43" spans="1:41" ht="12.75" x14ac:dyDescent="0.2">
      <c r="A43" s="42">
        <f>_xll.qlYieldTSDiscount(BtpCurve,B43,,PriceTrigger)</f>
        <v>0.60988026509351612</v>
      </c>
      <c r="B43" s="32">
        <v>49737</v>
      </c>
      <c r="C43" s="33">
        <v>2.3749999999999938</v>
      </c>
      <c r="D43" s="54">
        <v>100</v>
      </c>
      <c r="E43" s="32">
        <v>49553</v>
      </c>
      <c r="F43" s="32">
        <v>49735</v>
      </c>
      <c r="G43" s="34">
        <v>182</v>
      </c>
      <c r="H43" s="35" t="str">
        <v>#N/A</v>
      </c>
      <c r="I43" s="34" t="str">
        <v>#N/A</v>
      </c>
      <c r="J43" s="32" t="str">
        <v>#N/A</v>
      </c>
      <c r="K43" s="34" t="str">
        <v>Actual/Actual (ISMA)</v>
      </c>
      <c r="L43" s="36">
        <v>0.5</v>
      </c>
      <c r="M43" s="37">
        <v>4.7500000000000001E-2</v>
      </c>
      <c r="N43" s="37" t="str">
        <v>#N/A</v>
      </c>
      <c r="O43" s="38" t="str">
        <v>#N/A</v>
      </c>
      <c r="P43" s="37" t="str">
        <v>#N/A</v>
      </c>
      <c r="Q43" s="37" t="str">
        <v>#N/A</v>
      </c>
      <c r="R43" s="37" t="str">
        <v>#N/A</v>
      </c>
      <c r="S43" s="37" t="str">
        <v>#N/A</v>
      </c>
      <c r="T43" s="37" t="str">
        <v>#N/A</v>
      </c>
      <c r="U43" s="35" t="str">
        <v>#N/A</v>
      </c>
      <c r="V43" s="60">
        <f t="shared" si="2"/>
        <v>1.448465629597097</v>
      </c>
      <c r="W43" s="39"/>
      <c r="X43" s="61">
        <f t="shared" si="0"/>
        <v>1.448465629597097</v>
      </c>
      <c r="Y43" s="67">
        <f>IF(ISERROR(A43),NA(),_xll.qlBondYieldFromCleanPrice(AH43,X43/C43*100,YieldDayCounter,YieldCompounding,YieldFrequency))</f>
        <v>2.5331436075086693E-2</v>
      </c>
      <c r="Z43" s="40"/>
      <c r="AA43" s="68">
        <f t="shared" si="3"/>
        <v>2.5331436075086693E-2</v>
      </c>
      <c r="AB43" s="60">
        <f>IF(ISERROR(A43),IF(ISNUMBER(C43),0,NA()),_xll.qlBondCleanPriceFromYield(AH43,AA43,YieldDayCounter,YieldCompounding,YieldFrequency))</f>
        <v>60.988026476437454</v>
      </c>
      <c r="AC43" s="39"/>
      <c r="AD43" s="61">
        <f t="shared" si="1"/>
        <v>60.988026476437454</v>
      </c>
      <c r="AE43" s="60">
        <f t="shared" si="6"/>
        <v>1.4484656288153857</v>
      </c>
      <c r="AF43" s="71">
        <f t="shared" si="5"/>
        <v>60.988026476437454</v>
      </c>
      <c r="AG43" s="68">
        <f>IF(ISERROR(A43),NA(),_xll.qlBondYieldFromCleanPrice(AH43,AF43,YieldDayCounter,YieldCompounding,YieldFrequency))</f>
        <v>2.5331436103080317E-2</v>
      </c>
      <c r="AH43" s="72" t="str">
        <f>_xll.qlZeroCouponBond(,,"EUR",3,"target",$C43,$B43,"f",100)</f>
        <v>obj_00ad6#0000</v>
      </c>
      <c r="AJ43" s="26"/>
      <c r="AK43" s="26"/>
      <c r="AL43" s="100"/>
      <c r="AM43" s="99"/>
      <c r="AN43" s="99"/>
      <c r="AO43" s="99"/>
    </row>
    <row r="44" spans="1:41" ht="12.75" x14ac:dyDescent="0.2">
      <c r="A44" s="42">
        <f>_xll.qlYieldTSDiscount(BtpCurve,B44,,PriceTrigger)</f>
        <v>0.59768008943060624</v>
      </c>
      <c r="B44" s="32">
        <v>49919</v>
      </c>
      <c r="C44" s="33">
        <v>2.3749999999999938</v>
      </c>
      <c r="D44" s="54">
        <v>100</v>
      </c>
      <c r="E44" s="32">
        <v>49735</v>
      </c>
      <c r="F44" s="32">
        <v>49919</v>
      </c>
      <c r="G44" s="34">
        <v>184</v>
      </c>
      <c r="H44" s="35" t="str">
        <v>#N/A</v>
      </c>
      <c r="I44" s="34" t="str">
        <v>#N/A</v>
      </c>
      <c r="J44" s="32" t="str">
        <v>#N/A</v>
      </c>
      <c r="K44" s="34" t="str">
        <v>Actual/Actual (ISMA)</v>
      </c>
      <c r="L44" s="36">
        <v>0.5</v>
      </c>
      <c r="M44" s="37">
        <v>4.7500000000000001E-2</v>
      </c>
      <c r="N44" s="37" t="str">
        <v>#N/A</v>
      </c>
      <c r="O44" s="38" t="str">
        <v>#N/A</v>
      </c>
      <c r="P44" s="37" t="str">
        <v>#N/A</v>
      </c>
      <c r="Q44" s="37" t="str">
        <v>#N/A</v>
      </c>
      <c r="R44" s="37" t="str">
        <v>#N/A</v>
      </c>
      <c r="S44" s="37" t="str">
        <v>#N/A</v>
      </c>
      <c r="T44" s="37" t="str">
        <v>#N/A</v>
      </c>
      <c r="U44" s="35" t="str">
        <v>#N/A</v>
      </c>
      <c r="V44" s="60">
        <f t="shared" si="2"/>
        <v>1.419490212397686</v>
      </c>
      <c r="W44" s="39"/>
      <c r="X44" s="61">
        <f t="shared" si="0"/>
        <v>1.419490212397686</v>
      </c>
      <c r="Y44" s="67">
        <f>IF(ISERROR(A44),NA(),_xll.qlBondYieldFromCleanPrice(AH44,X44/C44*100,YieldDayCounter,YieldCompounding,YieldFrequency))</f>
        <v>2.5723705948994018E-2</v>
      </c>
      <c r="Z44" s="40"/>
      <c r="AA44" s="68">
        <f t="shared" si="3"/>
        <v>2.5723705948994018E-2</v>
      </c>
      <c r="AB44" s="60">
        <f>IF(ISERROR(A44),IF(ISNUMBER(C44),0,NA()),_xll.qlBondCleanPriceFromYield(AH44,AA44,YieldDayCounter,YieldCompounding,YieldFrequency))</f>
        <v>59.768008958011059</v>
      </c>
      <c r="AC44" s="39"/>
      <c r="AD44" s="61">
        <f t="shared" si="1"/>
        <v>59.768008958011059</v>
      </c>
      <c r="AE44" s="60">
        <f t="shared" si="6"/>
        <v>1.4194902127527589</v>
      </c>
      <c r="AF44" s="71">
        <f t="shared" si="5"/>
        <v>59.768008958011059</v>
      </c>
      <c r="AG44" s="68">
        <f>IF(ISERROR(A44),NA(),_xll.qlBondYieldFromCleanPrice(AH44,AF44,YieldDayCounter,YieldCompounding,YieldFrequency))</f>
        <v>2.572370593633292E-2</v>
      </c>
      <c r="AH44" s="72" t="str">
        <f>_xll.qlZeroCouponBond(,,"EUR",3,"target",$C44,$B44,"f",100)</f>
        <v>obj_00ad3#0000</v>
      </c>
      <c r="AJ44" s="26"/>
      <c r="AK44" s="26"/>
      <c r="AL44" s="100"/>
      <c r="AM44" s="99"/>
      <c r="AN44" s="99"/>
      <c r="AO44" s="99"/>
    </row>
    <row r="45" spans="1:41" ht="12.75" x14ac:dyDescent="0.2">
      <c r="A45" s="42">
        <f>_xll.qlYieldTSDiscount(BtpCurve,B45,,PriceTrigger)</f>
        <v>0.58536934539568342</v>
      </c>
      <c r="B45" s="32">
        <v>50101</v>
      </c>
      <c r="C45" s="33">
        <v>2.3749999999999938</v>
      </c>
      <c r="D45" s="54">
        <v>100</v>
      </c>
      <c r="E45" s="32">
        <v>49919</v>
      </c>
      <c r="F45" s="32">
        <v>50100</v>
      </c>
      <c r="G45" s="34">
        <v>181</v>
      </c>
      <c r="H45" s="35" t="str">
        <v>#N/A</v>
      </c>
      <c r="I45" s="34" t="str">
        <v>#N/A</v>
      </c>
      <c r="J45" s="32" t="str">
        <v>#N/A</v>
      </c>
      <c r="K45" s="34" t="str">
        <v>Actual/Actual (ISMA)</v>
      </c>
      <c r="L45" s="36">
        <v>0.5</v>
      </c>
      <c r="M45" s="37">
        <v>4.7500000000000001E-2</v>
      </c>
      <c r="N45" s="37" t="str">
        <v>#N/A</v>
      </c>
      <c r="O45" s="38" t="str">
        <v>#N/A</v>
      </c>
      <c r="P45" s="37" t="str">
        <v>#N/A</v>
      </c>
      <c r="Q45" s="37" t="str">
        <v>#N/A</v>
      </c>
      <c r="R45" s="37" t="str">
        <v>#N/A</v>
      </c>
      <c r="S45" s="37" t="str">
        <v>#N/A</v>
      </c>
      <c r="T45" s="37" t="str">
        <v>#N/A</v>
      </c>
      <c r="U45" s="35" t="str">
        <v>#N/A</v>
      </c>
      <c r="V45" s="60">
        <f t="shared" si="2"/>
        <v>1.3902521953147444</v>
      </c>
      <c r="W45" s="39"/>
      <c r="X45" s="61">
        <f t="shared" si="0"/>
        <v>1.3902521953147444</v>
      </c>
      <c r="Y45" s="67">
        <f>IF(ISERROR(A45),NA(),_xll.qlBondYieldFromCleanPrice(AH45,X45/C45*100,YieldDayCounter,YieldCompounding,YieldFrequency))</f>
        <v>2.6125381139803307E-2</v>
      </c>
      <c r="Z45" s="40"/>
      <c r="AA45" s="68">
        <f t="shared" si="3"/>
        <v>2.6125381139803307E-2</v>
      </c>
      <c r="AB45" s="60">
        <f>IF(ISERROR(A45),IF(ISNUMBER(C45),0,NA()),_xll.qlBondCleanPriceFromYield(AH45,AA45,YieldDayCounter,YieldCompounding,YieldFrequency))</f>
        <v>58.536934557105347</v>
      </c>
      <c r="AC45" s="39"/>
      <c r="AD45" s="61">
        <f t="shared" si="1"/>
        <v>58.536934557105347</v>
      </c>
      <c r="AE45" s="60">
        <f t="shared" si="6"/>
        <v>1.3902521957312484</v>
      </c>
      <c r="AF45" s="71">
        <f t="shared" si="5"/>
        <v>58.536934557105347</v>
      </c>
      <c r="AG45" s="68">
        <f>IF(ISERROR(A45),NA(),_xll.qlBondYieldFromCleanPrice(AH45,AF45,YieldDayCounter,YieldCompounding,YieldFrequency))</f>
        <v>2.6125381124998567E-2</v>
      </c>
      <c r="AH45" s="72" t="str">
        <f>_xll.qlZeroCouponBond(,,"EUR",3,"target",$C45,$B45,"f",100)</f>
        <v>obj_00ac4#0000</v>
      </c>
      <c r="AJ45" s="26"/>
      <c r="AK45" s="26"/>
      <c r="AL45" s="100"/>
      <c r="AM45" s="99"/>
      <c r="AN45" s="99"/>
      <c r="AO45" s="99"/>
    </row>
    <row r="46" spans="1:41" ht="12.75" x14ac:dyDescent="0.2">
      <c r="A46" s="42">
        <f>_xll.qlYieldTSDiscount(BtpCurve,B46,,PriceTrigger)</f>
        <v>0.57337343026123566</v>
      </c>
      <c r="B46" s="32">
        <v>50284</v>
      </c>
      <c r="C46" s="33">
        <v>2.3749999999999938</v>
      </c>
      <c r="D46" s="54">
        <v>100</v>
      </c>
      <c r="E46" s="32">
        <v>50100</v>
      </c>
      <c r="F46" s="32">
        <v>50284</v>
      </c>
      <c r="G46" s="34">
        <v>184</v>
      </c>
      <c r="H46" s="35" t="str">
        <v>#N/A</v>
      </c>
      <c r="I46" s="34" t="str">
        <v>#N/A</v>
      </c>
      <c r="J46" s="32" t="str">
        <v>#N/A</v>
      </c>
      <c r="K46" s="34" t="str">
        <v>Actual/Actual (ISMA)</v>
      </c>
      <c r="L46" s="36">
        <v>0.5</v>
      </c>
      <c r="M46" s="37">
        <v>4.7500000000000001E-2</v>
      </c>
      <c r="N46" s="37" t="str">
        <v>#N/A</v>
      </c>
      <c r="O46" s="38" t="str">
        <v>#N/A</v>
      </c>
      <c r="P46" s="37" t="str">
        <v>#N/A</v>
      </c>
      <c r="Q46" s="37" t="str">
        <v>#N/A</v>
      </c>
      <c r="R46" s="37" t="str">
        <v>#N/A</v>
      </c>
      <c r="S46" s="37" t="str">
        <v>#N/A</v>
      </c>
      <c r="T46" s="37" t="str">
        <v>#N/A</v>
      </c>
      <c r="U46" s="35" t="str">
        <v>#N/A</v>
      </c>
      <c r="V46" s="60">
        <f t="shared" si="2"/>
        <v>1.361761896870431</v>
      </c>
      <c r="W46" s="39"/>
      <c r="X46" s="61">
        <f t="shared" si="0"/>
        <v>1.361761896870431</v>
      </c>
      <c r="Y46" s="67">
        <f>IF(ISERROR(A46),NA(),_xll.qlBondYieldFromCleanPrice(AH46,X46/C46*100,YieldDayCounter,YieldCompounding,YieldFrequency))</f>
        <v>2.6501553288329222E-2</v>
      </c>
      <c r="Z46" s="40"/>
      <c r="AA46" s="68">
        <f t="shared" si="3"/>
        <v>2.6501553288329222E-2</v>
      </c>
      <c r="AB46" s="60">
        <f>IF(ISERROR(A46),IF(ISNUMBER(C46),0,NA()),_xll.qlBondCleanPriceFromYield(AH46,AA46,YieldDayCounter,YieldCompounding,YieldFrequency))</f>
        <v>57.337343051759113</v>
      </c>
      <c r="AC46" s="39"/>
      <c r="AD46" s="61">
        <f t="shared" si="1"/>
        <v>57.337343051759113</v>
      </c>
      <c r="AE46" s="60">
        <f t="shared" si="6"/>
        <v>1.3617618974792753</v>
      </c>
      <c r="AF46" s="71">
        <f t="shared" si="5"/>
        <v>57.337343051759113</v>
      </c>
      <c r="AG46" s="68">
        <f>IF(ISERROR(A46),NA(),_xll.qlBondYieldFromCleanPrice(AH46,AF46,YieldDayCounter,YieldCompounding,YieldFrequency))</f>
        <v>2.6501553266746872E-2</v>
      </c>
      <c r="AH46" s="72" t="str">
        <f>_xll.qlZeroCouponBond(,,"EUR",3,"target",$C46,$B46,"f",100)</f>
        <v>obj_00acb#0000</v>
      </c>
      <c r="AJ46" s="26"/>
      <c r="AK46" s="26"/>
      <c r="AL46" s="100"/>
      <c r="AM46" s="99"/>
      <c r="AN46" s="99"/>
      <c r="AO46" s="99"/>
    </row>
    <row r="47" spans="1:41" ht="12.75" x14ac:dyDescent="0.2">
      <c r="A47" s="42">
        <f>_xll.qlYieldTSDiscount(BtpCurve,B47,,PriceTrigger)</f>
        <v>0.56169299768605041</v>
      </c>
      <c r="B47" s="32">
        <v>50465</v>
      </c>
      <c r="C47" s="33">
        <v>2.3749999999999938</v>
      </c>
      <c r="D47" s="54">
        <v>100</v>
      </c>
      <c r="E47" s="32">
        <v>50284</v>
      </c>
      <c r="F47" s="32">
        <v>50465</v>
      </c>
      <c r="G47" s="34">
        <v>181</v>
      </c>
      <c r="H47" s="35" t="str">
        <v>#N/A</v>
      </c>
      <c r="I47" s="34" t="str">
        <v>#N/A</v>
      </c>
      <c r="J47" s="32" t="str">
        <v>#N/A</v>
      </c>
      <c r="K47" s="34" t="str">
        <v>Actual/Actual (ISMA)</v>
      </c>
      <c r="L47" s="36">
        <v>0.5</v>
      </c>
      <c r="M47" s="37">
        <v>4.7500000000000001E-2</v>
      </c>
      <c r="N47" s="37" t="str">
        <v>#N/A</v>
      </c>
      <c r="O47" s="38" t="str">
        <v>#N/A</v>
      </c>
      <c r="P47" s="37" t="str">
        <v>#N/A</v>
      </c>
      <c r="Q47" s="37" t="str">
        <v>#N/A</v>
      </c>
      <c r="R47" s="37" t="str">
        <v>#N/A</v>
      </c>
      <c r="S47" s="37" t="str">
        <v>#N/A</v>
      </c>
      <c r="T47" s="37" t="str">
        <v>#N/A</v>
      </c>
      <c r="U47" s="35" t="str">
        <v>#N/A</v>
      </c>
      <c r="V47" s="60">
        <f t="shared" si="2"/>
        <v>1.3340208695043663</v>
      </c>
      <c r="W47" s="39"/>
      <c r="X47" s="61">
        <f t="shared" si="0"/>
        <v>1.3340208695043663</v>
      </c>
      <c r="Y47" s="67">
        <f>IF(ISERROR(A47),NA(),_xll.qlBondYieldFromCleanPrice(AH47,X47/C47*100,YieldDayCounter,YieldCompounding,YieldFrequency))</f>
        <v>2.6859734324067332E-2</v>
      </c>
      <c r="Z47" s="40"/>
      <c r="AA47" s="68">
        <f t="shared" si="3"/>
        <v>2.6859734324067332E-2</v>
      </c>
      <c r="AB47" s="60">
        <f>IF(ISERROR(A47),IF(ISNUMBER(C47),0,NA()),_xll.qlBondCleanPriceFromYield(AH47,AA47,YieldDayCounter,YieldCompounding,YieldFrequency))</f>
        <v>56.169299752797713</v>
      </c>
      <c r="AC47" s="39"/>
      <c r="AD47" s="61">
        <f t="shared" si="1"/>
        <v>56.169299752797713</v>
      </c>
      <c r="AE47" s="60">
        <f t="shared" si="6"/>
        <v>1.3340208691289421</v>
      </c>
      <c r="AF47" s="71">
        <f t="shared" si="5"/>
        <v>56.169299752797713</v>
      </c>
      <c r="AG47" s="68">
        <f>IF(ISERROR(A47),NA(),_xll.qlBondYieldFromCleanPrice(AH47,AF47,YieldDayCounter,YieldCompounding,YieldFrequency))</f>
        <v>2.6859734337346921E-2</v>
      </c>
      <c r="AH47" s="72" t="str">
        <f>_xll.qlZeroCouponBond(,,"EUR",3,"target",$C47,$B47,"f",100)</f>
        <v>obj_00ad7#0000</v>
      </c>
      <c r="AJ47" s="26"/>
      <c r="AK47" s="26"/>
      <c r="AL47" s="100"/>
      <c r="AM47" s="99"/>
      <c r="AN47" s="99"/>
      <c r="AO47" s="99"/>
    </row>
    <row r="48" spans="1:41" ht="12.75" x14ac:dyDescent="0.2">
      <c r="A48" s="42">
        <f>_xll.qlYieldTSDiscount(BtpCurve,B48,,PriceTrigger)</f>
        <v>0.54972497722827318</v>
      </c>
      <c r="B48" s="32">
        <v>50649</v>
      </c>
      <c r="C48" s="33">
        <v>2.3749999999999938</v>
      </c>
      <c r="D48" s="54">
        <v>100</v>
      </c>
      <c r="E48" s="32">
        <v>50465</v>
      </c>
      <c r="F48" s="32">
        <v>50649</v>
      </c>
      <c r="G48" s="34">
        <v>184</v>
      </c>
      <c r="H48" s="35" t="str">
        <v>#N/A</v>
      </c>
      <c r="I48" s="34" t="str">
        <v>#N/A</v>
      </c>
      <c r="J48" s="32" t="str">
        <v>#N/A</v>
      </c>
      <c r="K48" s="34" t="str">
        <v>Actual/Actual (ISMA)</v>
      </c>
      <c r="L48" s="36">
        <v>0.5</v>
      </c>
      <c r="M48" s="37">
        <v>4.7500000000000001E-2</v>
      </c>
      <c r="N48" s="37" t="str">
        <v>#N/A</v>
      </c>
      <c r="O48" s="38" t="str">
        <v>#N/A</v>
      </c>
      <c r="P48" s="37" t="str">
        <v>#N/A</v>
      </c>
      <c r="Q48" s="37" t="str">
        <v>#N/A</v>
      </c>
      <c r="R48" s="37" t="str">
        <v>#N/A</v>
      </c>
      <c r="S48" s="37" t="str">
        <v>#N/A</v>
      </c>
      <c r="T48" s="37" t="str">
        <v>#N/A</v>
      </c>
      <c r="U48" s="35" t="str">
        <v>#N/A</v>
      </c>
      <c r="V48" s="60">
        <f t="shared" si="2"/>
        <v>1.3055968209171454</v>
      </c>
      <c r="W48" s="39"/>
      <c r="X48" s="61">
        <f t="shared" si="0"/>
        <v>1.3055968209171454</v>
      </c>
      <c r="Y48" s="67">
        <f>IF(ISERROR(A48),NA(),_xll.qlBondYieldFromCleanPrice(AH48,X48/C48*100,YieldDayCounter,YieldCompounding,YieldFrequency))</f>
        <v>2.7237754620033573E-2</v>
      </c>
      <c r="Z48" s="40"/>
      <c r="AA48" s="68">
        <f t="shared" si="3"/>
        <v>2.7237754620033573E-2</v>
      </c>
      <c r="AB48" s="60">
        <f>IF(ISERROR(A48),IF(ISNUMBER(C48),0,NA()),_xll.qlBondCleanPriceFromYield(AH48,AA48,YieldDayCounter,YieldCompounding,YieldFrequency))</f>
        <v>54.972497732525284</v>
      </c>
      <c r="AC48" s="39"/>
      <c r="AD48" s="61">
        <f t="shared" si="1"/>
        <v>54.972497732525284</v>
      </c>
      <c r="AE48" s="60">
        <f t="shared" si="6"/>
        <v>1.305596821147472</v>
      </c>
      <c r="AF48" s="71">
        <f t="shared" si="5"/>
        <v>54.972497732525284</v>
      </c>
      <c r="AG48" s="68">
        <f>IF(ISERROR(A48),NA(),_xll.qlBondYieldFromCleanPrice(AH48,AF48,YieldDayCounter,YieldCompounding,YieldFrequency))</f>
        <v>2.7237754611894326E-2</v>
      </c>
      <c r="AH48" s="72" t="str">
        <f>_xll.qlZeroCouponBond(,,"EUR",3,"target",$C48,$B48,"f",100)</f>
        <v>obj_00ac8#0000</v>
      </c>
      <c r="AJ48" s="26"/>
      <c r="AK48" s="26"/>
      <c r="AL48" s="100"/>
      <c r="AM48" s="99"/>
      <c r="AN48" s="99"/>
      <c r="AO48" s="99"/>
    </row>
    <row r="49" spans="1:41" ht="12.75" x14ac:dyDescent="0.2">
      <c r="A49" s="42">
        <f>_xll.qlYieldTSDiscount(BtpCurve,B49,,PriceTrigger)</f>
        <v>0.53760686688751647</v>
      </c>
      <c r="B49" s="32">
        <v>50830</v>
      </c>
      <c r="C49" s="33">
        <v>2.3749999999999938</v>
      </c>
      <c r="D49" s="54">
        <v>100</v>
      </c>
      <c r="E49" s="32">
        <v>50649</v>
      </c>
      <c r="F49" s="32">
        <v>50830</v>
      </c>
      <c r="G49" s="34">
        <v>181</v>
      </c>
      <c r="H49" s="35" t="str">
        <v>#N/A</v>
      </c>
      <c r="I49" s="34" t="str">
        <v>#N/A</v>
      </c>
      <c r="J49" s="32" t="str">
        <v>#N/A</v>
      </c>
      <c r="K49" s="34" t="str">
        <v>Actual/Actual (ISMA)</v>
      </c>
      <c r="L49" s="36">
        <v>0.5</v>
      </c>
      <c r="M49" s="37">
        <v>4.7500000000000001E-2</v>
      </c>
      <c r="N49" s="37" t="str">
        <v>#N/A</v>
      </c>
      <c r="O49" s="38" t="str">
        <v>#N/A</v>
      </c>
      <c r="P49" s="37" t="str">
        <v>#N/A</v>
      </c>
      <c r="Q49" s="37" t="str">
        <v>#N/A</v>
      </c>
      <c r="R49" s="37" t="str">
        <v>#N/A</v>
      </c>
      <c r="S49" s="37" t="str">
        <v>#N/A</v>
      </c>
      <c r="T49" s="37" t="str">
        <v>#N/A</v>
      </c>
      <c r="U49" s="35" t="str">
        <v>#N/A</v>
      </c>
      <c r="V49" s="60">
        <f t="shared" si="2"/>
        <v>1.2768163088578484</v>
      </c>
      <c r="W49" s="39"/>
      <c r="X49" s="61">
        <f t="shared" si="0"/>
        <v>1.2768163088578484</v>
      </c>
      <c r="Y49" s="67">
        <f>IF(ISERROR(A49),NA(),_xll.qlBondYieldFromCleanPrice(AH49,X49/C49*100,YieldDayCounter,YieldCompounding,YieldFrequency))</f>
        <v>2.7641513333862548E-2</v>
      </c>
      <c r="Z49" s="40"/>
      <c r="AA49" s="68">
        <f t="shared" si="3"/>
        <v>2.7641513333862548E-2</v>
      </c>
      <c r="AB49" s="60">
        <f>IF(ISERROR(A49),IF(ISNUMBER(C49),0,NA()),_xll.qlBondCleanPriceFromYield(AH49,AA49,YieldDayCounter,YieldCompounding,YieldFrequency))</f>
        <v>53.760686710398616</v>
      </c>
      <c r="AC49" s="39"/>
      <c r="AD49" s="61">
        <f t="shared" si="1"/>
        <v>53.760686710398616</v>
      </c>
      <c r="AE49" s="60">
        <f t="shared" si="6"/>
        <v>1.2768163093719638</v>
      </c>
      <c r="AF49" s="71">
        <f t="shared" si="5"/>
        <v>53.760686710398616</v>
      </c>
      <c r="AG49" s="68">
        <f>IF(ISERROR(A49),NA(),_xll.qlBondYieldFromCleanPrice(AH49,AF49,YieldDayCounter,YieldCompounding,YieldFrequency))</f>
        <v>2.7641513315683541E-2</v>
      </c>
      <c r="AH49" s="72" t="str">
        <f>_xll.qlZeroCouponBond(,,"EUR",3,"target",$C49,$B49,"f",100)</f>
        <v>obj_00ad0#0000</v>
      </c>
      <c r="AJ49" s="26"/>
      <c r="AK49" s="26"/>
      <c r="AL49" s="100"/>
      <c r="AM49" s="99"/>
      <c r="AN49" s="99"/>
      <c r="AO49" s="99"/>
    </row>
    <row r="50" spans="1:41" ht="12.75" x14ac:dyDescent="0.2">
      <c r="A50" s="42">
        <f>_xll.qlYieldTSDiscount(BtpCurve,B50,,PriceTrigger)</f>
        <v>0.52470493470377921</v>
      </c>
      <c r="B50" s="32">
        <v>51014</v>
      </c>
      <c r="C50" s="33">
        <v>2.3749999999999938</v>
      </c>
      <c r="D50" s="54">
        <v>100</v>
      </c>
      <c r="E50" s="32">
        <v>50830</v>
      </c>
      <c r="F50" s="32">
        <v>51014</v>
      </c>
      <c r="G50" s="34">
        <v>184</v>
      </c>
      <c r="H50" s="35" t="str">
        <v>#N/A</v>
      </c>
      <c r="I50" s="34" t="str">
        <v>#N/A</v>
      </c>
      <c r="J50" s="32" t="str">
        <v>#N/A</v>
      </c>
      <c r="K50" s="34" t="str">
        <v>Actual/Actual (ISMA)</v>
      </c>
      <c r="L50" s="36">
        <v>0.5</v>
      </c>
      <c r="M50" s="37">
        <v>4.7500000000000001E-2</v>
      </c>
      <c r="N50" s="37" t="str">
        <v>#N/A</v>
      </c>
      <c r="O50" s="38" t="str">
        <v>#N/A</v>
      </c>
      <c r="P50" s="37" t="str">
        <v>#N/A</v>
      </c>
      <c r="Q50" s="37" t="str">
        <v>#N/A</v>
      </c>
      <c r="R50" s="37" t="str">
        <v>#N/A</v>
      </c>
      <c r="S50" s="37" t="str">
        <v>#N/A</v>
      </c>
      <c r="T50" s="37" t="str">
        <v>#N/A</v>
      </c>
      <c r="U50" s="35" t="str">
        <v>#N/A</v>
      </c>
      <c r="V50" s="60">
        <f t="shared" si="2"/>
        <v>1.2461742199214723</v>
      </c>
      <c r="W50" s="39"/>
      <c r="X50" s="61">
        <f t="shared" si="0"/>
        <v>1.2461742199214723</v>
      </c>
      <c r="Y50" s="67">
        <f>IF(ISERROR(A50),NA(),_xll.qlBondYieldFromCleanPrice(AH50,X50/C50*100,YieldDayCounter,YieldCompounding,YieldFrequency))</f>
        <v>2.8108332798233437E-2</v>
      </c>
      <c r="Z50" s="40"/>
      <c r="AA50" s="68">
        <f t="shared" si="3"/>
        <v>2.8108332798233437E-2</v>
      </c>
      <c r="AB50" s="60">
        <f>IF(ISERROR(A50),IF(ISNUMBER(C50),0,NA()),_xll.qlBondCleanPriceFromYield(AH50,AA50,YieldDayCounter,YieldCompounding,YieldFrequency))</f>
        <v>52.470493456755655</v>
      </c>
      <c r="AC50" s="39"/>
      <c r="AD50" s="61">
        <f t="shared" si="1"/>
        <v>52.470493456755655</v>
      </c>
      <c r="AE50" s="60">
        <f t="shared" si="6"/>
        <v>1.2461742195979435</v>
      </c>
      <c r="AF50" s="71">
        <f t="shared" si="5"/>
        <v>52.470493456755655</v>
      </c>
      <c r="AG50" s="68">
        <f>IF(ISERROR(A50),NA(),_xll.qlBondYieldFromCleanPrice(AH50,AF50,YieldDayCounter,YieldCompounding,YieldFrequency))</f>
        <v>2.8108332809706264E-2</v>
      </c>
      <c r="AH50" s="72" t="str">
        <f>_xll.qlZeroCouponBond(,,"EUR",3,"target",$C50,$B50,"f",100)</f>
        <v>obj_00ad2#0000</v>
      </c>
      <c r="AJ50" s="26"/>
      <c r="AK50" s="26"/>
      <c r="AL50" s="100"/>
      <c r="AM50" s="99"/>
      <c r="AN50" s="99"/>
      <c r="AO50" s="99"/>
    </row>
    <row r="51" spans="1:41" ht="12.75" x14ac:dyDescent="0.2">
      <c r="A51" s="42">
        <f>_xll.qlYieldTSDiscount(BtpCurve,B51,,PriceTrigger)</f>
        <v>0.51153549500526263</v>
      </c>
      <c r="B51" s="32">
        <v>51196</v>
      </c>
      <c r="C51" s="33">
        <v>2.3749999999999938</v>
      </c>
      <c r="D51" s="54">
        <v>100</v>
      </c>
      <c r="E51" s="32">
        <v>51014</v>
      </c>
      <c r="F51" s="32">
        <v>51196</v>
      </c>
      <c r="G51" s="34">
        <v>182</v>
      </c>
      <c r="H51" s="35" t="str">
        <v>#N/A</v>
      </c>
      <c r="I51" s="34" t="str">
        <v>#N/A</v>
      </c>
      <c r="J51" s="32" t="str">
        <v>#N/A</v>
      </c>
      <c r="K51" s="34" t="str">
        <v>Actual/Actual (ISMA)</v>
      </c>
      <c r="L51" s="36">
        <v>0.5</v>
      </c>
      <c r="M51" s="37">
        <v>4.7500000000000001E-2</v>
      </c>
      <c r="N51" s="37" t="str">
        <v>#N/A</v>
      </c>
      <c r="O51" s="38" t="str">
        <v>#N/A</v>
      </c>
      <c r="P51" s="37" t="str">
        <v>#N/A</v>
      </c>
      <c r="Q51" s="37" t="str">
        <v>#N/A</v>
      </c>
      <c r="R51" s="37" t="str">
        <v>#N/A</v>
      </c>
      <c r="S51" s="37" t="str">
        <v>#N/A</v>
      </c>
      <c r="T51" s="37" t="str">
        <v>#N/A</v>
      </c>
      <c r="U51" s="35" t="str">
        <v>#N/A</v>
      </c>
      <c r="V51" s="60">
        <f t="shared" si="2"/>
        <v>1.2148968006374956</v>
      </c>
      <c r="W51" s="39"/>
      <c r="X51" s="61">
        <f t="shared" si="0"/>
        <v>1.2148968006374956</v>
      </c>
      <c r="Y51" s="67">
        <f>IF(ISERROR(A51),NA(),_xll.qlBondYieldFromCleanPrice(AH51,X51/C51*100,YieldDayCounter,YieldCompounding,YieldFrequency))</f>
        <v>2.861263679987007E-2</v>
      </c>
      <c r="Z51" s="40"/>
      <c r="AA51" s="68">
        <f t="shared" si="3"/>
        <v>2.861263679987007E-2</v>
      </c>
      <c r="AB51" s="60">
        <f>IF(ISERROR(A51),IF(ISNUMBER(C51),0,NA()),_xll.qlBondCleanPriceFromYield(AH51,AA51,YieldDayCounter,YieldCompounding,YieldFrequency))</f>
        <v>51.153549508873354</v>
      </c>
      <c r="AC51" s="39"/>
      <c r="AD51" s="61">
        <f t="shared" si="1"/>
        <v>51.153549508873354</v>
      </c>
      <c r="AE51" s="60">
        <f t="shared" si="6"/>
        <v>1.214896800835739</v>
      </c>
      <c r="AF51" s="71">
        <f t="shared" si="5"/>
        <v>51.153549508873354</v>
      </c>
      <c r="AG51" s="68">
        <f>IF(ISERROR(A51),NA(),_xll.qlBondYieldFromCleanPrice(AH51,AF51,YieldDayCounter,YieldCompounding,YieldFrequency))</f>
        <v>2.8612636792806265E-2</v>
      </c>
      <c r="AH51" s="72" t="str">
        <f>_xll.qlZeroCouponBond(,,"EUR",3,"target",$C51,$B51,"f",100)</f>
        <v>obj_00ad8#0000</v>
      </c>
      <c r="AJ51" s="26"/>
      <c r="AK51" s="26"/>
      <c r="AL51" s="100"/>
      <c r="AM51" s="99"/>
      <c r="AN51" s="99"/>
      <c r="AO51" s="99"/>
    </row>
    <row r="52" spans="1:41" ht="12.75" x14ac:dyDescent="0.2">
      <c r="A52" s="42">
        <f>_xll.qlYieldTSDiscount(BtpCurve,B52,,PriceTrigger)</f>
        <v>0.49874464528212353</v>
      </c>
      <c r="B52" s="32">
        <v>51382</v>
      </c>
      <c r="C52" s="33">
        <v>2.3749999999999938</v>
      </c>
      <c r="D52" s="54">
        <v>100</v>
      </c>
      <c r="E52" s="32">
        <v>51196</v>
      </c>
      <c r="F52" s="32">
        <v>51380</v>
      </c>
      <c r="G52" s="34">
        <v>184</v>
      </c>
      <c r="H52" s="35" t="str">
        <v>#N/A</v>
      </c>
      <c r="I52" s="34" t="str">
        <v>#N/A</v>
      </c>
      <c r="J52" s="32" t="str">
        <v>#N/A</v>
      </c>
      <c r="K52" s="34" t="str">
        <v>Actual/Actual (ISMA)</v>
      </c>
      <c r="L52" s="36">
        <v>0.5</v>
      </c>
      <c r="M52" s="37">
        <v>4.7500000000000001E-2</v>
      </c>
      <c r="N52" s="37" t="str">
        <v>#N/A</v>
      </c>
      <c r="O52" s="38" t="str">
        <v>#N/A</v>
      </c>
      <c r="P52" s="37" t="str">
        <v>#N/A</v>
      </c>
      <c r="Q52" s="37" t="str">
        <v>#N/A</v>
      </c>
      <c r="R52" s="37" t="str">
        <v>#N/A</v>
      </c>
      <c r="S52" s="37" t="str">
        <v>#N/A</v>
      </c>
      <c r="T52" s="37" t="str">
        <v>#N/A</v>
      </c>
      <c r="U52" s="35" t="str">
        <v>#N/A</v>
      </c>
      <c r="V52" s="60">
        <f t="shared" si="2"/>
        <v>1.1845185325450402</v>
      </c>
      <c r="W52" s="39"/>
      <c r="X52" s="61">
        <f t="shared" si="0"/>
        <v>1.1845185325450402</v>
      </c>
      <c r="Y52" s="67">
        <f>IF(ISERROR(A52),NA(),_xll.qlBondYieldFromCleanPrice(AH52,X52/C52*100,YieldDayCounter,YieldCompounding,YieldFrequency))</f>
        <v>2.9077564718278485E-2</v>
      </c>
      <c r="Z52" s="40"/>
      <c r="AA52" s="68">
        <f t="shared" si="3"/>
        <v>2.9077564718278485E-2</v>
      </c>
      <c r="AB52" s="60">
        <f>IF(ISERROR(A52),IF(ISNUMBER(C52),0,NA()),_xll.qlBondCleanPriceFromYield(AH52,AA52,YieldDayCounter,YieldCompounding,YieldFrequency))</f>
        <v>49.87446452275411</v>
      </c>
      <c r="AC52" s="39"/>
      <c r="AD52" s="61">
        <f t="shared" si="1"/>
        <v>49.87446452275411</v>
      </c>
      <c r="AE52" s="60">
        <f t="shared" si="6"/>
        <v>1.1845185324154071</v>
      </c>
      <c r="AF52" s="71">
        <f t="shared" si="5"/>
        <v>49.87446452275411</v>
      </c>
      <c r="AG52" s="68">
        <f>IF(ISERROR(A52),NA(),_xll.qlBondYieldFromCleanPrice(AH52,AF52,YieldDayCounter,YieldCompounding,YieldFrequency))</f>
        <v>2.9077564722918805E-2</v>
      </c>
      <c r="AH52" s="72" t="str">
        <f>_xll.qlZeroCouponBond(,,"EUR",3,"target",$C52,$B52,"f",100)</f>
        <v>obj_00acc#0000</v>
      </c>
      <c r="AJ52" s="26"/>
      <c r="AK52" s="26"/>
      <c r="AL52" s="100"/>
      <c r="AM52" s="99"/>
      <c r="AN52" s="99"/>
      <c r="AO52" s="99"/>
    </row>
    <row r="53" spans="1:41" ht="12.75" x14ac:dyDescent="0.2">
      <c r="A53" s="42">
        <f>_xll.qlYieldTSDiscount(BtpCurve,B53,,PriceTrigger)</f>
        <v>0.48793563966035441</v>
      </c>
      <c r="B53" s="32">
        <v>51561</v>
      </c>
      <c r="C53" s="33">
        <v>2.3749999999999938</v>
      </c>
      <c r="D53" s="54">
        <v>100</v>
      </c>
      <c r="E53" s="32">
        <v>51380</v>
      </c>
      <c r="F53" s="32">
        <v>51561</v>
      </c>
      <c r="G53" s="34">
        <v>181</v>
      </c>
      <c r="H53" s="35" t="str">
        <v>#N/A</v>
      </c>
      <c r="I53" s="34" t="str">
        <v>#N/A</v>
      </c>
      <c r="J53" s="32" t="str">
        <v>#N/A</v>
      </c>
      <c r="K53" s="34" t="str">
        <v>Actual/Actual (ISMA)</v>
      </c>
      <c r="L53" s="36">
        <v>0.5</v>
      </c>
      <c r="M53" s="37">
        <v>4.7500000000000001E-2</v>
      </c>
      <c r="N53" s="37" t="str">
        <v>#N/A</v>
      </c>
      <c r="O53" s="38" t="str">
        <v>#N/A</v>
      </c>
      <c r="P53" s="37" t="str">
        <v>#N/A</v>
      </c>
      <c r="Q53" s="37" t="str">
        <v>#N/A</v>
      </c>
      <c r="R53" s="37" t="str">
        <v>#N/A</v>
      </c>
      <c r="S53" s="37" t="str">
        <v>#N/A</v>
      </c>
      <c r="T53" s="37" t="str">
        <v>#N/A</v>
      </c>
      <c r="U53" s="35" t="str">
        <v>#N/A</v>
      </c>
      <c r="V53" s="60">
        <f t="shared" si="2"/>
        <v>1.1588471441933388</v>
      </c>
      <c r="W53" s="39"/>
      <c r="X53" s="61">
        <f t="shared" si="0"/>
        <v>1.1588471441933388</v>
      </c>
      <c r="Y53" s="67">
        <f>IF(ISERROR(A53),NA(),_xll.qlBondYieldFromCleanPrice(AH53,X53/C53*100,YieldDayCounter,YieldCompounding,YieldFrequency))</f>
        <v>2.9403146856691195E-2</v>
      </c>
      <c r="Z53" s="40"/>
      <c r="AA53" s="68">
        <f t="shared" si="3"/>
        <v>2.9403146856691195E-2</v>
      </c>
      <c r="AB53" s="60">
        <f>IF(ISERROR(A53),IF(ISNUMBER(C53),0,NA()),_xll.qlBondCleanPriceFromYield(AH53,AA53,YieldDayCounter,YieldCompounding,YieldFrequency))</f>
        <v>48.793563971102287</v>
      </c>
      <c r="AC53" s="39"/>
      <c r="AD53" s="61">
        <f t="shared" si="1"/>
        <v>48.793563971102287</v>
      </c>
      <c r="AE53" s="60">
        <f t="shared" si="6"/>
        <v>1.1588471443136763</v>
      </c>
      <c r="AF53" s="71">
        <f t="shared" si="5"/>
        <v>48.793563971102287</v>
      </c>
      <c r="AG53" s="68">
        <f>IF(ISERROR(A53),NA(),_xll.qlBondYieldFromCleanPrice(AH53,AF53,YieldDayCounter,YieldCompounding,YieldFrequency))</f>
        <v>2.9403146852374128E-2</v>
      </c>
      <c r="AH53" s="72" t="str">
        <f>_xll.qlZeroCouponBond(,,"EUR",3,"target",$C53,$B53,"f",100)</f>
        <v>obj_00aca#0000</v>
      </c>
      <c r="AJ53" s="26"/>
      <c r="AK53" s="26"/>
      <c r="AL53" s="100"/>
      <c r="AM53" s="99"/>
      <c r="AN53" s="99"/>
      <c r="AO53" s="99"/>
    </row>
    <row r="54" spans="1:41" ht="12.75" x14ac:dyDescent="0.2">
      <c r="A54" s="42">
        <f>_xll.qlYieldTSDiscount(BtpCurve,B54,,PriceTrigger)</f>
        <v>0.47830259716115331</v>
      </c>
      <c r="B54" s="32">
        <v>51746</v>
      </c>
      <c r="C54" s="33">
        <v>2.3749999999999938</v>
      </c>
      <c r="D54" s="54">
        <v>100</v>
      </c>
      <c r="E54" s="32">
        <v>51561</v>
      </c>
      <c r="F54" s="32">
        <v>51745</v>
      </c>
      <c r="G54" s="34">
        <v>184</v>
      </c>
      <c r="H54" s="35" t="str">
        <v>#N/A</v>
      </c>
      <c r="I54" s="34" t="str">
        <v>#N/A</v>
      </c>
      <c r="J54" s="32" t="str">
        <v>#N/A</v>
      </c>
      <c r="K54" s="34" t="str">
        <v>Actual/Actual (ISMA)</v>
      </c>
      <c r="L54" s="36">
        <v>0.5</v>
      </c>
      <c r="M54" s="37">
        <v>4.7500000000000001E-2</v>
      </c>
      <c r="N54" s="37" t="str">
        <v>#N/A</v>
      </c>
      <c r="O54" s="38" t="str">
        <v>#N/A</v>
      </c>
      <c r="P54" s="37" t="str">
        <v>#N/A</v>
      </c>
      <c r="Q54" s="37" t="str">
        <v>#N/A</v>
      </c>
      <c r="R54" s="37" t="str">
        <v>#N/A</v>
      </c>
      <c r="S54" s="37" t="str">
        <v>#N/A</v>
      </c>
      <c r="T54" s="37" t="str">
        <v>#N/A</v>
      </c>
      <c r="U54" s="35" t="str">
        <v>#N/A</v>
      </c>
      <c r="V54" s="60">
        <f t="shared" si="2"/>
        <v>1.1359686682577361</v>
      </c>
      <c r="W54" s="39"/>
      <c r="X54" s="61">
        <f t="shared" si="0"/>
        <v>1.1359686682577361</v>
      </c>
      <c r="Y54" s="67">
        <f>IF(ISERROR(A54),NA(),_xll.qlBondYieldFromCleanPrice(AH54,X54/C54*100,YieldDayCounter,YieldCompounding,YieldFrequency))</f>
        <v>2.9617995040865541E-2</v>
      </c>
      <c r="Z54" s="40"/>
      <c r="AA54" s="68">
        <f t="shared" si="3"/>
        <v>2.9617995040865541E-2</v>
      </c>
      <c r="AB54" s="60">
        <f>IF(ISERROR(A54),IF(ISNUMBER(C54),0,NA()),_xll.qlBondCleanPriceFromYield(AH54,AA54,YieldDayCounter,YieldCompounding,YieldFrequency))</f>
        <v>47.830259710066585</v>
      </c>
      <c r="AC54" s="39"/>
      <c r="AD54" s="61">
        <f t="shared" si="1"/>
        <v>47.830259710066585</v>
      </c>
      <c r="AE54" s="60">
        <f t="shared" si="6"/>
        <v>1.1359686681140784</v>
      </c>
      <c r="AF54" s="71">
        <f t="shared" si="5"/>
        <v>47.830259710066585</v>
      </c>
      <c r="AG54" s="68">
        <f>IF(ISERROR(A54),NA(),_xll.qlBondYieldFromCleanPrice(AH54,AF54,YieldDayCounter,YieldCompounding,YieldFrequency))</f>
        <v>2.9617995046018468E-2</v>
      </c>
      <c r="AH54" s="72" t="str">
        <f>_xll.qlZeroCouponBond(,,"EUR",3,"target",$C54,$B54,"f",100)</f>
        <v>obj_00ad4#0000</v>
      </c>
      <c r="AJ54" s="26"/>
      <c r="AK54" s="26"/>
      <c r="AL54" s="100"/>
      <c r="AM54" s="99"/>
      <c r="AN54" s="99"/>
      <c r="AO54" s="99"/>
    </row>
    <row r="55" spans="1:41" ht="12.75" x14ac:dyDescent="0.2">
      <c r="A55" s="42">
        <f>_xll.qlYieldTSDiscount(BtpCurve,B55,,PriceTrigger)</f>
        <v>0.4701437468683507</v>
      </c>
      <c r="B55" s="32">
        <v>51928</v>
      </c>
      <c r="C55" s="33">
        <v>2.3749999999999938</v>
      </c>
      <c r="D55" s="54">
        <v>100</v>
      </c>
      <c r="E55" s="32">
        <v>51745</v>
      </c>
      <c r="F55" s="32">
        <v>51926</v>
      </c>
      <c r="G55" s="34">
        <v>181</v>
      </c>
      <c r="H55" s="35" t="str">
        <v>#N/A</v>
      </c>
      <c r="I55" s="34" t="str">
        <v>#N/A</v>
      </c>
      <c r="J55" s="32" t="str">
        <v>#N/A</v>
      </c>
      <c r="K55" s="34" t="str">
        <v>Actual/Actual (ISMA)</v>
      </c>
      <c r="L55" s="36">
        <v>0.5</v>
      </c>
      <c r="M55" s="37">
        <v>4.7500000000000001E-2</v>
      </c>
      <c r="N55" s="37" t="str">
        <v>#N/A</v>
      </c>
      <c r="O55" s="38" t="str">
        <v>#N/A</v>
      </c>
      <c r="P55" s="37" t="str">
        <v>#N/A</v>
      </c>
      <c r="Q55" s="37" t="str">
        <v>#N/A</v>
      </c>
      <c r="R55" s="37" t="str">
        <v>#N/A</v>
      </c>
      <c r="S55" s="37" t="str">
        <v>#N/A</v>
      </c>
      <c r="T55" s="37" t="str">
        <v>#N/A</v>
      </c>
      <c r="U55" s="35" t="str">
        <v>#N/A</v>
      </c>
      <c r="V55" s="60">
        <f t="shared" si="2"/>
        <v>1.1165913988123299</v>
      </c>
      <c r="W55" s="39"/>
      <c r="X55" s="61">
        <f t="shared" si="0"/>
        <v>1.1165913988123299</v>
      </c>
      <c r="Y55" s="67">
        <f>IF(ISERROR(A55),NA(),_xll.qlBondYieldFromCleanPrice(AH55,X55/C55*100,YieldDayCounter,YieldCompounding,YieldFrequency))</f>
        <v>2.9723080796284856E-2</v>
      </c>
      <c r="Z55" s="40"/>
      <c r="AA55" s="68">
        <f t="shared" si="3"/>
        <v>2.9723080796284856E-2</v>
      </c>
      <c r="AB55" s="60">
        <f>IF(ISERROR(A55),IF(ISNUMBER(C55),0,NA()),_xll.qlBondCleanPriceFromYield(AH55,AA55,YieldDayCounter,YieldCompounding,YieldFrequency))</f>
        <v>47.014374696923028</v>
      </c>
      <c r="AC55" s="39"/>
      <c r="AD55" s="61">
        <f t="shared" si="1"/>
        <v>47.014374696923028</v>
      </c>
      <c r="AE55" s="60">
        <f t="shared" si="6"/>
        <v>1.116591399051919</v>
      </c>
      <c r="AF55" s="71">
        <f t="shared" si="5"/>
        <v>47.014374696923028</v>
      </c>
      <c r="AG55" s="68">
        <f>IF(ISERROR(A55),NA(),_xll.qlBondYieldFromCleanPrice(AH55,AF55,YieldDayCounter,YieldCompounding,YieldFrequency))</f>
        <v>2.9723080787710018E-2</v>
      </c>
      <c r="AH55" s="72" t="str">
        <f>_xll.qlZeroCouponBond(,,"EUR",3,"target",$C55,$B55,"f",100)</f>
        <v>obj_00acf#0000</v>
      </c>
      <c r="AJ55" s="26"/>
      <c r="AK55" s="26"/>
      <c r="AL55" s="100"/>
      <c r="AM55" s="99"/>
      <c r="AN55" s="99"/>
      <c r="AO55" s="99"/>
    </row>
    <row r="56" spans="1:41" ht="12.75" x14ac:dyDescent="0.2">
      <c r="A56" s="42">
        <f>_xll.qlYieldTSDiscount(BtpCurve,B56,,PriceTrigger)</f>
        <v>0.46310514476438236</v>
      </c>
      <c r="B56" s="32">
        <v>52110</v>
      </c>
      <c r="C56" s="33">
        <v>2.3749999999999938</v>
      </c>
      <c r="D56" s="54">
        <v>100</v>
      </c>
      <c r="E56" s="32">
        <v>51926</v>
      </c>
      <c r="F56" s="32">
        <v>52110</v>
      </c>
      <c r="G56" s="34">
        <v>184</v>
      </c>
      <c r="H56" s="35" t="str">
        <v>#N/A</v>
      </c>
      <c r="I56" s="34" t="str">
        <v>#N/A</v>
      </c>
      <c r="J56" s="32" t="str">
        <v>#N/A</v>
      </c>
      <c r="K56" s="34" t="str">
        <v>Actual/Actual (ISMA)</v>
      </c>
      <c r="L56" s="36">
        <v>0.5</v>
      </c>
      <c r="M56" s="37">
        <v>4.7500000000000001E-2</v>
      </c>
      <c r="N56" s="37" t="str">
        <v>#N/A</v>
      </c>
      <c r="O56" s="38" t="str">
        <v>#N/A</v>
      </c>
      <c r="P56" s="37" t="str">
        <v>#N/A</v>
      </c>
      <c r="Q56" s="37" t="str">
        <v>#N/A</v>
      </c>
      <c r="R56" s="37" t="str">
        <v>#N/A</v>
      </c>
      <c r="S56" s="37" t="str">
        <v>#N/A</v>
      </c>
      <c r="T56" s="37" t="str">
        <v>#N/A</v>
      </c>
      <c r="U56" s="35" t="str">
        <v>#N/A</v>
      </c>
      <c r="V56" s="60">
        <f t="shared" si="2"/>
        <v>1.0998747188154052</v>
      </c>
      <c r="W56" s="39"/>
      <c r="X56" s="61">
        <f t="shared" si="0"/>
        <v>1.0998747188154052</v>
      </c>
      <c r="Y56" s="67">
        <f>IF(ISERROR(A56),NA(),_xll.qlBondYieldFromCleanPrice(AH56,X56/C56*100,YieldDayCounter,YieldCompounding,YieldFrequency))</f>
        <v>2.9742715058326638E-2</v>
      </c>
      <c r="Z56" s="40"/>
      <c r="AA56" s="68">
        <f t="shared" si="3"/>
        <v>2.9742715058326638E-2</v>
      </c>
      <c r="AB56" s="60">
        <f>IF(ISERROR(A56),IF(ISNUMBER(C56),0,NA()),_xll.qlBondCleanPriceFromYield(AH56,AA56,YieldDayCounter,YieldCompounding,YieldFrequency))</f>
        <v>46.310514478682862</v>
      </c>
      <c r="AC56" s="39"/>
      <c r="AD56" s="61">
        <f t="shared" si="1"/>
        <v>46.310514478682862</v>
      </c>
      <c r="AE56" s="60">
        <f t="shared" si="6"/>
        <v>1.099874718868715</v>
      </c>
      <c r="AF56" s="71">
        <f t="shared" si="5"/>
        <v>46.310514478682862</v>
      </c>
      <c r="AG56" s="68">
        <f>IF(ISERROR(A56),NA(),_xll.qlBondYieldFromCleanPrice(AH56,AF56,YieldDayCounter,YieldCompounding,YieldFrequency))</f>
        <v>2.9742715056426373E-2</v>
      </c>
      <c r="AH56" s="72" t="str">
        <f>_xll.qlZeroCouponBond(,,"EUR",3,"target",$C56,$B56,"f",100)</f>
        <v>obj_00acd#0000</v>
      </c>
      <c r="AJ56" s="26"/>
      <c r="AK56" s="26"/>
      <c r="AL56" s="100"/>
      <c r="AM56" s="99"/>
      <c r="AN56" s="99"/>
      <c r="AO56" s="99"/>
    </row>
    <row r="57" spans="1:41" ht="12.75" x14ac:dyDescent="0.2">
      <c r="A57" s="42">
        <f>_xll.qlYieldTSDiscount(BtpCurve,B57,,PriceTrigger)</f>
        <v>0.45701713857994691</v>
      </c>
      <c r="B57" s="32">
        <v>52292</v>
      </c>
      <c r="C57" s="33">
        <v>2.3749999999999938</v>
      </c>
      <c r="D57" s="54">
        <v>100</v>
      </c>
      <c r="E57" s="32">
        <v>52110</v>
      </c>
      <c r="F57" s="32">
        <v>52291</v>
      </c>
      <c r="G57" s="34">
        <v>181</v>
      </c>
      <c r="H57" s="35" t="str">
        <v>#N/A</v>
      </c>
      <c r="I57" s="34" t="str">
        <v>#N/A</v>
      </c>
      <c r="J57" s="32" t="str">
        <v>#N/A</v>
      </c>
      <c r="K57" s="34" t="str">
        <v>Actual/Actual (ISMA)</v>
      </c>
      <c r="L57" s="36">
        <v>0.5</v>
      </c>
      <c r="M57" s="37">
        <v>4.7500000000000001E-2</v>
      </c>
      <c r="N57" s="37" t="str">
        <v>#N/A</v>
      </c>
      <c r="O57" s="38" t="str">
        <v>#N/A</v>
      </c>
      <c r="P57" s="37" t="str">
        <v>#N/A</v>
      </c>
      <c r="Q57" s="37" t="str">
        <v>#N/A</v>
      </c>
      <c r="R57" s="37" t="str">
        <v>#N/A</v>
      </c>
      <c r="S57" s="37" t="str">
        <v>#N/A</v>
      </c>
      <c r="T57" s="37" t="str">
        <v>#N/A</v>
      </c>
      <c r="U57" s="35" t="str">
        <v>#N/A</v>
      </c>
      <c r="V57" s="60">
        <f t="shared" si="2"/>
        <v>1.0854157041273711</v>
      </c>
      <c r="W57" s="39"/>
      <c r="X57" s="61">
        <f t="shared" si="0"/>
        <v>1.0854157041273711</v>
      </c>
      <c r="Y57" s="67">
        <f>IF(ISERROR(A57),NA(),_xll.qlBondYieldFromCleanPrice(AH57,X57/C57*100,YieldDayCounter,YieldCompounding,YieldFrequency))</f>
        <v>2.9688760346601426E-2</v>
      </c>
      <c r="Z57" s="40"/>
      <c r="AA57" s="68">
        <f t="shared" si="3"/>
        <v>2.9688760346601426E-2</v>
      </c>
      <c r="AB57" s="60">
        <f>IF(ISERROR(A57),IF(ISNUMBER(C57),0,NA()),_xll.qlBondCleanPriceFromYield(AH57,AA57,YieldDayCounter,YieldCompounding,YieldFrequency))</f>
        <v>45.701713852443589</v>
      </c>
      <c r="AC57" s="39"/>
      <c r="AD57" s="61">
        <f t="shared" si="1"/>
        <v>45.701713852443589</v>
      </c>
      <c r="AE57" s="60">
        <f t="shared" si="6"/>
        <v>1.0854157039955323</v>
      </c>
      <c r="AF57" s="71">
        <f t="shared" si="5"/>
        <v>45.701713852443589</v>
      </c>
      <c r="AG57" s="68">
        <f>IF(ISERROR(A57),NA(),_xll.qlBondYieldFromCleanPrice(AH57,AF57,YieldDayCounter,YieldCompounding,YieldFrequency))</f>
        <v>2.9688760351274397E-2</v>
      </c>
      <c r="AH57" s="72" t="str">
        <f>_xll.qlZeroCouponBond(,,"EUR",3,"target",$C57,$B57,"f",100)</f>
        <v>obj_00ac7#0000</v>
      </c>
      <c r="AJ57" s="26"/>
      <c r="AK57" s="26"/>
      <c r="AL57" s="100"/>
      <c r="AM57" s="99"/>
      <c r="AN57" s="99"/>
      <c r="AO57" s="99"/>
    </row>
    <row r="58" spans="1:41" ht="12.75" x14ac:dyDescent="0.2">
      <c r="A58" s="42">
        <f>_xll.qlYieldTSDiscount(BtpCurve,B58,,PriceTrigger)</f>
        <v>0.45169585799687312</v>
      </c>
      <c r="B58" s="32">
        <v>52475</v>
      </c>
      <c r="C58" s="33">
        <v>2.3749999999999938</v>
      </c>
      <c r="D58" s="54">
        <v>100</v>
      </c>
      <c r="E58" s="32">
        <v>52291</v>
      </c>
      <c r="F58" s="32">
        <v>52475</v>
      </c>
      <c r="G58" s="34">
        <v>184</v>
      </c>
      <c r="H58" s="35" t="str">
        <v>#N/A</v>
      </c>
      <c r="I58" s="34" t="str">
        <v>#N/A</v>
      </c>
      <c r="J58" s="32" t="str">
        <v>#N/A</v>
      </c>
      <c r="K58" s="34" t="str">
        <v>Actual/Actual (ISMA)</v>
      </c>
      <c r="L58" s="36">
        <v>0.5</v>
      </c>
      <c r="M58" s="37">
        <v>4.7500000000000001E-2</v>
      </c>
      <c r="N58" s="37" t="str">
        <v>#N/A</v>
      </c>
      <c r="O58" s="38" t="str">
        <v>#N/A</v>
      </c>
      <c r="P58" s="37" t="str">
        <v>#N/A</v>
      </c>
      <c r="Q58" s="37" t="str">
        <v>#N/A</v>
      </c>
      <c r="R58" s="37" t="str">
        <v>#N/A</v>
      </c>
      <c r="S58" s="37" t="str">
        <v>#N/A</v>
      </c>
      <c r="T58" s="37" t="str">
        <v>#N/A</v>
      </c>
      <c r="U58" s="35" t="str">
        <v>#N/A</v>
      </c>
      <c r="V58" s="60">
        <f t="shared" si="2"/>
        <v>1.0727776627425709</v>
      </c>
      <c r="W58" s="39"/>
      <c r="X58" s="61">
        <f t="shared" si="0"/>
        <v>1.0727776627425709</v>
      </c>
      <c r="Y58" s="67">
        <f>IF(ISERROR(A58),NA(),_xll.qlBondYieldFromCleanPrice(AH58,X58/C58*100,YieldDayCounter,YieldCompounding,YieldFrequency))</f>
        <v>2.957791180323139E-2</v>
      </c>
      <c r="Z58" s="40"/>
      <c r="AA58" s="68">
        <f t="shared" si="3"/>
        <v>2.957791180323139E-2</v>
      </c>
      <c r="AB58" s="60">
        <f>IF(ISERROR(A58),IF(ISNUMBER(C58),0,NA()),_xll.qlBondCleanPriceFromYield(AH58,AA58,YieldDayCounter,YieldCompounding,YieldFrequency))</f>
        <v>45.169585798479204</v>
      </c>
      <c r="AC58" s="39"/>
      <c r="AD58" s="61">
        <f t="shared" si="1"/>
        <v>45.169585798479204</v>
      </c>
      <c r="AE58" s="60">
        <f t="shared" si="6"/>
        <v>1.0727776627138783</v>
      </c>
      <c r="AF58" s="71">
        <f t="shared" si="5"/>
        <v>45.169585798479204</v>
      </c>
      <c r="AG58" s="68">
        <f>IF(ISERROR(A58),NA(),_xll.qlBondYieldFromCleanPrice(AH58,AF58,YieldDayCounter,YieldCompounding,YieldFrequency))</f>
        <v>2.9577911804241377E-2</v>
      </c>
      <c r="AH58" s="72" t="str">
        <f>_xll.qlZeroCouponBond(,,"EUR",3,"target",$C58,$B58,"f",100)</f>
        <v>obj_00ad1#0000</v>
      </c>
      <c r="AJ58" s="26"/>
      <c r="AK58" s="26"/>
      <c r="AL58" s="100"/>
      <c r="AM58" s="99"/>
      <c r="AN58" s="99"/>
      <c r="AO58" s="99"/>
    </row>
    <row r="59" spans="1:41" ht="12.75" x14ac:dyDescent="0.2">
      <c r="A59" s="42">
        <f>_xll.qlYieldTSDiscount(BtpCurve,B59,,PriceTrigger)</f>
        <v>0.44705241460974676</v>
      </c>
      <c r="B59" s="32">
        <v>52657</v>
      </c>
      <c r="C59" s="33">
        <v>2.3749999999999938</v>
      </c>
      <c r="D59" s="54">
        <v>100</v>
      </c>
      <c r="E59" s="32">
        <v>52475</v>
      </c>
      <c r="F59" s="32">
        <v>52657</v>
      </c>
      <c r="G59" s="34">
        <v>182</v>
      </c>
      <c r="H59" s="35" t="str">
        <v>#N/A</v>
      </c>
      <c r="I59" s="34" t="str">
        <v>#N/A</v>
      </c>
      <c r="J59" s="32" t="str">
        <v>#N/A</v>
      </c>
      <c r="K59" s="34" t="str">
        <v>Actual/Actual (ISMA)</v>
      </c>
      <c r="L59" s="36">
        <v>0.5</v>
      </c>
      <c r="M59" s="37">
        <v>4.7500000000000001E-2</v>
      </c>
      <c r="N59" s="37" t="str">
        <v>#N/A</v>
      </c>
      <c r="O59" s="38" t="str">
        <v>#N/A</v>
      </c>
      <c r="P59" s="37" t="str">
        <v>#N/A</v>
      </c>
      <c r="Q59" s="37" t="str">
        <v>#N/A</v>
      </c>
      <c r="R59" s="37" t="str">
        <v>#N/A</v>
      </c>
      <c r="S59" s="37" t="str">
        <v>#N/A</v>
      </c>
      <c r="T59" s="37" t="str">
        <v>#N/A</v>
      </c>
      <c r="U59" s="35" t="str">
        <v>#N/A</v>
      </c>
      <c r="V59" s="60">
        <f t="shared" si="2"/>
        <v>1.0617494846981457</v>
      </c>
      <c r="W59" s="39"/>
      <c r="X59" s="61">
        <f t="shared" si="0"/>
        <v>1.0617494846981457</v>
      </c>
      <c r="Y59" s="67">
        <f>IF(ISERROR(A59),NA(),_xll.qlBondYieldFromCleanPrice(AH59,X59/C59*100,YieldDayCounter,YieldCompounding,YieldFrequency))</f>
        <v>2.942428897757312E-2</v>
      </c>
      <c r="Z59" s="40"/>
      <c r="AA59" s="68">
        <f t="shared" si="3"/>
        <v>2.942428897757312E-2</v>
      </c>
      <c r="AB59" s="60">
        <f>IF(ISERROR(A59),IF(ISNUMBER(C59),0,NA()),_xll.qlBondCleanPriceFromYield(AH59,AA59,YieldDayCounter,YieldCompounding,YieldFrequency))</f>
        <v>44.705241464128434</v>
      </c>
      <c r="AC59" s="39"/>
      <c r="AD59" s="61">
        <f t="shared" si="1"/>
        <v>44.705241464128434</v>
      </c>
      <c r="AE59" s="60">
        <f t="shared" si="6"/>
        <v>1.0617494847730475</v>
      </c>
      <c r="AF59" s="71">
        <f t="shared" si="5"/>
        <v>44.705241464128434</v>
      </c>
      <c r="AG59" s="68">
        <f>IF(ISERROR(A59),NA(),_xll.qlBondYieldFromCleanPrice(AH59,AF59,YieldDayCounter,YieldCompounding,YieldFrequency))</f>
        <v>2.9424288974957274E-2</v>
      </c>
      <c r="AH59" s="72" t="str">
        <f>_xll.qlZeroCouponBond(,,"EUR",3,"target",$C59,$B59,"f",100)</f>
        <v>obj_00adc#0000</v>
      </c>
      <c r="AJ59" s="26"/>
      <c r="AK59" s="26"/>
      <c r="AL59" s="100"/>
      <c r="AM59" s="99"/>
      <c r="AN59" s="99"/>
      <c r="AO59" s="99"/>
    </row>
    <row r="60" spans="1:41" ht="12.75" x14ac:dyDescent="0.2">
      <c r="A60" s="42">
        <f>_xll.qlYieldTSDiscount(BtpCurve,B60,,PriceTrigger)</f>
        <v>0.4428743982437649</v>
      </c>
      <c r="B60" s="32">
        <v>52841</v>
      </c>
      <c r="C60" s="33">
        <v>2.3749999999999938</v>
      </c>
      <c r="D60" s="54">
        <v>100</v>
      </c>
      <c r="E60" s="32">
        <v>52657</v>
      </c>
      <c r="F60" s="32">
        <v>52841</v>
      </c>
      <c r="G60" s="34">
        <v>184</v>
      </c>
      <c r="H60" s="35" t="str">
        <v>#N/A</v>
      </c>
      <c r="I60" s="34" t="str">
        <v>#N/A</v>
      </c>
      <c r="J60" s="32" t="str">
        <v>#N/A</v>
      </c>
      <c r="K60" s="34" t="str">
        <v>Actual/Actual (ISMA)</v>
      </c>
      <c r="L60" s="36">
        <v>0.5</v>
      </c>
      <c r="M60" s="37">
        <v>4.7500000000000001E-2</v>
      </c>
      <c r="N60" s="37" t="str">
        <v>#N/A</v>
      </c>
      <c r="O60" s="38" t="str">
        <v>#N/A</v>
      </c>
      <c r="P60" s="37" t="str">
        <v>#N/A</v>
      </c>
      <c r="Q60" s="37" t="str">
        <v>#N/A</v>
      </c>
      <c r="R60" s="37" t="str">
        <v>#N/A</v>
      </c>
      <c r="S60" s="37" t="str">
        <v>#N/A</v>
      </c>
      <c r="T60" s="37" t="str">
        <v>#N/A</v>
      </c>
      <c r="U60" s="35" t="str">
        <v>#N/A</v>
      </c>
      <c r="V60" s="60">
        <f t="shared" si="2"/>
        <v>1.0518266958289388</v>
      </c>
      <c r="W60" s="39"/>
      <c r="X60" s="61">
        <f t="shared" si="0"/>
        <v>1.0518266958289388</v>
      </c>
      <c r="Y60" s="67">
        <f>IF(ISERROR(A60),NA(),_xll.qlBondYieldFromCleanPrice(AH60,X60/C60*100,YieldDayCounter,YieldCompounding,YieldFrequency))</f>
        <v>2.9234616877793201E-2</v>
      </c>
      <c r="Z60" s="40"/>
      <c r="AA60" s="68">
        <f t="shared" si="3"/>
        <v>2.9234616877793201E-2</v>
      </c>
      <c r="AB60" s="60">
        <f>IF(ISERROR(A60),IF(ISNUMBER(C60),0,NA()),_xll.qlBondCleanPriceFromYield(AH60,AA60,YieldDayCounter,YieldCompounding,YieldFrequency))</f>
        <v>44.287439820756582</v>
      </c>
      <c r="AC60" s="39"/>
      <c r="AD60" s="61">
        <f t="shared" si="1"/>
        <v>44.287439820756582</v>
      </c>
      <c r="AE60" s="60">
        <f t="shared" si="6"/>
        <v>1.0518266957429661</v>
      </c>
      <c r="AF60" s="71">
        <f t="shared" si="5"/>
        <v>44.287439820756582</v>
      </c>
      <c r="AG60" s="68">
        <f>IF(ISERROR(A60),NA(),_xll.qlBondYieldFromCleanPrice(AH60,AF60,YieldDayCounter,YieldCompounding,YieldFrequency))</f>
        <v>2.9234616880769733E-2</v>
      </c>
      <c r="AH60" s="72" t="str">
        <f>_xll.qlZeroCouponBond(,,"EUR",3,"target",$C60,$B60,"f",100)</f>
        <v>obj_00ac9#0000</v>
      </c>
      <c r="AJ60" s="26"/>
      <c r="AK60" s="26"/>
      <c r="AL60" s="100"/>
      <c r="AM60" s="99"/>
      <c r="AN60" s="99"/>
      <c r="AO60" s="99"/>
    </row>
    <row r="61" spans="1:41" ht="12.75" x14ac:dyDescent="0.2">
      <c r="A61" s="42">
        <f>_xll.qlYieldTSDiscount(BtpCurve,B61,,PriceTrigger)</f>
        <v>0.4428743982437649</v>
      </c>
      <c r="B61" s="32">
        <v>52841</v>
      </c>
      <c r="C61" s="33">
        <v>100</v>
      </c>
      <c r="D61" s="54" t="str">
        <v>#N/A</v>
      </c>
      <c r="E61" s="32" t="str">
        <v>#N/A</v>
      </c>
      <c r="F61" s="32" t="str">
        <v>#N/A</v>
      </c>
      <c r="G61" s="34" t="str">
        <v>#N/A</v>
      </c>
      <c r="H61" s="35" t="str">
        <v>#N/A</v>
      </c>
      <c r="I61" s="34" t="str">
        <v>#N/A</v>
      </c>
      <c r="J61" s="32" t="str">
        <v>#N/A</v>
      </c>
      <c r="K61" s="34" t="str">
        <v>#N/A</v>
      </c>
      <c r="L61" s="36" t="str">
        <v>#N/A</v>
      </c>
      <c r="M61" s="37" t="str">
        <v>#N/A</v>
      </c>
      <c r="N61" s="37" t="str">
        <v>#N/A</v>
      </c>
      <c r="O61" s="38" t="str">
        <v>#N/A</v>
      </c>
      <c r="P61" s="37" t="str">
        <v>#N/A</v>
      </c>
      <c r="Q61" s="37" t="str">
        <v>#N/A</v>
      </c>
      <c r="R61" s="37" t="str">
        <v>#N/A</v>
      </c>
      <c r="S61" s="37" t="str">
        <v>#N/A</v>
      </c>
      <c r="T61" s="37" t="str">
        <v>#N/A</v>
      </c>
      <c r="U61" s="35" t="str">
        <v>#N/A</v>
      </c>
      <c r="V61" s="60">
        <f t="shared" si="2"/>
        <v>44.287439824376492</v>
      </c>
      <c r="W61" s="39"/>
      <c r="X61" s="61">
        <f t="shared" si="0"/>
        <v>44.287439824376492</v>
      </c>
      <c r="Y61" s="67">
        <f>IF(ISERROR(A61),NA(),_xll.qlBondYieldFromCleanPrice(AH61,X61/C61*100,YieldDayCounter,YieldCompounding,YieldFrequency))</f>
        <v>2.9234616921469572E-2</v>
      </c>
      <c r="Z61" s="40"/>
      <c r="AA61" s="68">
        <f t="shared" si="3"/>
        <v>2.9234616921469572E-2</v>
      </c>
      <c r="AB61" s="60">
        <f>IF(ISERROR(A61),IF(ISNUMBER(C61),0,NA()),_xll.qlBondCleanPriceFromYield(AH61,AA61,YieldDayCounter,YieldCompounding,YieldFrequency))</f>
        <v>44.287439767636059</v>
      </c>
      <c r="AC61" s="39"/>
      <c r="AD61" s="61">
        <f t="shared" si="1"/>
        <v>44.287439767636059</v>
      </c>
      <c r="AE61" s="60">
        <f t="shared" si="6"/>
        <v>44.287439767636059</v>
      </c>
      <c r="AF61" s="71">
        <f t="shared" si="5"/>
        <v>44.287439767636059</v>
      </c>
      <c r="AG61" s="68">
        <f>IF(ISERROR(A61),NA(),_xll.qlBondYieldFromCleanPrice(AH61,AF61,YieldDayCounter,YieldCompounding,YieldFrequency))</f>
        <v>2.9234616921469572E-2</v>
      </c>
      <c r="AH61" s="72" t="str">
        <f>_xll.qlZeroCouponBond(,,"EUR",3,"target",$C61,$B61,"f",100)</f>
        <v>obj_00ad9#0000</v>
      </c>
      <c r="AJ61" s="26"/>
      <c r="AK61" s="26"/>
      <c r="AL61" s="100"/>
      <c r="AM61" s="99"/>
      <c r="AN61" s="99"/>
      <c r="AO61" s="99"/>
    </row>
    <row r="62" spans="1:41" ht="12.75" x14ac:dyDescent="0.2">
      <c r="A62" s="42" t="e">
        <f>_xll.qlYieldTSDiscount(BtpCurve,B62,,PriceTrigger)</f>
        <v>#NUM!</v>
      </c>
      <c r="B62" s="32" t="e">
        <v>#N/A</v>
      </c>
      <c r="C62" s="33" t="e">
        <v>#N/A</v>
      </c>
      <c r="D62" s="54" t="e">
        <v>#N/A</v>
      </c>
      <c r="E62" s="32" t="e">
        <v>#N/A</v>
      </c>
      <c r="F62" s="32" t="e">
        <v>#N/A</v>
      </c>
      <c r="G62" s="34" t="e">
        <v>#N/A</v>
      </c>
      <c r="H62" s="35" t="e">
        <v>#N/A</v>
      </c>
      <c r="I62" s="34" t="e">
        <v>#N/A</v>
      </c>
      <c r="J62" s="32" t="e">
        <v>#N/A</v>
      </c>
      <c r="K62" s="34" t="e">
        <v>#N/A</v>
      </c>
      <c r="L62" s="36" t="e">
        <v>#N/A</v>
      </c>
      <c r="M62" s="37" t="e">
        <v>#N/A</v>
      </c>
      <c r="N62" s="37" t="e">
        <v>#N/A</v>
      </c>
      <c r="O62" s="38" t="e">
        <v>#N/A</v>
      </c>
      <c r="P62" s="37" t="e">
        <v>#N/A</v>
      </c>
      <c r="Q62" s="37" t="e">
        <v>#N/A</v>
      </c>
      <c r="R62" s="37" t="e">
        <v>#N/A</v>
      </c>
      <c r="S62" s="37" t="e">
        <v>#N/A</v>
      </c>
      <c r="T62" s="37" t="e">
        <v>#N/A</v>
      </c>
      <c r="U62" s="35" t="e">
        <v>#N/A</v>
      </c>
      <c r="V62" s="60">
        <f t="shared" si="2"/>
        <v>0</v>
      </c>
      <c r="W62" s="39"/>
      <c r="X62" s="61">
        <f t="shared" si="0"/>
        <v>0</v>
      </c>
      <c r="Y62" s="67" t="e">
        <f>IF(ISERROR(A62),NA(),_xll.qlBondYieldFromCleanPrice(AH62,X62/C62*100,YieldDayCounter,YieldCompounding,YieldFrequency))</f>
        <v>#N/A</v>
      </c>
      <c r="Z62" s="40"/>
      <c r="AA62" s="68" t="e">
        <f t="shared" si="3"/>
        <v>#N/A</v>
      </c>
      <c r="AB62" s="60" t="e">
        <f>IF(ISERROR(A62),IF(ISNUMBER(C62),0,NA()),_xll.qlBondCleanPriceFromYield(AH62,AA62,YieldDayCounter,YieldCompounding,YieldFrequency))</f>
        <v>#N/A</v>
      </c>
      <c r="AC62" s="39"/>
      <c r="AD62" s="61" t="e">
        <f t="shared" si="1"/>
        <v>#N/A</v>
      </c>
      <c r="AE62" s="60" t="e">
        <f t="shared" si="6"/>
        <v>#N/A</v>
      </c>
      <c r="AF62" s="71" t="e">
        <f t="shared" si="5"/>
        <v>#N/A</v>
      </c>
      <c r="AG62" s="68" t="e">
        <f>IF(ISERROR(A62),NA(),_xll.qlBondYieldFromCleanPrice(AH62,AF62,YieldDayCounter,YieldCompounding,YieldFrequency))</f>
        <v>#N/A</v>
      </c>
      <c r="AH62" s="72" t="e">
        <f>_xll.qlZeroCouponBond(,,"EUR",3,"target",$C62,$B62,"f",100)</f>
        <v>#NUM!</v>
      </c>
      <c r="AJ62" s="26"/>
      <c r="AK62" s="26"/>
      <c r="AL62" s="100"/>
      <c r="AM62" s="99"/>
      <c r="AN62" s="99"/>
      <c r="AO62" s="99"/>
    </row>
    <row r="63" spans="1:41" ht="12.75" x14ac:dyDescent="0.2">
      <c r="A63" s="42" t="e">
        <f>_xll.qlYieldTSDiscount(BtpCurve,B63,,PriceTrigger)</f>
        <v>#NUM!</v>
      </c>
      <c r="B63" s="32" t="e">
        <v>#N/A</v>
      </c>
      <c r="C63" s="33" t="e">
        <v>#N/A</v>
      </c>
      <c r="D63" s="54" t="e">
        <v>#N/A</v>
      </c>
      <c r="E63" s="32" t="e">
        <v>#N/A</v>
      </c>
      <c r="F63" s="32" t="e">
        <v>#N/A</v>
      </c>
      <c r="G63" s="34" t="e">
        <v>#N/A</v>
      </c>
      <c r="H63" s="35" t="e">
        <v>#N/A</v>
      </c>
      <c r="I63" s="34" t="e">
        <v>#N/A</v>
      </c>
      <c r="J63" s="32" t="e">
        <v>#N/A</v>
      </c>
      <c r="K63" s="34" t="e">
        <v>#N/A</v>
      </c>
      <c r="L63" s="36" t="e">
        <v>#N/A</v>
      </c>
      <c r="M63" s="37" t="e">
        <v>#N/A</v>
      </c>
      <c r="N63" s="37" t="e">
        <v>#N/A</v>
      </c>
      <c r="O63" s="38" t="e">
        <v>#N/A</v>
      </c>
      <c r="P63" s="37" t="e">
        <v>#N/A</v>
      </c>
      <c r="Q63" s="37" t="e">
        <v>#N/A</v>
      </c>
      <c r="R63" s="37" t="e">
        <v>#N/A</v>
      </c>
      <c r="S63" s="37" t="e">
        <v>#N/A</v>
      </c>
      <c r="T63" s="37" t="e">
        <v>#N/A</v>
      </c>
      <c r="U63" s="35" t="e">
        <v>#N/A</v>
      </c>
      <c r="V63" s="60">
        <f t="shared" si="2"/>
        <v>0</v>
      </c>
      <c r="W63" s="39"/>
      <c r="X63" s="61">
        <f t="shared" si="0"/>
        <v>0</v>
      </c>
      <c r="Y63" s="67" t="e">
        <f>IF(ISERROR(A63),NA(),_xll.qlBondYieldFromCleanPrice(AH63,X63/C63*100,YieldDayCounter,YieldCompounding,YieldFrequency))</f>
        <v>#N/A</v>
      </c>
      <c r="Z63" s="40"/>
      <c r="AA63" s="68" t="e">
        <f t="shared" si="3"/>
        <v>#N/A</v>
      </c>
      <c r="AB63" s="60" t="e">
        <f>IF(ISERROR(A63),IF(ISNUMBER(C63),0,NA()),_xll.qlBondCleanPriceFromYield(AH63,AA63,YieldDayCounter,YieldCompounding,YieldFrequency))</f>
        <v>#N/A</v>
      </c>
      <c r="AC63" s="39"/>
      <c r="AD63" s="61" t="e">
        <f t="shared" si="1"/>
        <v>#N/A</v>
      </c>
      <c r="AE63" s="60" t="e">
        <f t="shared" si="6"/>
        <v>#N/A</v>
      </c>
      <c r="AF63" s="71" t="e">
        <f t="shared" si="5"/>
        <v>#N/A</v>
      </c>
      <c r="AG63" s="68" t="e">
        <f>IF(ISERROR(A63),NA(),_xll.qlBondYieldFromCleanPrice(AH63,AF63,YieldDayCounter,YieldCompounding,YieldFrequency))</f>
        <v>#N/A</v>
      </c>
      <c r="AH63" s="72" t="e">
        <f>_xll.qlZeroCouponBond(,,"EUR",3,"target",$C63,$B63,"f",100)</f>
        <v>#NUM!</v>
      </c>
      <c r="AJ63" s="26"/>
      <c r="AK63" s="26"/>
      <c r="AL63" s="100"/>
      <c r="AM63" s="99"/>
      <c r="AN63" s="99"/>
      <c r="AO63" s="99"/>
    </row>
    <row r="64" spans="1:41" ht="12.75" x14ac:dyDescent="0.2">
      <c r="A64" s="42" t="e">
        <f>_xll.qlYieldTSDiscount(BtpCurve,B64,,PriceTrigger)</f>
        <v>#NUM!</v>
      </c>
      <c r="B64" s="32" t="e">
        <v>#N/A</v>
      </c>
      <c r="C64" s="33" t="e">
        <v>#N/A</v>
      </c>
      <c r="D64" s="54" t="e">
        <v>#N/A</v>
      </c>
      <c r="E64" s="32" t="e">
        <v>#N/A</v>
      </c>
      <c r="F64" s="32" t="e">
        <v>#N/A</v>
      </c>
      <c r="G64" s="34" t="e">
        <v>#N/A</v>
      </c>
      <c r="H64" s="35" t="e">
        <v>#N/A</v>
      </c>
      <c r="I64" s="34" t="e">
        <v>#N/A</v>
      </c>
      <c r="J64" s="32" t="e">
        <v>#N/A</v>
      </c>
      <c r="K64" s="34" t="e">
        <v>#N/A</v>
      </c>
      <c r="L64" s="36" t="e">
        <v>#N/A</v>
      </c>
      <c r="M64" s="37" t="e">
        <v>#N/A</v>
      </c>
      <c r="N64" s="37" t="e">
        <v>#N/A</v>
      </c>
      <c r="O64" s="38" t="e">
        <v>#N/A</v>
      </c>
      <c r="P64" s="37" t="e">
        <v>#N/A</v>
      </c>
      <c r="Q64" s="37" t="e">
        <v>#N/A</v>
      </c>
      <c r="R64" s="37" t="e">
        <v>#N/A</v>
      </c>
      <c r="S64" s="37" t="e">
        <v>#N/A</v>
      </c>
      <c r="T64" s="37" t="e">
        <v>#N/A</v>
      </c>
      <c r="U64" s="35" t="e">
        <v>#N/A</v>
      </c>
      <c r="V64" s="60">
        <f t="shared" si="2"/>
        <v>0</v>
      </c>
      <c r="W64" s="39"/>
      <c r="X64" s="61">
        <f t="shared" si="0"/>
        <v>0</v>
      </c>
      <c r="Y64" s="67" t="e">
        <f>IF(ISERROR(A64),NA(),_xll.qlBondYieldFromCleanPrice(AH64,X64/C64*100,YieldDayCounter,YieldCompounding,YieldFrequency))</f>
        <v>#N/A</v>
      </c>
      <c r="Z64" s="40"/>
      <c r="AA64" s="68" t="e">
        <f t="shared" si="3"/>
        <v>#N/A</v>
      </c>
      <c r="AB64" s="60" t="e">
        <f>IF(ISERROR(A64),IF(ISNUMBER(C64),0,NA()),_xll.qlBondCleanPriceFromYield(AH64,AA64,YieldDayCounter,YieldCompounding,YieldFrequency))</f>
        <v>#N/A</v>
      </c>
      <c r="AC64" s="39"/>
      <c r="AD64" s="61" t="e">
        <f t="shared" si="1"/>
        <v>#N/A</v>
      </c>
      <c r="AE64" s="60" t="e">
        <f t="shared" si="6"/>
        <v>#N/A</v>
      </c>
      <c r="AF64" s="71" t="e">
        <f t="shared" si="5"/>
        <v>#N/A</v>
      </c>
      <c r="AG64" s="68" t="e">
        <f>IF(ISERROR(A64),NA(),_xll.qlBondYieldFromCleanPrice(AH64,AF64,YieldDayCounter,YieldCompounding,YieldFrequency))</f>
        <v>#N/A</v>
      </c>
      <c r="AH64" s="72" t="e">
        <f>_xll.qlZeroCouponBond(,,"EUR",3,"target",$C64,$B64,"f",100)</f>
        <v>#NUM!</v>
      </c>
      <c r="AJ64" s="26"/>
      <c r="AK64" s="26"/>
      <c r="AL64" s="100"/>
      <c r="AM64" s="99"/>
      <c r="AN64" s="99"/>
      <c r="AO64" s="99"/>
    </row>
    <row r="65" spans="1:44" x14ac:dyDescent="0.2">
      <c r="A65" s="42" t="e">
        <f>_xll.qlYieldTSDiscount(BtpCurve,B65,,PriceTrigger)</f>
        <v>#NUM!</v>
      </c>
      <c r="B65" s="32" t="e">
        <v>#N/A</v>
      </c>
      <c r="C65" s="33" t="e">
        <v>#N/A</v>
      </c>
      <c r="D65" s="54" t="e">
        <v>#N/A</v>
      </c>
      <c r="E65" s="32" t="e">
        <v>#N/A</v>
      </c>
      <c r="F65" s="32" t="e">
        <v>#N/A</v>
      </c>
      <c r="G65" s="34" t="e">
        <v>#N/A</v>
      </c>
      <c r="H65" s="35" t="e">
        <v>#N/A</v>
      </c>
      <c r="I65" s="34" t="e">
        <v>#N/A</v>
      </c>
      <c r="J65" s="32" t="e">
        <v>#N/A</v>
      </c>
      <c r="K65" s="34" t="e">
        <v>#N/A</v>
      </c>
      <c r="L65" s="36" t="e">
        <v>#N/A</v>
      </c>
      <c r="M65" s="37" t="e">
        <v>#N/A</v>
      </c>
      <c r="N65" s="37" t="e">
        <v>#N/A</v>
      </c>
      <c r="O65" s="38" t="e">
        <v>#N/A</v>
      </c>
      <c r="P65" s="37" t="e">
        <v>#N/A</v>
      </c>
      <c r="Q65" s="37" t="e">
        <v>#N/A</v>
      </c>
      <c r="R65" s="37" t="e">
        <v>#N/A</v>
      </c>
      <c r="S65" s="37" t="e">
        <v>#N/A</v>
      </c>
      <c r="T65" s="37" t="e">
        <v>#N/A</v>
      </c>
      <c r="U65" s="35" t="e">
        <v>#N/A</v>
      </c>
      <c r="V65" s="60">
        <f t="shared" si="2"/>
        <v>0</v>
      </c>
      <c r="W65" s="39"/>
      <c r="X65" s="61">
        <f t="shared" si="0"/>
        <v>0</v>
      </c>
      <c r="Y65" s="67" t="e">
        <f>IF(ISERROR(A65),NA(),_xll.qlBondYieldFromCleanPrice(AH65,X65/C65*100,YieldDayCounter,YieldCompounding,YieldFrequency))</f>
        <v>#N/A</v>
      </c>
      <c r="Z65" s="40"/>
      <c r="AA65" s="68" t="e">
        <f t="shared" si="3"/>
        <v>#N/A</v>
      </c>
      <c r="AB65" s="60" t="e">
        <f>IF(ISERROR(A65),IF(ISNUMBER(C65),0,NA()),_xll.qlBondCleanPriceFromYield(AH65,AA65,YieldDayCounter,YieldCompounding,YieldFrequency))</f>
        <v>#N/A</v>
      </c>
      <c r="AC65" s="39"/>
      <c r="AD65" s="61" t="e">
        <f t="shared" si="1"/>
        <v>#N/A</v>
      </c>
      <c r="AE65" s="60" t="e">
        <f t="shared" si="6"/>
        <v>#N/A</v>
      </c>
      <c r="AF65" s="71" t="e">
        <f t="shared" si="5"/>
        <v>#N/A</v>
      </c>
      <c r="AG65" s="68" t="e">
        <f>IF(ISERROR(A65),NA(),_xll.qlBondYieldFromCleanPrice(AH65,AF65,YieldDayCounter,YieldCompounding,YieldFrequency))</f>
        <v>#N/A</v>
      </c>
      <c r="AH65" s="72" t="e">
        <f>_xll.qlZeroCouponBond(,,"EUR",3,"target",$C65,$B65,"f",100)</f>
        <v>#NUM!</v>
      </c>
      <c r="AL65" s="100"/>
    </row>
    <row r="66" spans="1:44" x14ac:dyDescent="0.2">
      <c r="A66" s="42" t="e">
        <f>_xll.qlYieldTSDiscount(BtpCurve,B66,,PriceTrigger)</f>
        <v>#NUM!</v>
      </c>
      <c r="B66" s="32" t="e">
        <v>#N/A</v>
      </c>
      <c r="C66" s="33" t="e">
        <v>#N/A</v>
      </c>
      <c r="D66" s="54" t="e">
        <v>#N/A</v>
      </c>
      <c r="E66" s="32" t="e">
        <v>#N/A</v>
      </c>
      <c r="F66" s="32" t="e">
        <v>#N/A</v>
      </c>
      <c r="G66" s="34" t="e">
        <v>#N/A</v>
      </c>
      <c r="H66" s="35" t="e">
        <v>#N/A</v>
      </c>
      <c r="I66" s="34" t="e">
        <v>#N/A</v>
      </c>
      <c r="J66" s="32" t="e">
        <v>#N/A</v>
      </c>
      <c r="K66" s="34" t="e">
        <v>#N/A</v>
      </c>
      <c r="L66" s="36" t="e">
        <v>#N/A</v>
      </c>
      <c r="M66" s="37" t="e">
        <v>#N/A</v>
      </c>
      <c r="N66" s="37" t="e">
        <v>#N/A</v>
      </c>
      <c r="O66" s="38" t="e">
        <v>#N/A</v>
      </c>
      <c r="P66" s="37" t="e">
        <v>#N/A</v>
      </c>
      <c r="Q66" s="37" t="e">
        <v>#N/A</v>
      </c>
      <c r="R66" s="37" t="e">
        <v>#N/A</v>
      </c>
      <c r="S66" s="37" t="e">
        <v>#N/A</v>
      </c>
      <c r="T66" s="37" t="e">
        <v>#N/A</v>
      </c>
      <c r="U66" s="35" t="e">
        <v>#N/A</v>
      </c>
      <c r="V66" s="60">
        <f t="shared" si="2"/>
        <v>0</v>
      </c>
      <c r="W66" s="39"/>
      <c r="X66" s="61">
        <f t="shared" si="0"/>
        <v>0</v>
      </c>
      <c r="Y66" s="67" t="e">
        <f>IF(ISERROR(A66),NA(),_xll.qlBondYieldFromCleanPrice(AH66,X66/C66*100,YieldDayCounter,YieldCompounding,YieldFrequency))</f>
        <v>#N/A</v>
      </c>
      <c r="Z66" s="40"/>
      <c r="AA66" s="68" t="e">
        <f t="shared" si="3"/>
        <v>#N/A</v>
      </c>
      <c r="AB66" s="60" t="e">
        <f>IF(ISERROR(A66),IF(ISNUMBER(C66),0,NA()),_xll.qlBondCleanPriceFromYield(AH66,AA66,YieldDayCounter,YieldCompounding,YieldFrequency))</f>
        <v>#N/A</v>
      </c>
      <c r="AC66" s="39"/>
      <c r="AD66" s="61" t="e">
        <f t="shared" si="1"/>
        <v>#N/A</v>
      </c>
      <c r="AE66" s="60" t="e">
        <f t="shared" si="6"/>
        <v>#N/A</v>
      </c>
      <c r="AF66" s="71" t="e">
        <f t="shared" si="5"/>
        <v>#N/A</v>
      </c>
      <c r="AG66" s="68" t="e">
        <f>IF(ISERROR(A66),NA(),_xll.qlBondYieldFromCleanPrice(AH66,AF66,YieldDayCounter,YieldCompounding,YieldFrequency))</f>
        <v>#N/A</v>
      </c>
      <c r="AH66" s="72" t="e">
        <f>_xll.qlZeroCouponBond(,,"EUR",3,"target",$C66,$B66,"f",100)</f>
        <v>#NUM!</v>
      </c>
      <c r="AR66" s="100"/>
    </row>
    <row r="67" spans="1:44" x14ac:dyDescent="0.2">
      <c r="A67" s="42" t="e">
        <f>_xll.qlYieldTSDiscount(BtpCurve,B67,,PriceTrigger)</f>
        <v>#NUM!</v>
      </c>
      <c r="B67" s="44" t="e">
        <v>#N/A</v>
      </c>
      <c r="C67" s="45" t="e">
        <v>#N/A</v>
      </c>
      <c r="D67" s="55" t="e">
        <v>#N/A</v>
      </c>
      <c r="E67" s="44" t="e">
        <v>#N/A</v>
      </c>
      <c r="F67" s="44" t="e">
        <v>#N/A</v>
      </c>
      <c r="G67" s="46" t="e">
        <v>#N/A</v>
      </c>
      <c r="H67" s="47" t="e">
        <v>#N/A</v>
      </c>
      <c r="I67" s="46" t="e">
        <v>#N/A</v>
      </c>
      <c r="J67" s="44" t="e">
        <v>#N/A</v>
      </c>
      <c r="K67" s="46" t="e">
        <v>#N/A</v>
      </c>
      <c r="L67" s="48" t="e">
        <v>#N/A</v>
      </c>
      <c r="M67" s="49" t="e">
        <v>#N/A</v>
      </c>
      <c r="N67" s="49" t="e">
        <v>#N/A</v>
      </c>
      <c r="O67" s="50" t="e">
        <v>#N/A</v>
      </c>
      <c r="P67" s="49" t="e">
        <v>#N/A</v>
      </c>
      <c r="Q67" s="49" t="e">
        <v>#N/A</v>
      </c>
      <c r="R67" s="49" t="e">
        <v>#N/A</v>
      </c>
      <c r="S67" s="49" t="e">
        <v>#N/A</v>
      </c>
      <c r="T67" s="49" t="e">
        <v>#N/A</v>
      </c>
      <c r="U67" s="47" t="e">
        <v>#N/A</v>
      </c>
      <c r="V67" s="60">
        <f t="shared" si="2"/>
        <v>0</v>
      </c>
      <c r="W67" s="51"/>
      <c r="X67" s="63">
        <f t="shared" si="0"/>
        <v>0</v>
      </c>
      <c r="Y67" s="69" t="e">
        <f>IF(ISERROR(A67),NA(),_xll.qlBondYieldFromCleanPrice(AH67,X67/C67*100,YieldDayCounter,YieldCompounding,YieldFrequency))</f>
        <v>#N/A</v>
      </c>
      <c r="Z67" s="52"/>
      <c r="AA67" s="70" t="e">
        <f t="shared" si="3"/>
        <v>#N/A</v>
      </c>
      <c r="AB67" s="62" t="e">
        <f>IF(ISERROR(A67),IF(ISNUMBER(C67),0,NA()),_xll.qlBondCleanPriceFromYield(AH67,AA67,YieldDayCounter,YieldCompounding,YieldFrequency))</f>
        <v>#N/A</v>
      </c>
      <c r="AC67" s="51"/>
      <c r="AD67" s="63" t="e">
        <f t="shared" si="1"/>
        <v>#N/A</v>
      </c>
      <c r="AE67" s="62" t="e">
        <f t="shared" si="6"/>
        <v>#N/A</v>
      </c>
      <c r="AF67" s="71" t="e">
        <f t="shared" si="5"/>
        <v>#N/A</v>
      </c>
      <c r="AG67" s="68" t="e">
        <f>IF(ISERROR(A67),NA(),_xll.qlBondYieldFromCleanPrice(AH67,AF67,YieldDayCounter,YieldCompounding,YieldFrequency))</f>
        <v>#N/A</v>
      </c>
      <c r="AH67" s="73" t="e">
        <f>_xll.qlZeroCouponBond(,,"EUR",3,"target",$C67,$B67,"f",100)</f>
        <v>#NUM!</v>
      </c>
      <c r="AR67" s="100"/>
    </row>
    <row r="68" spans="1:44" x14ac:dyDescent="0.2">
      <c r="A68" s="57"/>
      <c r="B68" s="74"/>
      <c r="C68" s="75"/>
      <c r="D68" s="75"/>
      <c r="E68" s="74"/>
      <c r="F68" s="74"/>
      <c r="G68" s="76"/>
      <c r="H68" s="77"/>
      <c r="I68" s="76"/>
      <c r="J68" s="74"/>
      <c r="K68" s="76"/>
      <c r="L68" s="78"/>
      <c r="M68" s="79"/>
      <c r="N68" s="79"/>
      <c r="O68" s="80"/>
      <c r="P68" s="79"/>
      <c r="Q68" s="79"/>
      <c r="R68" s="79"/>
      <c r="S68" s="79"/>
      <c r="T68" s="79"/>
      <c r="U68" s="77"/>
      <c r="V68" s="77"/>
      <c r="W68" s="77"/>
      <c r="X68" s="77"/>
      <c r="Y68" s="58"/>
      <c r="Z68" s="77"/>
      <c r="AA68" s="77"/>
      <c r="AB68" s="77"/>
      <c r="AC68" s="58"/>
      <c r="AD68" s="58"/>
      <c r="AE68" s="77"/>
      <c r="AF68" s="77"/>
      <c r="AG68" s="77"/>
      <c r="AH68" s="77"/>
      <c r="AR68" s="100"/>
    </row>
    <row r="69" spans="1:44" x14ac:dyDescent="0.2">
      <c r="Y69" s="26"/>
      <c r="AC69" s="26"/>
      <c r="AD69" s="26"/>
      <c r="AR69" s="100"/>
    </row>
    <row r="70" spans="1:44" x14ac:dyDescent="0.2">
      <c r="Y70" s="26"/>
      <c r="AC70" s="26"/>
      <c r="AD70" s="26"/>
      <c r="AR70" s="100"/>
    </row>
    <row r="71" spans="1:44" x14ac:dyDescent="0.2">
      <c r="Y71" s="26"/>
      <c r="AC71" s="26"/>
      <c r="AD71" s="26"/>
      <c r="AR71" s="100"/>
    </row>
    <row r="72" spans="1:44" x14ac:dyDescent="0.2">
      <c r="Y72" s="26"/>
      <c r="AC72" s="26"/>
      <c r="AD72" s="26"/>
      <c r="AR72" s="100"/>
    </row>
    <row r="73" spans="1:44" x14ac:dyDescent="0.2">
      <c r="AR73" s="100"/>
    </row>
    <row r="74" spans="1:44" x14ac:dyDescent="0.2">
      <c r="AR74" s="100"/>
    </row>
    <row r="75" spans="1:44" x14ac:dyDescent="0.2">
      <c r="AR75" s="100"/>
    </row>
    <row r="76" spans="1:44" x14ac:dyDescent="0.2">
      <c r="AR76" s="100"/>
    </row>
    <row r="77" spans="1:44" x14ac:dyDescent="0.2">
      <c r="AR77" s="100"/>
    </row>
    <row r="78" spans="1:44" x14ac:dyDescent="0.2">
      <c r="AR78" s="100"/>
    </row>
    <row r="79" spans="1:44" x14ac:dyDescent="0.2">
      <c r="AR79" s="100"/>
    </row>
    <row r="80" spans="1:44" x14ac:dyDescent="0.2">
      <c r="AR80" s="100"/>
    </row>
    <row r="81" spans="44:44" x14ac:dyDescent="0.2">
      <c r="AR81" s="100"/>
    </row>
    <row r="82" spans="44:44" x14ac:dyDescent="0.2">
      <c r="AR82" s="100"/>
    </row>
    <row r="83" spans="44:44" x14ac:dyDescent="0.2">
      <c r="AR83" s="100"/>
    </row>
    <row r="84" spans="44:44" x14ac:dyDescent="0.2">
      <c r="AR84" s="100"/>
    </row>
    <row r="85" spans="44:44" x14ac:dyDescent="0.2">
      <c r="AR85" s="100"/>
    </row>
    <row r="86" spans="44:44" x14ac:dyDescent="0.2">
      <c r="AR86" s="100"/>
    </row>
    <row r="87" spans="44:44" x14ac:dyDescent="0.2">
      <c r="AR87" s="100"/>
    </row>
    <row r="88" spans="44:44" x14ac:dyDescent="0.2">
      <c r="AR88" s="100"/>
    </row>
    <row r="89" spans="44:44" x14ac:dyDescent="0.2">
      <c r="AR89" s="100"/>
    </row>
    <row r="90" spans="44:44" x14ac:dyDescent="0.2">
      <c r="AR90" s="100"/>
    </row>
    <row r="91" spans="44:44" x14ac:dyDescent="0.2">
      <c r="AR91" s="100"/>
    </row>
    <row r="92" spans="44:44" x14ac:dyDescent="0.2">
      <c r="AR92" s="100"/>
    </row>
    <row r="93" spans="44:44" x14ac:dyDescent="0.2">
      <c r="AR93" s="100"/>
    </row>
    <row r="94" spans="44:44" x14ac:dyDescent="0.2">
      <c r="AR94" s="100"/>
    </row>
    <row r="95" spans="44:44" x14ac:dyDescent="0.2">
      <c r="AR95" s="100"/>
    </row>
    <row r="96" spans="44:44" x14ac:dyDescent="0.2">
      <c r="AR96" s="100"/>
    </row>
    <row r="97" spans="44:44" x14ac:dyDescent="0.2">
      <c r="AR97" s="100"/>
    </row>
    <row r="98" spans="44:44" x14ac:dyDescent="0.2">
      <c r="AR98" s="100"/>
    </row>
    <row r="99" spans="44:44" x14ac:dyDescent="0.2">
      <c r="AR99" s="100"/>
    </row>
    <row r="100" spans="44:44" x14ac:dyDescent="0.2">
      <c r="AR100" s="100"/>
    </row>
    <row r="101" spans="44:44" x14ac:dyDescent="0.2">
      <c r="AR101" s="100"/>
    </row>
    <row r="102" spans="44:44" x14ac:dyDescent="0.2">
      <c r="AR102" s="100"/>
    </row>
    <row r="103" spans="44:44" x14ac:dyDescent="0.2">
      <c r="AR103" s="100"/>
    </row>
    <row r="104" spans="44:44" x14ac:dyDescent="0.2">
      <c r="AR104" s="100"/>
    </row>
    <row r="105" spans="44:44" x14ac:dyDescent="0.2">
      <c r="AR105" s="100"/>
    </row>
    <row r="106" spans="44:44" x14ac:dyDescent="0.2">
      <c r="AR106" s="100"/>
    </row>
    <row r="107" spans="44:44" x14ac:dyDescent="0.2">
      <c r="AR107" s="100"/>
    </row>
    <row r="108" spans="44:44" x14ac:dyDescent="0.2">
      <c r="AR108" s="100"/>
    </row>
    <row r="109" spans="44:44" x14ac:dyDescent="0.2">
      <c r="AR109" s="100"/>
    </row>
    <row r="110" spans="44:44" x14ac:dyDescent="0.2">
      <c r="AR110" s="100"/>
    </row>
    <row r="111" spans="44:44" x14ac:dyDescent="0.2">
      <c r="AR111" s="100"/>
    </row>
    <row r="112" spans="44:44" x14ac:dyDescent="0.2">
      <c r="AR112" s="100"/>
    </row>
    <row r="113" spans="44:44" x14ac:dyDescent="0.2">
      <c r="AR113" s="100"/>
    </row>
    <row r="114" spans="44:44" x14ac:dyDescent="0.2">
      <c r="AR114" s="100"/>
    </row>
    <row r="115" spans="44:44" x14ac:dyDescent="0.2">
      <c r="AR115" s="100"/>
    </row>
    <row r="116" spans="44:44" x14ac:dyDescent="0.2">
      <c r="AR116" s="100"/>
    </row>
    <row r="117" spans="44:44" x14ac:dyDescent="0.2">
      <c r="AR117" s="100"/>
    </row>
    <row r="118" spans="44:44" x14ac:dyDescent="0.2">
      <c r="AR118" s="100"/>
    </row>
    <row r="119" spans="44:44" x14ac:dyDescent="0.2">
      <c r="AR119" s="100"/>
    </row>
    <row r="120" spans="44:44" x14ac:dyDescent="0.2">
      <c r="AR120" s="100"/>
    </row>
    <row r="121" spans="44:44" x14ac:dyDescent="0.2">
      <c r="AR121" s="100"/>
    </row>
    <row r="122" spans="44:44" x14ac:dyDescent="0.2">
      <c r="AR122" s="100"/>
    </row>
    <row r="123" spans="44:44" x14ac:dyDescent="0.2">
      <c r="AR123" s="100"/>
    </row>
    <row r="124" spans="44:44" x14ac:dyDescent="0.2">
      <c r="AR124" s="100"/>
    </row>
    <row r="125" spans="44:44" x14ac:dyDescent="0.2">
      <c r="AR125" s="100"/>
    </row>
    <row r="126" spans="44:44" x14ac:dyDescent="0.2">
      <c r="AR126" s="100"/>
    </row>
    <row r="127" spans="44:44" x14ac:dyDescent="0.2">
      <c r="AR127" s="100"/>
    </row>
    <row r="128" spans="44:44" x14ac:dyDescent="0.2">
      <c r="AR128" s="100"/>
    </row>
    <row r="129" spans="44:44" x14ac:dyDescent="0.2">
      <c r="AR129" s="100"/>
    </row>
    <row r="130" spans="44:44" x14ac:dyDescent="0.2">
      <c r="AR130" s="100"/>
    </row>
    <row r="131" spans="44:44" x14ac:dyDescent="0.2">
      <c r="AR131" s="100"/>
    </row>
    <row r="132" spans="44:44" x14ac:dyDescent="0.2">
      <c r="AR132" s="100"/>
    </row>
    <row r="133" spans="44:44" x14ac:dyDescent="0.2">
      <c r="AR133" s="100"/>
    </row>
    <row r="134" spans="44:44" x14ac:dyDescent="0.2">
      <c r="AR134" s="100"/>
    </row>
    <row r="135" spans="44:44" x14ac:dyDescent="0.2">
      <c r="AR135" s="100"/>
    </row>
    <row r="136" spans="44:44" x14ac:dyDescent="0.2">
      <c r="AR136" s="100"/>
    </row>
    <row r="137" spans="44:44" x14ac:dyDescent="0.2">
      <c r="AR137" s="100"/>
    </row>
    <row r="138" spans="44:44" x14ac:dyDescent="0.2">
      <c r="AR138" s="100"/>
    </row>
    <row r="139" spans="44:44" x14ac:dyDescent="0.2">
      <c r="AR139" s="100"/>
    </row>
    <row r="140" spans="44:44" x14ac:dyDescent="0.2">
      <c r="AR140" s="100"/>
    </row>
    <row r="141" spans="44:44" x14ac:dyDescent="0.2">
      <c r="AR141" s="100"/>
    </row>
    <row r="142" spans="44:44" x14ac:dyDescent="0.2">
      <c r="AR142" s="100"/>
    </row>
    <row r="143" spans="44:44" x14ac:dyDescent="0.2">
      <c r="AR143" s="100"/>
    </row>
    <row r="144" spans="44:44" x14ac:dyDescent="0.2">
      <c r="AR144" s="100"/>
    </row>
    <row r="145" spans="44:44" x14ac:dyDescent="0.2">
      <c r="AR145" s="100"/>
    </row>
    <row r="146" spans="44:44" x14ac:dyDescent="0.2">
      <c r="AR146" s="100"/>
    </row>
    <row r="147" spans="44:44" x14ac:dyDescent="0.2">
      <c r="AR147" s="100"/>
    </row>
    <row r="148" spans="44:44" x14ac:dyDescent="0.2">
      <c r="AR148" s="100"/>
    </row>
    <row r="149" spans="44:44" x14ac:dyDescent="0.2">
      <c r="AR149" s="100"/>
    </row>
    <row r="150" spans="44:44" x14ac:dyDescent="0.2">
      <c r="AR150" s="100"/>
    </row>
    <row r="151" spans="44:44" x14ac:dyDescent="0.2">
      <c r="AR151" s="100"/>
    </row>
  </sheetData>
  <sortState ref="AL154:AO300">
    <sortCondition ref="AL154:AL300"/>
  </sortState>
  <phoneticPr fontId="2" type="noConversion"/>
  <dataValidations count="2">
    <dataValidation type="list" allowBlank="1" showInputMessage="1" showErrorMessage="1" sqref="A2">
      <formula1>Descriptions</formula1>
    </dataValidation>
    <dataValidation type="list" allowBlank="1" showInputMessage="1" showErrorMessage="1" sqref="AI1">
      <formula1>$AK$1:$AM$1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N150"/>
  <sheetViews>
    <sheetView topLeftCell="D1" workbookViewId="0">
      <pane ySplit="3" topLeftCell="A4" activePane="bottomLeft" state="frozen"/>
      <selection activeCell="C1" sqref="C1"/>
      <selection pane="bottomLeft" activeCell="G16" sqref="G16"/>
    </sheetView>
  </sheetViews>
  <sheetFormatPr defaultColWidth="9.140625" defaultRowHeight="11.25" outlineLevelCol="1" x14ac:dyDescent="0.2"/>
  <cols>
    <col min="1" max="1" width="13.140625" style="27" hidden="1" customWidth="1" outlineLevel="1"/>
    <col min="2" max="2" width="17.28515625" style="27" hidden="1" customWidth="1" outlineLevel="1"/>
    <col min="3" max="3" width="6" style="27" hidden="1" customWidth="1" outlineLevel="1"/>
    <col min="4" max="4" width="17.28515625" style="27" bestFit="1" customWidth="1" collapsed="1"/>
    <col min="5" max="5" width="19.28515625" style="27" bestFit="1" customWidth="1"/>
    <col min="6" max="7" width="9" style="27" bestFit="1" customWidth="1"/>
    <col min="8" max="8" width="8" style="27" customWidth="1"/>
    <col min="9" max="11" width="9" style="27" bestFit="1" customWidth="1"/>
    <col min="12" max="12" width="9" style="27" hidden="1" customWidth="1" outlineLevel="1"/>
    <col min="13" max="13" width="10" style="27" hidden="1" customWidth="1" outlineLevel="1"/>
    <col min="14" max="14" width="9" style="27" customWidth="1" collapsed="1"/>
    <col min="15" max="17" width="15.140625" style="27" hidden="1" customWidth="1" outlineLevel="1"/>
    <col min="18" max="18" width="7" style="27" bestFit="1" customWidth="1" collapsed="1"/>
    <col min="19" max="19" width="7" style="27" bestFit="1" customWidth="1"/>
    <col min="20" max="20" width="68" style="27" hidden="1" customWidth="1" outlineLevel="1"/>
    <col min="21" max="21" width="4.85546875" style="27" customWidth="1" collapsed="1"/>
    <col min="22" max="22" width="36.85546875" style="27" hidden="1" customWidth="1" outlineLevel="1"/>
    <col min="23" max="23" width="3.85546875" style="27" customWidth="1" collapsed="1"/>
    <col min="24" max="24" width="8" style="27" bestFit="1" customWidth="1"/>
    <col min="25" max="25" width="9.140625" style="27"/>
    <col min="26" max="26" width="18.28515625" style="27" bestFit="1" customWidth="1"/>
    <col min="27" max="28" width="8" style="27" bestFit="1" customWidth="1"/>
    <col min="29" max="38" width="9.140625" style="27"/>
    <col min="39" max="39" width="13.140625" style="27" bestFit="1" customWidth="1"/>
    <col min="40" max="16384" width="9.140625" style="27"/>
  </cols>
  <sheetData>
    <row r="1" spans="1:32" x14ac:dyDescent="0.2">
      <c r="E1" s="82" t="s">
        <v>495</v>
      </c>
      <c r="F1" s="146">
        <v>4.0000000000000003E-5</v>
      </c>
      <c r="I1" s="103"/>
      <c r="O1" s="103"/>
      <c r="U1" s="102" t="s">
        <v>531</v>
      </c>
      <c r="V1" s="41"/>
      <c r="X1" s="102" t="s">
        <v>531</v>
      </c>
    </row>
    <row r="2" spans="1:32" x14ac:dyDescent="0.2">
      <c r="E2" s="82" t="str">
        <f>_xll.qlForwardSpreadedTermStructure(,BtpCurve,F1)</f>
        <v>obj_00aad#0000</v>
      </c>
      <c r="F2" s="82"/>
      <c r="I2" s="82"/>
      <c r="L2" s="82" t="s">
        <v>507</v>
      </c>
      <c r="O2" s="82"/>
      <c r="R2" s="82" t="s">
        <v>497</v>
      </c>
      <c r="S2" s="82" t="s">
        <v>497</v>
      </c>
    </row>
    <row r="3" spans="1:32" x14ac:dyDescent="0.2">
      <c r="A3" s="85" t="s">
        <v>498</v>
      </c>
      <c r="B3" s="86" t="s">
        <v>90</v>
      </c>
      <c r="C3" s="86"/>
      <c r="D3" s="86" t="s">
        <v>28</v>
      </c>
      <c r="E3" s="86" t="s">
        <v>496</v>
      </c>
      <c r="F3" s="86" t="s">
        <v>0</v>
      </c>
      <c r="G3" s="86" t="s">
        <v>109</v>
      </c>
      <c r="H3" s="86" t="s">
        <v>1</v>
      </c>
      <c r="I3" s="86" t="s">
        <v>500</v>
      </c>
      <c r="J3" s="86" t="s">
        <v>502</v>
      </c>
      <c r="K3" s="86" t="s">
        <v>504</v>
      </c>
      <c r="L3" s="86" t="s">
        <v>508</v>
      </c>
      <c r="M3" s="86" t="s">
        <v>509</v>
      </c>
      <c r="N3" s="86" t="s">
        <v>506</v>
      </c>
      <c r="O3" s="86" t="s">
        <v>501</v>
      </c>
      <c r="P3" s="86" t="s">
        <v>503</v>
      </c>
      <c r="Q3" s="86" t="s">
        <v>505</v>
      </c>
      <c r="R3" s="150" t="s">
        <v>0</v>
      </c>
      <c r="S3" s="150" t="s">
        <v>1</v>
      </c>
      <c r="T3" s="118" t="s">
        <v>497</v>
      </c>
      <c r="U3" s="140" t="s">
        <v>497</v>
      </c>
      <c r="V3" s="119" t="s">
        <v>499</v>
      </c>
      <c r="W3" s="120" t="str">
        <f>IF(UPPER(X1)="ABCD",_xll.MKV_PUBLISHTYPE("XLS_STRIPS","Id","string","Bid","real","Ask","real","Mid","real","Name","string","DV01","real","MidYield","real","BidYield","real","AskYield","real"),"--")</f>
        <v>Not connected</v>
      </c>
      <c r="X3" s="119" t="s">
        <v>528</v>
      </c>
    </row>
    <row r="4" spans="1:32" x14ac:dyDescent="0.2">
      <c r="A4" s="66" t="s">
        <v>29</v>
      </c>
      <c r="B4" s="83">
        <v>41760</v>
      </c>
      <c r="C4" s="131" t="str">
        <f>_xll.BDP(A4&amp;" Corp", "days to mty")</f>
        <v>#N/A Field Not Applicable</v>
      </c>
      <c r="D4" s="41" t="s">
        <v>296</v>
      </c>
      <c r="E4" s="41" t="s">
        <v>297</v>
      </c>
      <c r="F4" s="130" t="e">
        <f t="array" ref="F4:F150">ROUNDDOWN(_xll.qlYieldTSDiscount(E2,$B4:$B150,_xll.ohTrigger(BtpCurve!$O$2:$O$48))*100,2)</f>
        <v>#NUM!</v>
      </c>
      <c r="G4" s="130" t="e">
        <f t="array" ref="G4:G150">ROUND(_xll.qlYieldTSDiscount(BtpCurve,$B4:$B150,_xll.ohTrigger(BtpCurve!$O$2:$O$47))*100,2)</f>
        <v>#NUM!</v>
      </c>
      <c r="H4" s="130" t="e">
        <f>ROUNDUP(2*G4-F4,2)</f>
        <v>#NUM!</v>
      </c>
      <c r="I4" s="26" t="e">
        <f>ROUND(_xll.qlBondYieldFromCleanPrice(O4,F4,YieldDayCounter,YieldCompounding,YieldFrequency)*100,3)</f>
        <v>#VALUE!</v>
      </c>
      <c r="J4" s="26" t="e">
        <f>ROUND(_xll.qlBondYieldFromCleanPrice(P4,G4,YieldDayCounter,YieldCompounding,YieldFrequency)*100,3)</f>
        <v>#VALUE!</v>
      </c>
      <c r="K4" s="26" t="e">
        <f>ROUND(_xll.qlBondYieldFromCleanPrice(Q4,H4,YieldDayCounter,YieldCompounding,YieldFrequency)*100,3)</f>
        <v>#VALUE!</v>
      </c>
      <c r="L4" s="114" t="e">
        <f>_xll.qlBondDurationFromYield(P4,J4,YieldDayCounter,YieldCompounding,YieldFrequency,L$2)</f>
        <v>#VALUE!</v>
      </c>
      <c r="M4" s="114" t="e">
        <f>_xll.qlBondConvexityFromYield(P4,J4/100,YieldDayCounter,YieldCompounding,YieldFrequency)</f>
        <v>#VALUE!</v>
      </c>
      <c r="N4" s="115" t="str">
        <f>_xll.BDP(A4&amp;" Corp","risk mid")</f>
        <v>#N/A N/A</v>
      </c>
      <c r="O4" s="101" t="str">
        <f>_xll.qlZeroCouponBond(,,"EUR",3,"target",100,$B4,"f",100,,,Trigger)</f>
        <v>obj_00843#0000</v>
      </c>
      <c r="P4" s="101" t="str">
        <f>_xll.qlZeroCouponBond(,,"EUR",3,"target",100,$B4,"f",100,,,Trigger)</f>
        <v>obj_00995#0000</v>
      </c>
      <c r="Q4" s="101" t="str">
        <f>_xll.qlZeroCouponBond(,,"EUR",3,"target",100,$B4,"f",100,,,Trigger)</f>
        <v>obj_0097c#0000</v>
      </c>
      <c r="R4" s="116" t="e">
        <f>G4</f>
        <v>#NUM!</v>
      </c>
      <c r="S4" s="121" t="e">
        <f>R4</f>
        <v>#NUM!</v>
      </c>
      <c r="T4" s="137" t="str">
        <f>IF(UPPER(U$1)="ABCD",_xll.RtContribute($E$3,$E4,$R$3:$S$3,$R4:$S4,"SCOPE:SERVER"),"--")</f>
        <v>#VALUE</v>
      </c>
      <c r="U4" s="141" t="str">
        <f>IF(OR(LEFT(T4,3)="Suc",LEFT(T4,3)="Sen"),"OK","")</f>
        <v/>
      </c>
      <c r="V4" s="124" t="str">
        <f t="shared" ref="V4:V35" si="0">V$3&amp;A4</f>
        <v>EUR.PRICING.XLS_STRIPS.IT0001247136</v>
      </c>
      <c r="W4" s="124" t="str">
        <f>IF(UPPER($X$1)="ABCD",_xll.MKV_PUBLISHRECORD(V4, "XLS_STRIPS"),"--")</f>
        <v>Not connected</v>
      </c>
      <c r="X4" s="125" t="e">
        <f>IF(UPPER(X$1)="ABCD",_xll.MKV_SUPPLYRECORD(V4, "Bid",F4, "Ask",H4, "Id",A4, "Mid",G4, "Name",D4,"DV01",N4,"MidYield",J4,"BidYield",I4,"AskYield",K4),"--")</f>
        <v>#VALUE!</v>
      </c>
    </row>
    <row r="5" spans="1:32" x14ac:dyDescent="0.2">
      <c r="A5" s="66" t="s">
        <v>298</v>
      </c>
      <c r="B5" s="83">
        <v>41852</v>
      </c>
      <c r="C5" s="131" t="str">
        <f>_xll.BDP(A5&amp;" Corp", "days to mty")</f>
        <v>#N/A Field Not Applicable</v>
      </c>
      <c r="D5" s="41" t="s">
        <v>299</v>
      </c>
      <c r="E5" s="41" t="s">
        <v>300</v>
      </c>
      <c r="F5" s="130" t="e">
        <v>#NUM!</v>
      </c>
      <c r="G5" s="130" t="e">
        <v>#NUM!</v>
      </c>
      <c r="H5" s="130" t="e">
        <f t="shared" ref="H5:H68" si="1">ROUNDUP(2*G5-F5,2)</f>
        <v>#NUM!</v>
      </c>
      <c r="I5" s="26" t="e">
        <f>ROUND(_xll.qlBondYieldFromCleanPrice(O5,F5,YieldDayCounter,YieldCompounding,YieldFrequency)*100,3)</f>
        <v>#VALUE!</v>
      </c>
      <c r="J5" s="26" t="e">
        <f>ROUND(_xll.qlBondYieldFromCleanPrice(P5,G5,YieldDayCounter,YieldCompounding,YieldFrequency)*100,3)</f>
        <v>#VALUE!</v>
      </c>
      <c r="K5" s="26" t="e">
        <f>ROUND(_xll.qlBondYieldFromCleanPrice(Q5,H5,YieldDayCounter,YieldCompounding,YieldFrequency)*100,3)</f>
        <v>#VALUE!</v>
      </c>
      <c r="L5" s="114" t="e">
        <f>_xll.qlBondDurationFromYield(P5,J5,YieldDayCounter,YieldCompounding,YieldFrequency,L$2)</f>
        <v>#VALUE!</v>
      </c>
      <c r="M5" s="114" t="e">
        <f>_xll.qlBondConvexityFromYield(P5,J5/100,YieldDayCounter,YieldCompounding,YieldFrequency)</f>
        <v>#VALUE!</v>
      </c>
      <c r="N5" s="115" t="str">
        <f>_xll.BDP(A5&amp;" Corp","risk mid")</f>
        <v>#N/A N/A</v>
      </c>
      <c r="O5" s="101" t="str">
        <f>_xll.qlZeroCouponBond(,,"EUR",3,"target",100,$B5,"f",100,,,Trigger)</f>
        <v>obj_008c0#0000</v>
      </c>
      <c r="P5" s="101" t="str">
        <f>_xll.qlZeroCouponBond(,,"EUR",3,"target",100,$B5,"f",100,,,Trigger)</f>
        <v>obj_00962#0000</v>
      </c>
      <c r="Q5" s="101" t="str">
        <f>_xll.qlZeroCouponBond(,,"EUR",3,"target",100,$B5,"f",100,,,Trigger)</f>
        <v>obj_008cc#0000</v>
      </c>
      <c r="R5" s="117" t="e">
        <f t="shared" ref="R5:R11" si="2">G5</f>
        <v>#NUM!</v>
      </c>
      <c r="S5" s="122" t="e">
        <f t="shared" ref="S5" si="3">R5</f>
        <v>#NUM!</v>
      </c>
      <c r="T5" s="138" t="str">
        <f>IF(UPPER(U$1)="ABCD",_xll.RtContribute($E$3,$E5,$R$3:$S$3,$R5:$S5,"SCOPE:SERVER"),"--")</f>
        <v>#VALUE</v>
      </c>
      <c r="U5" s="142" t="str">
        <f t="shared" ref="U5:U68" si="4">IF(OR(LEFT(T5,3)="Suc",LEFT(T5,3)="Sen"),"OK","")</f>
        <v/>
      </c>
      <c r="V5" s="126" t="str">
        <f t="shared" si="0"/>
        <v>EUR.PRICING.XLS_STRIPS.IT0004848609</v>
      </c>
      <c r="W5" s="126" t="str">
        <f>IF(UPPER($X$1)="ABCD",_xll.MKV_PUBLISHRECORD(V5, "XLS_STRIPS"),"--")</f>
        <v>Not connected</v>
      </c>
      <c r="X5" s="127" t="e">
        <f>IF(UPPER(X$1)="ABCD",_xll.MKV_SUPPLYRECORD(V5, "Bid",F5, "Ask",H5, "Id",A5, "Mid",G5, "Name",D5,"DV01",N5,"MidYield",J5,"BidYield",I5,"AskYield",K5),"--")</f>
        <v>#VALUE!</v>
      </c>
    </row>
    <row r="6" spans="1:32" x14ac:dyDescent="0.2">
      <c r="A6" s="66" t="s">
        <v>113</v>
      </c>
      <c r="B6" s="83">
        <v>41883</v>
      </c>
      <c r="C6" s="131" t="str">
        <f>_xll.BDP(A6&amp;" Corp", "days to mty")</f>
        <v>#N/A Field Not Applicable</v>
      </c>
      <c r="D6" s="41" t="s">
        <v>114</v>
      </c>
      <c r="E6" s="41" t="s">
        <v>115</v>
      </c>
      <c r="F6" s="130" t="e">
        <v>#NUM!</v>
      </c>
      <c r="G6" s="130" t="e">
        <v>#NUM!</v>
      </c>
      <c r="H6" s="130" t="e">
        <f t="shared" si="1"/>
        <v>#NUM!</v>
      </c>
      <c r="I6" s="26" t="e">
        <f>ROUND(_xll.qlBondYieldFromCleanPrice(O6,F6,YieldDayCounter,YieldCompounding,YieldFrequency)*100,3)</f>
        <v>#VALUE!</v>
      </c>
      <c r="J6" s="26" t="e">
        <f>ROUND(_xll.qlBondYieldFromCleanPrice(P6,G6,YieldDayCounter,YieldCompounding,YieldFrequency)*100,3)</f>
        <v>#VALUE!</v>
      </c>
      <c r="K6" s="26" t="e">
        <f>ROUND(_xll.qlBondYieldFromCleanPrice(Q6,H6,YieldDayCounter,YieldCompounding,YieldFrequency)*100,3)</f>
        <v>#VALUE!</v>
      </c>
      <c r="L6" s="114" t="e">
        <f>_xll.qlBondDurationFromYield(P6,J6,YieldDayCounter,YieldCompounding,YieldFrequency,L$2)</f>
        <v>#VALUE!</v>
      </c>
      <c r="M6" s="114" t="e">
        <f>_xll.qlBondConvexityFromYield(P6,J6/100,YieldDayCounter,YieldCompounding,YieldFrequency)</f>
        <v>#VALUE!</v>
      </c>
      <c r="N6" s="115" t="str">
        <f>_xll.BDP(A6&amp;" Corp","risk mid")</f>
        <v>#N/A N/A</v>
      </c>
      <c r="O6" s="101" t="str">
        <f>_xll.qlZeroCouponBond(,,"EUR",3,"target",100,$B6,"f",100,,,Trigger)</f>
        <v>obj_009f4#0000</v>
      </c>
      <c r="P6" s="101" t="str">
        <f>_xll.qlZeroCouponBond(,,"EUR",3,"target",100,$B6,"f",100,,,Trigger)</f>
        <v>obj_008c9#0000</v>
      </c>
      <c r="Q6" s="101" t="str">
        <f>_xll.qlZeroCouponBond(,,"EUR",3,"target",100,$B6,"f",100,,,Trigger)</f>
        <v>obj_009e5#0000</v>
      </c>
      <c r="R6" s="117" t="e">
        <f t="shared" si="2"/>
        <v>#NUM!</v>
      </c>
      <c r="S6" s="122" t="e">
        <f t="shared" ref="S6" si="5">R6</f>
        <v>#NUM!</v>
      </c>
      <c r="T6" s="138" t="str">
        <f>IF(UPPER(U$1)="ABCD",_xll.RtContribute($E$3,$E6,$R$3:$S$3,$R6:$S6,"SCOPE:SERVER"),"--")</f>
        <v>#VALUE</v>
      </c>
      <c r="U6" s="142" t="str">
        <f t="shared" si="4"/>
        <v/>
      </c>
      <c r="V6" s="126" t="str">
        <f t="shared" si="0"/>
        <v>EUR.PRICING.XLS_STRIPS.IT0004957756</v>
      </c>
      <c r="W6" s="126" t="str">
        <f>IF(UPPER($X$1)="ABCD",_xll.MKV_PUBLISHRECORD(V6, "XLS_STRIPS"),"--")</f>
        <v>Not connected</v>
      </c>
      <c r="X6" s="127" t="e">
        <f>IF(UPPER(X$1)="ABCD",_xll.MKV_SUPPLYRECORD(V6, "Bid",F6, "Ask",H6, "Id",A6, "Mid",G6, "Name",D6,"DV01",N6,"MidYield",J6,"BidYield",I6,"AskYield",K6),"--")</f>
        <v>#VALUE!</v>
      </c>
    </row>
    <row r="7" spans="1:32" x14ac:dyDescent="0.2">
      <c r="A7" s="66" t="s">
        <v>30</v>
      </c>
      <c r="B7" s="83">
        <v>41944</v>
      </c>
      <c r="C7" s="131" t="str">
        <f>_xll.BDP(A7&amp;" Corp", "days to mty")</f>
        <v>#N/A Field Not Applicable</v>
      </c>
      <c r="D7" s="41" t="s">
        <v>301</v>
      </c>
      <c r="E7" s="41" t="s">
        <v>302</v>
      </c>
      <c r="F7" s="130" t="e">
        <v>#NUM!</v>
      </c>
      <c r="G7" s="130" t="e">
        <v>#NUM!</v>
      </c>
      <c r="H7" s="130" t="e">
        <f t="shared" si="1"/>
        <v>#NUM!</v>
      </c>
      <c r="I7" s="26" t="e">
        <f>ROUND(_xll.qlBondYieldFromCleanPrice(O7,F7,YieldDayCounter,YieldCompounding,YieldFrequency)*100,3)</f>
        <v>#VALUE!</v>
      </c>
      <c r="J7" s="26" t="e">
        <f>ROUND(_xll.qlBondYieldFromCleanPrice(P7,G7,YieldDayCounter,YieldCompounding,YieldFrequency)*100,3)</f>
        <v>#VALUE!</v>
      </c>
      <c r="K7" s="26" t="e">
        <f>ROUND(_xll.qlBondYieldFromCleanPrice(Q7,H7,YieldDayCounter,YieldCompounding,YieldFrequency)*100,3)</f>
        <v>#VALUE!</v>
      </c>
      <c r="L7" s="114" t="e">
        <f>_xll.qlBondDurationFromYield(P7,J7,YieldDayCounter,YieldCompounding,YieldFrequency,L$2)</f>
        <v>#VALUE!</v>
      </c>
      <c r="M7" s="114" t="e">
        <f>_xll.qlBondConvexityFromYield(P7,J7/100,YieldDayCounter,YieldCompounding,YieldFrequency)</f>
        <v>#VALUE!</v>
      </c>
      <c r="N7" s="115" t="str">
        <f>_xll.BDP(A7&amp;" Corp","risk mid")</f>
        <v>#N/A N/A</v>
      </c>
      <c r="O7" s="101" t="str">
        <f>_xll.qlZeroCouponBond(,,"EUR",3,"target",100,$B7,"f",100,,,Trigger)</f>
        <v>obj_008bf#0000</v>
      </c>
      <c r="P7" s="101" t="str">
        <f>_xll.qlZeroCouponBond(,,"EUR",3,"target",100,$B7,"f",100,,,Trigger)</f>
        <v>obj_00894#0000</v>
      </c>
      <c r="Q7" s="101" t="str">
        <f>_xll.qlZeroCouponBond(,,"EUR",3,"target",100,$B7,"f",100,,,Trigger)</f>
        <v>obj_0096d#0000</v>
      </c>
      <c r="R7" s="117" t="e">
        <f t="shared" si="2"/>
        <v>#NUM!</v>
      </c>
      <c r="S7" s="122" t="e">
        <f t="shared" ref="S7" si="6">R7</f>
        <v>#NUM!</v>
      </c>
      <c r="T7" s="138" t="str">
        <f>IF(UPPER(U$1)="ABCD",_xll.RtContribute($E$3,$E7,$R$3:$S$3,$R7:$S7,"SCOPE:SERVER"),"--")</f>
        <v>#VALUE</v>
      </c>
      <c r="U7" s="142" t="str">
        <f t="shared" si="4"/>
        <v/>
      </c>
      <c r="V7" s="126" t="str">
        <f t="shared" si="0"/>
        <v>EUR.PRICING.XLS_STRIPS.IT0001247144</v>
      </c>
      <c r="W7" s="126" t="str">
        <f>IF(UPPER($X$1)="ABCD",_xll.MKV_PUBLISHRECORD(V7, "XLS_STRIPS"),"--")</f>
        <v>Not connected</v>
      </c>
      <c r="X7" s="127" t="e">
        <f>IF(UPPER(X$1)="ABCD",_xll.MKV_SUPPLYRECORD(V7, "Bid",F7, "Ask",H7, "Id",A7, "Mid",G7, "Name",D7,"DV01",N7,"MidYield",J7,"BidYield",I7,"AskYield",K7),"--")</f>
        <v>#VALUE!</v>
      </c>
    </row>
    <row r="8" spans="1:32" x14ac:dyDescent="0.2">
      <c r="A8" s="66" t="s">
        <v>303</v>
      </c>
      <c r="B8" s="83">
        <v>42036</v>
      </c>
      <c r="C8" s="131" t="str">
        <f>_xll.BDP(A8&amp;" Corp", "days to mty")</f>
        <v>#N/A Field Not Applicable</v>
      </c>
      <c r="D8" s="41" t="s">
        <v>304</v>
      </c>
      <c r="E8" s="41" t="s">
        <v>305</v>
      </c>
      <c r="F8" s="130" t="e">
        <v>#NUM!</v>
      </c>
      <c r="G8" s="130" t="e">
        <v>#NUM!</v>
      </c>
      <c r="H8" s="130" t="e">
        <f t="shared" si="1"/>
        <v>#NUM!</v>
      </c>
      <c r="I8" s="26" t="e">
        <f>ROUND(_xll.qlBondYieldFromCleanPrice(O8,F8,YieldDayCounter,YieldCompounding,YieldFrequency)*100,3)</f>
        <v>#VALUE!</v>
      </c>
      <c r="J8" s="26" t="e">
        <f>ROUND(_xll.qlBondYieldFromCleanPrice(P8,G8,YieldDayCounter,YieldCompounding,YieldFrequency)*100,3)</f>
        <v>#VALUE!</v>
      </c>
      <c r="K8" s="26" t="e">
        <f>ROUND(_xll.qlBondYieldFromCleanPrice(Q8,H8,YieldDayCounter,YieldCompounding,YieldFrequency)*100,3)</f>
        <v>#VALUE!</v>
      </c>
      <c r="L8" s="114" t="e">
        <f>_xll.qlBondDurationFromYield(P8,J8,YieldDayCounter,YieldCompounding,YieldFrequency,L$2)</f>
        <v>#VALUE!</v>
      </c>
      <c r="M8" s="114" t="e">
        <f>_xll.qlBondConvexityFromYield(P8,J8/100,YieldDayCounter,YieldCompounding,YieldFrequency)</f>
        <v>#VALUE!</v>
      </c>
      <c r="N8" s="115" t="str">
        <f>_xll.BDP(A8&amp;" Corp","risk mid")</f>
        <v>#N/A N/A</v>
      </c>
      <c r="O8" s="101" t="str">
        <f>_xll.qlZeroCouponBond(,,"EUR",3,"target",100,$B8,"f",100,,,Trigger)</f>
        <v>obj_009e8#0000</v>
      </c>
      <c r="P8" s="101" t="str">
        <f>_xll.qlZeroCouponBond(,,"EUR",3,"target",100,$B8,"f",100,,,Trigger)</f>
        <v>obj_009a1#0000</v>
      </c>
      <c r="Q8" s="101" t="str">
        <f>_xll.qlZeroCouponBond(,,"EUR",3,"target",100,$B8,"f",100,,,Trigger)</f>
        <v>obj_009c6#0000</v>
      </c>
      <c r="R8" s="117" t="e">
        <f t="shared" si="2"/>
        <v>#NUM!</v>
      </c>
      <c r="S8" s="122" t="e">
        <f t="shared" ref="S8" si="7">R8</f>
        <v>#NUM!</v>
      </c>
      <c r="T8" s="138" t="str">
        <f>IF(UPPER(U$1)="ABCD",_xll.RtContribute($E$3,$E8,$R$3:$S$3,$R8:$S8,"SCOPE:SERVER"),"--")</f>
        <v>#VALUE</v>
      </c>
      <c r="U8" s="142" t="str">
        <f t="shared" si="4"/>
        <v/>
      </c>
      <c r="V8" s="126" t="str">
        <f t="shared" si="0"/>
        <v>EUR.PRICING.XLS_STRIPS.IT0004848625</v>
      </c>
      <c r="W8" s="126" t="str">
        <f>IF(UPPER($X$1)="ABCD",_xll.MKV_PUBLISHRECORD(V8, "XLS_STRIPS"),"--")</f>
        <v>Not connected</v>
      </c>
      <c r="X8" s="127" t="e">
        <f>IF(UPPER(X$1)="ABCD",_xll.MKV_SUPPLYRECORD(V8, "Bid",F8, "Ask",H8, "Id",A8, "Mid",G8, "Name",D8,"DV01",N8,"MidYield",J8,"BidYield",I8,"AskYield",K8),"--")</f>
        <v>#VALUE!</v>
      </c>
    </row>
    <row r="9" spans="1:32" x14ac:dyDescent="0.2">
      <c r="A9" s="66" t="s">
        <v>116</v>
      </c>
      <c r="B9" s="83">
        <v>42064</v>
      </c>
      <c r="C9" s="131" t="str">
        <f>_xll.BDP(A9&amp;" Corp", "days to mty")</f>
        <v>#N/A Field Not Applicable</v>
      </c>
      <c r="D9" s="41" t="s">
        <v>117</v>
      </c>
      <c r="E9" s="41" t="s">
        <v>118</v>
      </c>
      <c r="F9" s="130" t="e">
        <v>#NUM!</v>
      </c>
      <c r="G9" s="130" t="e">
        <v>#NUM!</v>
      </c>
      <c r="H9" s="130" t="e">
        <f t="shared" si="1"/>
        <v>#NUM!</v>
      </c>
      <c r="I9" s="26" t="e">
        <f>ROUND(_xll.qlBondYieldFromCleanPrice(O9,F9,YieldDayCounter,YieldCompounding,YieldFrequency)*100,3)</f>
        <v>#VALUE!</v>
      </c>
      <c r="J9" s="26" t="e">
        <f>ROUND(_xll.qlBondYieldFromCleanPrice(P9,G9,YieldDayCounter,YieldCompounding,YieldFrequency)*100,3)</f>
        <v>#VALUE!</v>
      </c>
      <c r="K9" s="26" t="e">
        <f>ROUND(_xll.qlBondYieldFromCleanPrice(Q9,H9,YieldDayCounter,YieldCompounding,YieldFrequency)*100,3)</f>
        <v>#VALUE!</v>
      </c>
      <c r="L9" s="114" t="e">
        <f>_xll.qlBondDurationFromYield(P9,J9,YieldDayCounter,YieldCompounding,YieldFrequency,L$2)</f>
        <v>#VALUE!</v>
      </c>
      <c r="M9" s="114" t="e">
        <f>_xll.qlBondConvexityFromYield(P9,J9/100,YieldDayCounter,YieldCompounding,YieldFrequency)</f>
        <v>#VALUE!</v>
      </c>
      <c r="N9" s="115" t="str">
        <f>_xll.BDP(A9&amp;" Corp","risk mid")</f>
        <v>#N/A N/A</v>
      </c>
      <c r="O9" s="101" t="str">
        <f>_xll.qlZeroCouponBond(,,"EUR",3,"target",100,$B9,"f",100,,,Trigger)</f>
        <v>obj_00931#0000</v>
      </c>
      <c r="P9" s="101" t="str">
        <f>_xll.qlZeroCouponBond(,,"EUR",3,"target",100,$B9,"f",100,,,Trigger)</f>
        <v>obj_009ee#0000</v>
      </c>
      <c r="Q9" s="101" t="str">
        <f>_xll.qlZeroCouponBond(,,"EUR",3,"target",100,$B9,"f",100,,,Trigger)</f>
        <v>obj_0094f#0000</v>
      </c>
      <c r="R9" s="117" t="e">
        <f t="shared" si="2"/>
        <v>#NUM!</v>
      </c>
      <c r="S9" s="122" t="e">
        <f t="shared" ref="S9" si="8">R9</f>
        <v>#NUM!</v>
      </c>
      <c r="T9" s="138" t="str">
        <f>IF(UPPER(U$1)="ABCD",_xll.RtContribute($E$3,$E9,$R$3:$S$3,$R9:$S9,"SCOPE:SERVER"),"--")</f>
        <v>#VALUE</v>
      </c>
      <c r="U9" s="142" t="str">
        <f t="shared" si="4"/>
        <v/>
      </c>
      <c r="V9" s="126" t="str">
        <f t="shared" si="0"/>
        <v>EUR.PRICING.XLS_STRIPS.IT0004957764</v>
      </c>
      <c r="W9" s="126" t="str">
        <f>IF(UPPER($X$1)="ABCD",_xll.MKV_PUBLISHRECORD(V9, "XLS_STRIPS"),"--")</f>
        <v>Not connected</v>
      </c>
      <c r="X9" s="127" t="e">
        <f>IF(UPPER(X$1)="ABCD",_xll.MKV_SUPPLYRECORD(V9, "Bid",F9, "Ask",H9, "Id",A9, "Mid",G9, "Name",D9,"DV01",N9,"MidYield",J9,"BidYield",I9,"AskYield",K9),"--")</f>
        <v>#VALUE!</v>
      </c>
    </row>
    <row r="10" spans="1:32" x14ac:dyDescent="0.2">
      <c r="A10" s="66" t="s">
        <v>31</v>
      </c>
      <c r="B10" s="83">
        <v>42125</v>
      </c>
      <c r="C10" s="131" t="str">
        <f>_xll.BDP(A10&amp;" Corp", "days to mty")</f>
        <v>#N/A Field Not Applicable</v>
      </c>
      <c r="D10" s="41" t="s">
        <v>306</v>
      </c>
      <c r="E10" s="41" t="s">
        <v>307</v>
      </c>
      <c r="F10" s="130" t="e">
        <v>#NUM!</v>
      </c>
      <c r="G10" s="130" t="e">
        <v>#NUM!</v>
      </c>
      <c r="H10" s="130" t="e">
        <f t="shared" si="1"/>
        <v>#NUM!</v>
      </c>
      <c r="I10" s="26" t="e">
        <f>ROUND(_xll.qlBondYieldFromCleanPrice(O10,F10,YieldDayCounter,YieldCompounding,YieldFrequency)*100,3)</f>
        <v>#VALUE!</v>
      </c>
      <c r="J10" s="26" t="e">
        <f>ROUND(_xll.qlBondYieldFromCleanPrice(P10,G10,YieldDayCounter,YieldCompounding,YieldFrequency)*100,3)</f>
        <v>#VALUE!</v>
      </c>
      <c r="K10" s="26" t="e">
        <f>ROUND(_xll.qlBondYieldFromCleanPrice(Q10,H10,YieldDayCounter,YieldCompounding,YieldFrequency)*100,3)</f>
        <v>#VALUE!</v>
      </c>
      <c r="L10" s="114" t="e">
        <f>_xll.qlBondDurationFromYield(P10,J10,YieldDayCounter,YieldCompounding,YieldFrequency,L$2)</f>
        <v>#VALUE!</v>
      </c>
      <c r="M10" s="114" t="e">
        <f>_xll.qlBondConvexityFromYield(P10,J10/100,YieldDayCounter,YieldCompounding,YieldFrequency)</f>
        <v>#VALUE!</v>
      </c>
      <c r="N10" s="115" t="str">
        <f>_xll.BDP(A10&amp;" Corp","risk mid")</f>
        <v>#N/A N/A</v>
      </c>
      <c r="O10" s="101" t="str">
        <f>_xll.qlZeroCouponBond(,,"EUR",3,"target",100,$B10,"f",100,,,Trigger)</f>
        <v>obj_009e7#0000</v>
      </c>
      <c r="P10" s="101" t="str">
        <f>_xll.qlZeroCouponBond(,,"EUR",3,"target",100,$B10,"f",100,,,Trigger)</f>
        <v>obj_008af#0000</v>
      </c>
      <c r="Q10" s="101" t="str">
        <f>_xll.qlZeroCouponBond(,,"EUR",3,"target",100,$B10,"f",100,,,Trigger)</f>
        <v>obj_00869#0000</v>
      </c>
      <c r="R10" s="117" t="e">
        <f t="shared" si="2"/>
        <v>#NUM!</v>
      </c>
      <c r="S10" s="122" t="e">
        <f t="shared" ref="S10" si="9">R10</f>
        <v>#NUM!</v>
      </c>
      <c r="T10" s="138" t="str">
        <f>IF(UPPER(U$1)="ABCD",_xll.RtContribute($E$3,$E10,$R$3:$S$3,$R10:$S10,"SCOPE:SERVER"),"--")</f>
        <v>#VALUE</v>
      </c>
      <c r="U10" s="142" t="str">
        <f t="shared" si="4"/>
        <v/>
      </c>
      <c r="V10" s="126" t="str">
        <f t="shared" si="0"/>
        <v>EUR.PRICING.XLS_STRIPS.IT0001247151</v>
      </c>
      <c r="W10" s="126" t="str">
        <f>IF(UPPER($X$1)="ABCD",_xll.MKV_PUBLISHRECORD(V10, "XLS_STRIPS"),"--")</f>
        <v>Not connected</v>
      </c>
      <c r="X10" s="127" t="e">
        <f>IF(UPPER(X$1)="ABCD",_xll.MKV_SUPPLYRECORD(V10, "Bid",F10, "Ask",H10, "Id",A10, "Mid",G10, "Name",D10,"DV01",N10,"MidYield",J10,"BidYield",I10,"AskYield",K10),"--")</f>
        <v>#VALUE!</v>
      </c>
    </row>
    <row r="11" spans="1:32" x14ac:dyDescent="0.2">
      <c r="A11" s="66" t="s">
        <v>308</v>
      </c>
      <c r="B11" s="83">
        <v>42217</v>
      </c>
      <c r="C11" s="131" t="str">
        <f>_xll.BDP(A11&amp;" Corp", "days to mty")</f>
        <v>#N/A Field Not Applicable</v>
      </c>
      <c r="D11" s="41" t="s">
        <v>309</v>
      </c>
      <c r="E11" s="41" t="s">
        <v>310</v>
      </c>
      <c r="F11" s="130" t="e">
        <v>#NUM!</v>
      </c>
      <c r="G11" s="130" t="e">
        <v>#NUM!</v>
      </c>
      <c r="H11" s="130" t="e">
        <f t="shared" si="1"/>
        <v>#NUM!</v>
      </c>
      <c r="I11" s="26" t="e">
        <f>ROUND(_xll.qlBondYieldFromCleanPrice(O11,F11,YieldDayCounter,YieldCompounding,YieldFrequency)*100,3)</f>
        <v>#VALUE!</v>
      </c>
      <c r="J11" s="26" t="e">
        <f>ROUND(_xll.qlBondYieldFromCleanPrice(P11,G11,YieldDayCounter,YieldCompounding,YieldFrequency)*100,3)</f>
        <v>#VALUE!</v>
      </c>
      <c r="K11" s="26" t="e">
        <f>ROUND(_xll.qlBondYieldFromCleanPrice(Q11,H11,YieldDayCounter,YieldCompounding,YieldFrequency)*100,3)</f>
        <v>#VALUE!</v>
      </c>
      <c r="L11" s="114" t="e">
        <f>_xll.qlBondDurationFromYield(P11,J11,YieldDayCounter,YieldCompounding,YieldFrequency,L$2)</f>
        <v>#VALUE!</v>
      </c>
      <c r="M11" s="114" t="e">
        <f>_xll.qlBondConvexityFromYield(P11,J11/100,YieldDayCounter,YieldCompounding,YieldFrequency)</f>
        <v>#VALUE!</v>
      </c>
      <c r="N11" s="115" t="str">
        <f>_xll.BDP(A11&amp;" Corp","risk mid")</f>
        <v>#N/A N/A</v>
      </c>
      <c r="O11" s="101" t="str">
        <f>_xll.qlZeroCouponBond(,,"EUR",3,"target",100,$B11,"f",100,,,Trigger)</f>
        <v>obj_009b4#0000</v>
      </c>
      <c r="P11" s="101" t="str">
        <f>_xll.qlZeroCouponBond(,,"EUR",3,"target",100,$B11,"f",100,,,Trigger)</f>
        <v>obj_009c0#0000</v>
      </c>
      <c r="Q11" s="101" t="str">
        <f>_xll.qlZeroCouponBond(,,"EUR",3,"target",100,$B11,"f",100,,,Trigger)</f>
        <v>obj_0087c#0000</v>
      </c>
      <c r="R11" s="117" t="e">
        <f t="shared" si="2"/>
        <v>#NUM!</v>
      </c>
      <c r="S11" s="122" t="e">
        <f t="shared" ref="S11" si="10">R11</f>
        <v>#NUM!</v>
      </c>
      <c r="T11" s="138" t="str">
        <f>IF(UPPER(U$1)="ABCD",_xll.RtContribute($E$3,$E11,$R$3:$S$3,$R11:$S11,"SCOPE:SERVER"),"--")</f>
        <v>#VALUE</v>
      </c>
      <c r="U11" s="142" t="str">
        <f t="shared" si="4"/>
        <v/>
      </c>
      <c r="V11" s="126" t="str">
        <f t="shared" si="0"/>
        <v>EUR.PRICING.XLS_STRIPS.IT0004848633</v>
      </c>
      <c r="W11" s="126" t="str">
        <f>IF(UPPER($X$1)="ABCD",_xll.MKV_PUBLISHRECORD(V11, "XLS_STRIPS"),"--")</f>
        <v>Not connected</v>
      </c>
      <c r="X11" s="127" t="e">
        <f>IF(UPPER(X$1)="ABCD",_xll.MKV_SUPPLYRECORD(V11, "Bid",F11, "Ask",H11, "Id",A11, "Mid",G11, "Name",D11,"DV01",N11,"MidYield",J11,"BidYield",I11,"AskYield",K11),"--")</f>
        <v>#VALUE!</v>
      </c>
    </row>
    <row r="12" spans="1:32" x14ac:dyDescent="0.2">
      <c r="A12" s="66" t="s">
        <v>119</v>
      </c>
      <c r="B12" s="83">
        <v>42248</v>
      </c>
      <c r="C12" s="131" t="str">
        <f>_xll.BDP(A12&amp;" Corp", "days to mty")</f>
        <v>#N/A Field Not Applicable</v>
      </c>
      <c r="D12" s="41" t="s">
        <v>120</v>
      </c>
      <c r="E12" s="41" t="s">
        <v>121</v>
      </c>
      <c r="F12" s="130" t="e">
        <v>#NUM!</v>
      </c>
      <c r="G12" s="130" t="e">
        <v>#NUM!</v>
      </c>
      <c r="H12" s="130" t="e">
        <f t="shared" si="1"/>
        <v>#NUM!</v>
      </c>
      <c r="I12" s="26" t="e">
        <f>ROUND(_xll.qlBondYieldFromCleanPrice(O12,F12,YieldDayCounter,YieldCompounding,YieldFrequency)*100,3)</f>
        <v>#VALUE!</v>
      </c>
      <c r="J12" s="26" t="e">
        <f>ROUND(_xll.qlBondYieldFromCleanPrice(P12,G12,YieldDayCounter,YieldCompounding,YieldFrequency)*100,3)</f>
        <v>#VALUE!</v>
      </c>
      <c r="K12" s="26" t="e">
        <f>ROUND(_xll.qlBondYieldFromCleanPrice(Q12,H12,YieldDayCounter,YieldCompounding,YieldFrequency)*100,3)</f>
        <v>#VALUE!</v>
      </c>
      <c r="L12" s="114" t="e">
        <f>_xll.qlBondDurationFromYield(P12,J12,YieldDayCounter,YieldCompounding,YieldFrequency,L$2)</f>
        <v>#VALUE!</v>
      </c>
      <c r="M12" s="114" t="e">
        <f>_xll.qlBondConvexityFromYield(P12,J12/100,YieldDayCounter,YieldCompounding,YieldFrequency)</f>
        <v>#VALUE!</v>
      </c>
      <c r="N12" s="115" t="str">
        <f>_xll.BDP(A12&amp;" Corp","risk mid")</f>
        <v>#N/A N/A</v>
      </c>
      <c r="O12" s="101" t="str">
        <f>_xll.qlZeroCouponBond(,,"EUR",3,"target",100,$B12,"f",100,,,Trigger)</f>
        <v>obj_0099c#0000</v>
      </c>
      <c r="P12" s="101" t="str">
        <f>_xll.qlZeroCouponBond(,,"EUR",3,"target",100,$B12,"f",100,,,Trigger)</f>
        <v>obj_00967#0000</v>
      </c>
      <c r="Q12" s="101" t="str">
        <f>_xll.qlZeroCouponBond(,,"EUR",3,"target",100,$B12,"f",100,,,Trigger)</f>
        <v>obj_008c8#0000</v>
      </c>
      <c r="R12" s="117" t="e">
        <f>H12</f>
        <v>#NUM!</v>
      </c>
      <c r="S12" s="122" t="e">
        <f t="shared" ref="S12" si="11">R12</f>
        <v>#NUM!</v>
      </c>
      <c r="T12" s="138" t="str">
        <f>IF(UPPER(U$1)="ABCD",_xll.RtContribute($E$3,$E12,$R$3:$S$3,$R12:$S12,"SCOPE:SERVER"),"--")</f>
        <v>#VALUE</v>
      </c>
      <c r="U12" s="142" t="str">
        <f t="shared" si="4"/>
        <v/>
      </c>
      <c r="V12" s="126" t="str">
        <f t="shared" si="0"/>
        <v>EUR.PRICING.XLS_STRIPS.IT0004957772</v>
      </c>
      <c r="W12" s="126" t="str">
        <f>IF(UPPER($X$1)="ABCD",_xll.MKV_PUBLISHRECORD(V12, "XLS_STRIPS"),"--")</f>
        <v>Not connected</v>
      </c>
      <c r="X12" s="127" t="e">
        <f>IF(UPPER(X$1)="ABCD",_xll.MKV_SUPPLYRECORD(V12, "Bid",F12, "Ask",H12, "Id",A12, "Mid",G12, "Name",D12,"DV01",N12,"MidYield",J12,"BidYield",I12,"AskYield",K12),"--")</f>
        <v>#VALUE!</v>
      </c>
    </row>
    <row r="13" spans="1:32" x14ac:dyDescent="0.2">
      <c r="A13" s="66" t="s">
        <v>311</v>
      </c>
      <c r="B13" s="83">
        <v>42309</v>
      </c>
      <c r="C13" s="131" t="str">
        <f>_xll.BDP(A13&amp;" Corp", "days to mty")</f>
        <v>#N/A Field Not Applicable</v>
      </c>
      <c r="D13" s="41" t="s">
        <v>312</v>
      </c>
      <c r="E13" s="41" t="s">
        <v>313</v>
      </c>
      <c r="F13" s="130" t="e">
        <v>#NUM!</v>
      </c>
      <c r="G13" s="130" t="e">
        <v>#NUM!</v>
      </c>
      <c r="H13" s="130" t="e">
        <f t="shared" si="1"/>
        <v>#NUM!</v>
      </c>
      <c r="I13" s="26" t="e">
        <f>ROUND(_xll.qlBondYieldFromCleanPrice(O13,F13,YieldDayCounter,YieldCompounding,YieldFrequency)*100,3)</f>
        <v>#VALUE!</v>
      </c>
      <c r="J13" s="26" t="e">
        <f>ROUND(_xll.qlBondYieldFromCleanPrice(P13,G13,YieldDayCounter,YieldCompounding,YieldFrequency)*100,3)</f>
        <v>#VALUE!</v>
      </c>
      <c r="K13" s="26" t="e">
        <f>ROUND(_xll.qlBondYieldFromCleanPrice(Q13,H13,YieldDayCounter,YieldCompounding,YieldFrequency)*100,3)</f>
        <v>#VALUE!</v>
      </c>
      <c r="L13" s="114" t="e">
        <f>_xll.qlBondDurationFromYield(P13,J13,YieldDayCounter,YieldCompounding,YieldFrequency,L$2)</f>
        <v>#VALUE!</v>
      </c>
      <c r="M13" s="114" t="e">
        <f>_xll.qlBondConvexityFromYield(P13,J13/100,YieldDayCounter,YieldCompounding,YieldFrequency)</f>
        <v>#VALUE!</v>
      </c>
      <c r="N13" s="115" t="str">
        <f>_xll.BDP(A13&amp;" Corp","risk mid")</f>
        <v>#N/A N/A</v>
      </c>
      <c r="O13" s="101" t="str">
        <f>_xll.qlZeroCouponBond(,,"EUR",3,"target",100,$B13,"f",100,,,Trigger)</f>
        <v>obj_009b3#0000</v>
      </c>
      <c r="P13" s="101" t="str">
        <f>_xll.qlZeroCouponBond(,,"EUR",3,"target",100,$B13,"f",100,,,Trigger)</f>
        <v>obj_00848#0000</v>
      </c>
      <c r="Q13" s="101" t="str">
        <f>_xll.qlZeroCouponBond(,,"EUR",3,"target",100,$B13,"f",100,,,Trigger)</f>
        <v>obj_00877#0000</v>
      </c>
      <c r="R13" s="117" t="e">
        <f t="shared" ref="R13:R76" si="12">H13</f>
        <v>#NUM!</v>
      </c>
      <c r="S13" s="122" t="e">
        <f t="shared" ref="S13" si="13">R13</f>
        <v>#NUM!</v>
      </c>
      <c r="T13" s="138" t="str">
        <f>IF(UPPER(U$1)="ABCD",_xll.RtContribute($E$3,$E13,$R$3:$S$3,$R13:$S13,"SCOPE:SERVER"),"--")</f>
        <v>#VALUE</v>
      </c>
      <c r="U13" s="142" t="str">
        <f t="shared" si="4"/>
        <v/>
      </c>
      <c r="V13" s="126" t="str">
        <f t="shared" si="0"/>
        <v>EUR.PRICING.XLS_STRIPS.IT0004871353</v>
      </c>
      <c r="W13" s="126" t="str">
        <f>IF(UPPER($X$1)="ABCD",_xll.MKV_PUBLISHRECORD(V13, "XLS_STRIPS"),"--")</f>
        <v>Not connected</v>
      </c>
      <c r="X13" s="127" t="e">
        <f>IF(UPPER(X$1)="ABCD",_xll.MKV_SUPPLYRECORD(V13, "Bid",F13, "Ask",H13, "Id",A13, "Mid",G13, "Name",D13,"DV01",N13,"MidYield",J13,"BidYield",I13,"AskYield",K13),"--")</f>
        <v>#VALUE!</v>
      </c>
      <c r="Z13" s="27" t="s">
        <v>533</v>
      </c>
    </row>
    <row r="14" spans="1:32" x14ac:dyDescent="0.2">
      <c r="A14" s="66" t="s">
        <v>32</v>
      </c>
      <c r="B14" s="83">
        <v>42401</v>
      </c>
      <c r="C14" s="131" t="str">
        <f>_xll.BDP(A14&amp;" Corp", "days to mty")</f>
        <v>#N/A Field Not Applicable</v>
      </c>
      <c r="D14" s="41" t="s">
        <v>314</v>
      </c>
      <c r="E14" s="41" t="s">
        <v>315</v>
      </c>
      <c r="F14" s="130" t="e">
        <v>#NUM!</v>
      </c>
      <c r="G14" s="130" t="e">
        <v>#NUM!</v>
      </c>
      <c r="H14" s="130" t="e">
        <f t="shared" si="1"/>
        <v>#NUM!</v>
      </c>
      <c r="I14" s="26" t="e">
        <f>ROUND(_xll.qlBondYieldFromCleanPrice(O14,F14,YieldDayCounter,YieldCompounding,YieldFrequency)*100,3)</f>
        <v>#VALUE!</v>
      </c>
      <c r="J14" s="26" t="e">
        <f>ROUND(_xll.qlBondYieldFromCleanPrice(P14,G14,YieldDayCounter,YieldCompounding,YieldFrequency)*100,3)</f>
        <v>#VALUE!</v>
      </c>
      <c r="K14" s="26" t="e">
        <f>ROUND(_xll.qlBondYieldFromCleanPrice(Q14,H14,YieldDayCounter,YieldCompounding,YieldFrequency)*100,3)</f>
        <v>#VALUE!</v>
      </c>
      <c r="L14" s="114" t="e">
        <f>_xll.qlBondDurationFromYield(P14,J14,YieldDayCounter,YieldCompounding,YieldFrequency,L$2)</f>
        <v>#VALUE!</v>
      </c>
      <c r="M14" s="114" t="e">
        <f>_xll.qlBondConvexityFromYield(P14,J14/100,YieldDayCounter,YieldCompounding,YieldFrequency)</f>
        <v>#VALUE!</v>
      </c>
      <c r="N14" s="115" t="str">
        <f>_xll.BDP(A14&amp;" Corp","risk mid")</f>
        <v>#N/A N/A</v>
      </c>
      <c r="O14" s="101" t="str">
        <f>_xll.qlZeroCouponBond(,,"EUR",3,"target",100,$B14,"f",100,,,Trigger)</f>
        <v>obj_00899#0000</v>
      </c>
      <c r="P14" s="101" t="str">
        <f>_xll.qlZeroCouponBond(,,"EUR",3,"target",100,$B14,"f",100,,,Trigger)</f>
        <v>obj_009bb#0000</v>
      </c>
      <c r="Q14" s="101" t="str">
        <f>_xll.qlZeroCouponBond(,,"EUR",3,"target",100,$B14,"f",100,,,Trigger)</f>
        <v>obj_009f5#0000</v>
      </c>
      <c r="R14" s="117" t="e">
        <f t="shared" si="12"/>
        <v>#NUM!</v>
      </c>
      <c r="S14" s="122" t="e">
        <f t="shared" ref="S14" si="14">R14</f>
        <v>#NUM!</v>
      </c>
      <c r="T14" s="138" t="str">
        <f>IF(UPPER(U$1)="ABCD",_xll.RtContribute($E$3,$E14,$R$3:$S$3,$R14:$S14,"SCOPE:SERVER"),"--")</f>
        <v>#VALUE</v>
      </c>
      <c r="U14" s="142" t="str">
        <f t="shared" si="4"/>
        <v/>
      </c>
      <c r="V14" s="126" t="str">
        <f t="shared" si="0"/>
        <v>EUR.PRICING.XLS_STRIPS.IT0003246318</v>
      </c>
      <c r="W14" s="126" t="str">
        <f>IF(UPPER($X$1)="ABCD",_xll.MKV_PUBLISHRECORD(V14, "XLS_STRIPS"),"--")</f>
        <v>Not connected</v>
      </c>
      <c r="X14" s="127" t="e">
        <f>IF(UPPER(X$1)="ABCD",_xll.MKV_SUPPLYRECORD(V14, "Bid",F14, "Ask",H14, "Id",A14, "Mid",G14, "Name",D14,"DV01",N14,"MidYield",J14,"BidYield",I14,"AskYield",K14),"--")</f>
        <v>#VALUE!</v>
      </c>
    </row>
    <row r="15" spans="1:32" x14ac:dyDescent="0.2">
      <c r="A15" s="66" t="s">
        <v>122</v>
      </c>
      <c r="B15" s="83">
        <v>42430</v>
      </c>
      <c r="C15" s="131" t="str">
        <f>_xll.BDP(A15&amp;" Corp", "days to mty")</f>
        <v>#N/A Field Not Applicable</v>
      </c>
      <c r="D15" s="41" t="s">
        <v>123</v>
      </c>
      <c r="E15" s="41" t="s">
        <v>124</v>
      </c>
      <c r="F15" s="130" t="e">
        <v>#NUM!</v>
      </c>
      <c r="G15" s="130" t="e">
        <v>#NUM!</v>
      </c>
      <c r="H15" s="130" t="e">
        <f t="shared" si="1"/>
        <v>#NUM!</v>
      </c>
      <c r="I15" s="26" t="e">
        <f>ROUND(_xll.qlBondYieldFromCleanPrice(O15,F15,YieldDayCounter,YieldCompounding,YieldFrequency)*100,3)</f>
        <v>#VALUE!</v>
      </c>
      <c r="J15" s="26" t="e">
        <f>ROUND(_xll.qlBondYieldFromCleanPrice(P15,G15,YieldDayCounter,YieldCompounding,YieldFrequency)*100,3)</f>
        <v>#VALUE!</v>
      </c>
      <c r="K15" s="26" t="e">
        <f>ROUND(_xll.qlBondYieldFromCleanPrice(Q15,H15,YieldDayCounter,YieldCompounding,YieldFrequency)*100,3)</f>
        <v>#VALUE!</v>
      </c>
      <c r="L15" s="114" t="e">
        <f>_xll.qlBondDurationFromYield(P15,J15,YieldDayCounter,YieldCompounding,YieldFrequency,L$2)</f>
        <v>#VALUE!</v>
      </c>
      <c r="M15" s="114" t="e">
        <f>_xll.qlBondConvexityFromYield(P15,J15/100,YieldDayCounter,YieldCompounding,YieldFrequency)</f>
        <v>#VALUE!</v>
      </c>
      <c r="N15" s="115" t="str">
        <f>_xll.BDP(A15&amp;" Corp","risk mid")</f>
        <v>#N/A N/A</v>
      </c>
      <c r="O15" s="101" t="str">
        <f>_xll.qlZeroCouponBond(,,"EUR",3,"target",100,$B15,"f",100,,,Trigger)</f>
        <v>obj_0084d#0000</v>
      </c>
      <c r="P15" s="101" t="str">
        <f>_xll.qlZeroCouponBond(,,"EUR",3,"target",100,$B15,"f",100,,,Trigger)</f>
        <v>obj_0096e#0000</v>
      </c>
      <c r="Q15" s="101" t="str">
        <f>_xll.qlZeroCouponBond(,,"EUR",3,"target",100,$B15,"f",100,,,Trigger)</f>
        <v>obj_00900#0000</v>
      </c>
      <c r="R15" s="117" t="e">
        <f t="shared" si="12"/>
        <v>#NUM!</v>
      </c>
      <c r="S15" s="122" t="e">
        <f t="shared" ref="S15" si="15">R15</f>
        <v>#NUM!</v>
      </c>
      <c r="T15" s="138" t="str">
        <f>IF(UPPER(U$1)="ABCD",_xll.RtContribute($E$3,$E15,$R$3:$S$3,$R15:$S15,"SCOPE:SERVER"),"--")</f>
        <v>#VALUE</v>
      </c>
      <c r="U15" s="142" t="str">
        <f t="shared" si="4"/>
        <v/>
      </c>
      <c r="V15" s="126" t="str">
        <f t="shared" si="0"/>
        <v>EUR.PRICING.XLS_STRIPS.IT0004957780</v>
      </c>
      <c r="W15" s="126" t="str">
        <f>IF(UPPER($X$1)="ABCD",_xll.MKV_PUBLISHRECORD(V15, "XLS_STRIPS"),"--")</f>
        <v>Not connected</v>
      </c>
      <c r="X15" s="127" t="e">
        <f>IF(UPPER(X$1)="ABCD",_xll.MKV_SUPPLYRECORD(V15, "Bid",F15, "Ask",H15, "Id",A15, "Mid",G15, "Name",D15,"DV01",N15,"MidYield",J15,"BidYield",I15,"AskYield",K15),"--")</f>
        <v>#VALUE!</v>
      </c>
    </row>
    <row r="16" spans="1:32" x14ac:dyDescent="0.2">
      <c r="A16" s="66" t="s">
        <v>33</v>
      </c>
      <c r="B16" s="83">
        <v>42491</v>
      </c>
      <c r="C16" s="131" t="str">
        <f>_xll.BDP(A16&amp;" Corp", "days to mty")</f>
        <v>#N/A Field Not Applicable</v>
      </c>
      <c r="D16" s="41" t="s">
        <v>316</v>
      </c>
      <c r="E16" s="41" t="s">
        <v>317</v>
      </c>
      <c r="F16" s="130" t="e">
        <v>#NUM!</v>
      </c>
      <c r="G16" s="130" t="e">
        <v>#NUM!</v>
      </c>
      <c r="H16" s="130" t="e">
        <f t="shared" si="1"/>
        <v>#NUM!</v>
      </c>
      <c r="I16" s="26" t="e">
        <f>ROUND(_xll.qlBondYieldFromCleanPrice(O16,F16,YieldDayCounter,YieldCompounding,YieldFrequency)*100,3)</f>
        <v>#VALUE!</v>
      </c>
      <c r="J16" s="26" t="e">
        <f>ROUND(_xll.qlBondYieldFromCleanPrice(P16,G16,YieldDayCounter,YieldCompounding,YieldFrequency)*100,3)</f>
        <v>#VALUE!</v>
      </c>
      <c r="K16" s="26" t="e">
        <f>ROUND(_xll.qlBondYieldFromCleanPrice(Q16,H16,YieldDayCounter,YieldCompounding,YieldFrequency)*100,3)</f>
        <v>#VALUE!</v>
      </c>
      <c r="L16" s="114" t="e">
        <f>_xll.qlBondDurationFromYield(P16,J16,YieldDayCounter,YieldCompounding,YieldFrequency,L$2)</f>
        <v>#VALUE!</v>
      </c>
      <c r="M16" s="114" t="e">
        <f>_xll.qlBondConvexityFromYield(P16,J16/100,YieldDayCounter,YieldCompounding,YieldFrequency)</f>
        <v>#VALUE!</v>
      </c>
      <c r="N16" s="115" t="str">
        <f>_xll.BDP(A16&amp;" Corp","risk mid")</f>
        <v>#N/A N/A</v>
      </c>
      <c r="O16" s="101" t="str">
        <f>_xll.qlZeroCouponBond(,,"EUR",3,"target",100,$B16,"f",100,,,Trigger)</f>
        <v>obj_009eb#0000</v>
      </c>
      <c r="P16" s="101" t="str">
        <f>_xll.qlZeroCouponBond(,,"EUR",3,"target",100,$B16,"f",100,,,Trigger)</f>
        <v>obj_008e4#0000</v>
      </c>
      <c r="Q16" s="101" t="str">
        <f>_xll.qlZeroCouponBond(,,"EUR",3,"target",100,$B16,"f",100,,,Trigger)</f>
        <v>obj_0097f#0000</v>
      </c>
      <c r="R16" s="117" t="e">
        <f t="shared" si="12"/>
        <v>#NUM!</v>
      </c>
      <c r="S16" s="122" t="e">
        <f t="shared" ref="S16" si="16">R16</f>
        <v>#NUM!</v>
      </c>
      <c r="T16" s="138" t="str">
        <f>IF(UPPER(U$1)="ABCD",_xll.RtContribute($E$3,$E16,$R$3:$S$3,$R16:$S16,"SCOPE:SERVER"),"--")</f>
        <v>#VALUE</v>
      </c>
      <c r="U16" s="142" t="str">
        <f t="shared" si="4"/>
        <v/>
      </c>
      <c r="V16" s="126" t="str">
        <f t="shared" si="0"/>
        <v>EUR.PRICING.XLS_STRIPS.IT0001247177</v>
      </c>
      <c r="W16" s="126" t="str">
        <f>IF(UPPER($X$1)="ABCD",_xll.MKV_PUBLISHRECORD(V16, "XLS_STRIPS"),"--")</f>
        <v>Not connected</v>
      </c>
      <c r="X16" s="127" t="e">
        <f>IF(UPPER(X$1)="ABCD",_xll.MKV_SUPPLYRECORD(V16, "Bid",F16, "Ask",H16, "Id",A16, "Mid",G16, "Name",D16,"DV01",N16,"MidYield",J16,"BidYield",I16,"AskYield",K16),"--")</f>
        <v>#VALUE!</v>
      </c>
      <c r="AD16" s="114"/>
      <c r="AF16" s="153">
        <f>SUM(AF17:AF150)</f>
        <v>432018.94938695029</v>
      </c>
    </row>
    <row r="17" spans="1:40" x14ac:dyDescent="0.2">
      <c r="A17" s="66" t="s">
        <v>318</v>
      </c>
      <c r="B17" s="83">
        <v>42583</v>
      </c>
      <c r="C17" s="131">
        <f>_xll.BDP(A17&amp;" Corp", "days to mty")</f>
        <v>67</v>
      </c>
      <c r="D17" s="41" t="s">
        <v>319</v>
      </c>
      <c r="E17" s="41" t="s">
        <v>320</v>
      </c>
      <c r="F17" s="130">
        <v>100.06</v>
      </c>
      <c r="G17" s="130">
        <v>100.06</v>
      </c>
      <c r="H17" s="130">
        <f t="shared" si="1"/>
        <v>100.06</v>
      </c>
      <c r="I17" s="26">
        <f>ROUND(_xll.qlBondYieldFromCleanPrice(O17,F17,YieldDayCounter,YieldCompounding,YieldFrequency)*100,3)</f>
        <v>-0.33200000000000002</v>
      </c>
      <c r="J17" s="26">
        <f>ROUND(_xll.qlBondYieldFromCleanPrice(P17,G17,YieldDayCounter,YieldCompounding,YieldFrequency)*100,3)</f>
        <v>-0.33200000000000002</v>
      </c>
      <c r="K17" s="26">
        <f>ROUND(_xll.qlBondYieldFromCleanPrice(Q17,H17,YieldDayCounter,YieldCompounding,YieldFrequency)*100,3)</f>
        <v>-0.33200000000000002</v>
      </c>
      <c r="L17" s="114">
        <f>_xll.qlBondDurationFromYield(P17,J17,YieldDayCounter,YieldCompounding,YieldFrequency,L$2)</f>
        <v>0.26995189947972908</v>
      </c>
      <c r="M17" s="114">
        <f>_xll.qlBondConvexityFromYield(P17,J17/100,YieldDayCounter,YieldCompounding,YieldFrequency)</f>
        <v>0.21426637614522853</v>
      </c>
      <c r="N17" s="115">
        <f>_xll.BDP(A17&amp;" Corp","risk mid")</f>
        <v>0.1842924048460759</v>
      </c>
      <c r="O17" s="101" t="str">
        <f>_xll.qlZeroCouponBond(,,"EUR",3,"target",100,$B17,"f",100,,,Trigger)</f>
        <v>obj_00941#0000</v>
      </c>
      <c r="P17" s="101" t="str">
        <f>_xll.qlZeroCouponBond(,,"EUR",3,"target",100,$B17,"f",100,,,Trigger)</f>
        <v>obj_008ff#0000</v>
      </c>
      <c r="Q17" s="101" t="str">
        <f>_xll.qlZeroCouponBond(,,"EUR",3,"target",100,$B17,"f",100,,,Trigger)</f>
        <v>obj_00847#0000</v>
      </c>
      <c r="R17" s="117">
        <f t="shared" si="12"/>
        <v>100.06</v>
      </c>
      <c r="S17" s="122">
        <f t="shared" ref="S17" si="17">R17</f>
        <v>100.06</v>
      </c>
      <c r="T17" s="138" t="str">
        <f>IF(UPPER(U$1)="ABCD",_xll.RtContribute($E$3,$E17,$R$3:$S$3,$R17:$S17,"SCOPE:SERVER"),"--")</f>
        <v>Success: Insert Ack on DTSIMI2 for STRIP.IT0004848666 at 10:31:47</v>
      </c>
      <c r="U17" s="142" t="str">
        <f t="shared" si="4"/>
        <v>OK</v>
      </c>
      <c r="V17" s="126" t="str">
        <f t="shared" si="0"/>
        <v>EUR.PRICING.XLS_STRIPS.IT0004848666</v>
      </c>
      <c r="W17" s="126" t="str">
        <f>IF(UPPER($X$1)="ABCD",_xll.MKV_PUBLISHRECORD(V17, "XLS_STRIPS"),"--")</f>
        <v>Not connected</v>
      </c>
      <c r="X17" s="127" t="str">
        <f>IF(UPPER(X$1)="ABCD",_xll.MKV_SUPPLYRECORD(V17, "Bid",F17, "Ask",H17, "Id",A17, "Mid",G17, "Name",D17,"DV01",N17,"MidYield",J17,"BidYield",I17,"AskYield",K17),"--")</f>
        <v>Not connected</v>
      </c>
      <c r="Z17" s="27" t="str">
        <f t="shared" ref="Z17:Z78" si="18">RIGHT(E17,12)&amp;"@"&amp;$Z$13&amp;" Corp"</f>
        <v>IT0004848666@rbsm Corp</v>
      </c>
      <c r="AA17" s="27">
        <f>_xll.BDP(Z17,"bid")</f>
        <v>100.05800000000001</v>
      </c>
      <c r="AB17" s="27">
        <f>_xll.BDP(Z17,"ask")</f>
        <v>100.065</v>
      </c>
      <c r="AC17" s="27">
        <f t="shared" ref="AC17:AC80" si="19">AVERAGE(AA17:AB17)</f>
        <v>100.0615</v>
      </c>
      <c r="AD17" s="114">
        <f t="shared" ref="AD17:AD80" si="20">+G17-AC17</f>
        <v>-1.4999999999929514E-3</v>
      </c>
      <c r="AE17" s="27">
        <f>IF(ISNUMBER(VLOOKUP(LEFT(Z17,12),$AM$17:$AN$150,2,FALSE)),VLOOKUP(LEFT(Z17,12),$AM$17:$AN$150,2,FALSE),"0")</f>
        <v>0.54337500000000005</v>
      </c>
      <c r="AF17" s="152">
        <f>AE17*AD17*10000</f>
        <v>-8.1506249999617015</v>
      </c>
      <c r="AM17" s="27" t="s">
        <v>318</v>
      </c>
      <c r="AN17" s="27">
        <v>0.54337500000000005</v>
      </c>
    </row>
    <row r="18" spans="1:40" x14ac:dyDescent="0.2">
      <c r="A18" s="66" t="s">
        <v>125</v>
      </c>
      <c r="B18" s="83">
        <v>42614</v>
      </c>
      <c r="C18" s="131">
        <f>_xll.BDP(A18&amp;" Corp", "days to mty")</f>
        <v>98</v>
      </c>
      <c r="D18" s="41" t="s">
        <v>126</v>
      </c>
      <c r="E18" s="41" t="s">
        <v>127</v>
      </c>
      <c r="F18" s="130">
        <v>100.08</v>
      </c>
      <c r="G18" s="130">
        <v>100.09</v>
      </c>
      <c r="H18" s="130">
        <f t="shared" si="1"/>
        <v>100.1</v>
      </c>
      <c r="I18" s="26">
        <f>ROUND(_xll.qlBondYieldFromCleanPrice(O18,F18,YieldDayCounter,YieldCompounding,YieldFrequency)*100,3)</f>
        <v>-0.30099999999999999</v>
      </c>
      <c r="J18" s="26">
        <f>ROUND(_xll.qlBondYieldFromCleanPrice(P18,G18,YieldDayCounter,YieldCompounding,YieldFrequency)*100,3)</f>
        <v>-0.33900000000000002</v>
      </c>
      <c r="K18" s="26">
        <f>ROUND(_xll.qlBondYieldFromCleanPrice(Q18,H18,YieldDayCounter,YieldCompounding,YieldFrequency)*100,3)</f>
        <v>-0.376</v>
      </c>
      <c r="L18" s="114">
        <f>_xll.qlBondDurationFromYield(P18,J18,YieldDayCounter,YieldCompounding,YieldFrequency,L$2)</f>
        <v>0.40094905053611435</v>
      </c>
      <c r="M18" s="114">
        <f>_xll.qlBondConvexityFromYield(P18,J18/100,YieldDayCounter,YieldCompounding,YieldFrequency)</f>
        <v>0.33755152418329404</v>
      </c>
      <c r="N18" s="115">
        <f>_xll.BDP(A18&amp;" Corp","risk mid")</f>
        <v>0.2683534922262254</v>
      </c>
      <c r="O18" s="101" t="str">
        <f>_xll.qlZeroCouponBond(,,"EUR",3,"target",100,$B18,"f",100,,,Trigger)</f>
        <v>obj_008f4#0000</v>
      </c>
      <c r="P18" s="101" t="str">
        <f>_xll.qlZeroCouponBond(,,"EUR",3,"target",100,$B18,"f",100,,,Trigger)</f>
        <v>obj_00881#0000</v>
      </c>
      <c r="Q18" s="101" t="str">
        <f>_xll.qlZeroCouponBond(,,"EUR",3,"target",100,$B18,"f",100,,,Trigger)</f>
        <v>obj_008ef#0000</v>
      </c>
      <c r="R18" s="117">
        <f t="shared" si="12"/>
        <v>100.1</v>
      </c>
      <c r="S18" s="122">
        <f t="shared" ref="S18" si="21">R18</f>
        <v>100.1</v>
      </c>
      <c r="T18" s="138" t="str">
        <f>IF(UPPER(U$1)="ABCD",_xll.RtContribute($E$3,$E18,$R$3:$S$3,$R18:$S18,"SCOPE:SERVER"),"--")</f>
        <v>Success: Insert Ack on DTSIMI2 for STRIP.IT0004957798 at 10:31:47</v>
      </c>
      <c r="U18" s="142" t="str">
        <f t="shared" si="4"/>
        <v>OK</v>
      </c>
      <c r="V18" s="126" t="str">
        <f t="shared" si="0"/>
        <v>EUR.PRICING.XLS_STRIPS.IT0004957798</v>
      </c>
      <c r="W18" s="126" t="str">
        <f>IF(UPPER($X$1)="ABCD",_xll.MKV_PUBLISHRECORD(V18, "XLS_STRIPS"),"--")</f>
        <v>Not connected</v>
      </c>
      <c r="X18" s="127" t="str">
        <f>IF(UPPER(X$1)="ABCD",_xll.MKV_SUPPLYRECORD(V18, "Bid",F18, "Ask",H18, "Id",A18, "Mid",G18, "Name",D18,"DV01",N18,"MidYield",J18,"BidYield",I18,"AskYield",K18),"--")</f>
        <v>Not connected</v>
      </c>
      <c r="Z18" s="27" t="str">
        <f t="shared" si="18"/>
        <v>IT0004957798@rbsm Corp</v>
      </c>
      <c r="AA18" s="27">
        <f>_xll.BDP(Z18,"bid")</f>
        <v>100.008</v>
      </c>
      <c r="AB18" s="27">
        <f>_xll.BDP(Z18,"ask")</f>
        <v>100.062</v>
      </c>
      <c r="AC18" s="27">
        <f t="shared" si="19"/>
        <v>100.035</v>
      </c>
      <c r="AD18" s="114">
        <f t="shared" si="20"/>
        <v>5.5000000000006821E-2</v>
      </c>
      <c r="AE18" s="27">
        <f t="shared" ref="AE18:AE81" si="22">IF(ISNUMBER(VLOOKUP(LEFT(Z18,12),$AM$17:$AN$150,2,FALSE)),VLOOKUP(LEFT(Z18,12),$AM$17:$AN$150,2,FALSE),"0")</f>
        <v>0.85499999999999998</v>
      </c>
      <c r="AF18" s="152">
        <f t="shared" ref="AF18:AF81" si="23">AE18*AD18*10000</f>
        <v>470.25000000005832</v>
      </c>
      <c r="AM18" s="27" t="s">
        <v>125</v>
      </c>
      <c r="AN18" s="27">
        <v>0.85499999999999998</v>
      </c>
    </row>
    <row r="19" spans="1:40" x14ac:dyDescent="0.2">
      <c r="A19" s="66" t="s">
        <v>34</v>
      </c>
      <c r="B19" s="83">
        <v>42675</v>
      </c>
      <c r="C19" s="131">
        <f>_xll.BDP(A19&amp;" Corp", "days to mty")</f>
        <v>159</v>
      </c>
      <c r="D19" s="41" t="s">
        <v>321</v>
      </c>
      <c r="E19" s="41" t="s">
        <v>322</v>
      </c>
      <c r="F19" s="130">
        <v>100.1</v>
      </c>
      <c r="G19" s="130">
        <v>100.11</v>
      </c>
      <c r="H19" s="130">
        <f t="shared" si="1"/>
        <v>100.12</v>
      </c>
      <c r="I19" s="26">
        <f>ROUND(_xll.qlBondYieldFromCleanPrice(O19,F19,YieldDayCounter,YieldCompounding,YieldFrequency)*100,3)</f>
        <v>-0.23100000000000001</v>
      </c>
      <c r="J19" s="26">
        <f>ROUND(_xll.qlBondYieldFromCleanPrice(P19,G19,YieldDayCounter,YieldCompounding,YieldFrequency)*100,3)</f>
        <v>-0.254</v>
      </c>
      <c r="K19" s="26">
        <f>ROUND(_xll.qlBondYieldFromCleanPrice(Q19,H19,YieldDayCounter,YieldCompounding,YieldFrequency)*100,3)</f>
        <v>-0.27700000000000002</v>
      </c>
      <c r="L19" s="114">
        <f>_xll.qlBondDurationFromYield(P19,J19,YieldDayCounter,YieldCompounding,YieldFrequency,L$2)</f>
        <v>0.5786782695322229</v>
      </c>
      <c r="M19" s="114">
        <f>_xll.qlBondConvexityFromYield(P19,J19/100,YieldDayCounter,YieldCompounding,YieldFrequency)</f>
        <v>0.6212054049595076</v>
      </c>
      <c r="N19" s="115">
        <f>_xll.BDP(A19&amp;" Corp","risk mid")</f>
        <v>0.43250603710163205</v>
      </c>
      <c r="O19" s="101" t="str">
        <f>_xll.qlZeroCouponBond(,,"EUR",3,"target",100,$B19,"f",100,,,Trigger)</f>
        <v>obj_009e0#0000</v>
      </c>
      <c r="P19" s="101" t="str">
        <f>_xll.qlZeroCouponBond(,,"EUR",3,"target",100,$B19,"f",100,,,Trigger)</f>
        <v>obj_00936#0000</v>
      </c>
      <c r="Q19" s="101" t="str">
        <f>_xll.qlZeroCouponBond(,,"EUR",3,"target",100,$B19,"f",100,,,Trigger)</f>
        <v>obj_008e0#0000</v>
      </c>
      <c r="R19" s="117">
        <f t="shared" si="12"/>
        <v>100.12</v>
      </c>
      <c r="S19" s="122">
        <f t="shared" ref="S19" si="24">R19</f>
        <v>100.12</v>
      </c>
      <c r="T19" s="138" t="str">
        <f>IF(UPPER(U$1)="ABCD",_xll.RtContribute($E$3,$E19,$R$3:$S$3,$R19:$S19,"SCOPE:SERVER"),"--")</f>
        <v>Success: Insert Ack on DTSIMI2 for STRIP.IT0001247185 at 10:31:47</v>
      </c>
      <c r="U19" s="142" t="str">
        <f t="shared" si="4"/>
        <v>OK</v>
      </c>
      <c r="V19" s="126" t="str">
        <f t="shared" si="0"/>
        <v>EUR.PRICING.XLS_STRIPS.IT0001247185</v>
      </c>
      <c r="W19" s="126" t="str">
        <f>IF(UPPER($X$1)="ABCD",_xll.MKV_PUBLISHRECORD(V19, "XLS_STRIPS"),"--")</f>
        <v>Not connected</v>
      </c>
      <c r="X19" s="127" t="str">
        <f>IF(UPPER(X$1)="ABCD",_xll.MKV_SUPPLYRECORD(V19, "Bid",F19, "Ask",H19, "Id",A19, "Mid",G19, "Name",D19,"DV01",N19,"MidYield",J19,"BidYield",I19,"AskYield",K19),"--")</f>
        <v>Not connected</v>
      </c>
      <c r="Z19" s="27" t="str">
        <f t="shared" si="18"/>
        <v>IT0001247185@rbsm Corp</v>
      </c>
      <c r="AA19" s="27">
        <f>_xll.BDP(Z19,"bid")</f>
        <v>100.053</v>
      </c>
      <c r="AB19" s="27">
        <f>_xll.BDP(Z19,"ask")</f>
        <v>100.075</v>
      </c>
      <c r="AC19" s="27">
        <f t="shared" si="19"/>
        <v>100.06399999999999</v>
      </c>
      <c r="AD19" s="114">
        <f t="shared" si="20"/>
        <v>4.600000000000648E-2</v>
      </c>
      <c r="AE19" s="27">
        <f t="shared" si="22"/>
        <v>4.0451689999999996</v>
      </c>
      <c r="AF19" s="152">
        <f t="shared" si="23"/>
        <v>1860.7777400002619</v>
      </c>
      <c r="AM19" s="27" t="s">
        <v>34</v>
      </c>
      <c r="AN19" s="27">
        <v>4.0451689999999996</v>
      </c>
    </row>
    <row r="20" spans="1:40" x14ac:dyDescent="0.2">
      <c r="A20" s="66" t="s">
        <v>323</v>
      </c>
      <c r="B20" s="83">
        <v>42767</v>
      </c>
      <c r="C20" s="131">
        <f>_xll.BDP(A20&amp;" Corp", "days to mty")</f>
        <v>251</v>
      </c>
      <c r="D20" s="41" t="s">
        <v>324</v>
      </c>
      <c r="E20" s="41" t="s">
        <v>325</v>
      </c>
      <c r="F20" s="130">
        <v>100.12</v>
      </c>
      <c r="G20" s="130">
        <v>100.12</v>
      </c>
      <c r="H20" s="130">
        <f t="shared" si="1"/>
        <v>100.12</v>
      </c>
      <c r="I20" s="26">
        <f>ROUND(_xll.qlBondYieldFromCleanPrice(O20,F20,YieldDayCounter,YieldCompounding,YieldFrequency)*100,3)</f>
        <v>-0.17499999999999999</v>
      </c>
      <c r="J20" s="26">
        <f>ROUND(_xll.qlBondYieldFromCleanPrice(P20,G20,YieldDayCounter,YieldCompounding,YieldFrequency)*100,3)</f>
        <v>-0.17499999999999999</v>
      </c>
      <c r="K20" s="26">
        <f>ROUND(_xll.qlBondYieldFromCleanPrice(Q20,H20,YieldDayCounter,YieldCompounding,YieldFrequency)*100,3)</f>
        <v>-0.17499999999999999</v>
      </c>
      <c r="L20" s="114">
        <f>_xll.qlBondDurationFromYield(P20,J20,YieldDayCounter,YieldCompounding,YieldFrequency,L$2)</f>
        <v>0.82795164762377882</v>
      </c>
      <c r="M20" s="114">
        <f>_xll.qlBondConvexityFromYield(P20,J20/100,YieldDayCounter,YieldCompounding,YieldFrequency)</f>
        <v>1.1536655184061333</v>
      </c>
      <c r="N20" s="115">
        <f>_xll.BDP(A20&amp;" Corp","risk mid")</f>
        <v>0.68610546165857045</v>
      </c>
      <c r="O20" s="101" t="str">
        <f>_xll.qlZeroCouponBond(,,"EUR",3,"target",100,$B20,"f",100,,,Trigger)</f>
        <v>obj_0085e#0000</v>
      </c>
      <c r="P20" s="101" t="str">
        <f>_xll.qlZeroCouponBond(,,"EUR",3,"target",100,$B20,"f",100,,,Trigger)</f>
        <v>obj_009f9#0000</v>
      </c>
      <c r="Q20" s="101" t="str">
        <f>_xll.qlZeroCouponBond(,,"EUR",3,"target",100,$B20,"f",100,,,Trigger)</f>
        <v>obj_008e9#0000</v>
      </c>
      <c r="R20" s="117">
        <f t="shared" si="12"/>
        <v>100.12</v>
      </c>
      <c r="S20" s="122">
        <f t="shared" ref="S20" si="25">R20</f>
        <v>100.12</v>
      </c>
      <c r="T20" s="138" t="str">
        <f>IF(UPPER(U$1)="ABCD",_xll.RtContribute($E$3,$E20,$R$3:$S$3,$R20:$S20,"SCOPE:SERVER"),"--")</f>
        <v>Success: Insert Ack on DTSIMI2 for STRIP.IT0004848674 at 10:31:47</v>
      </c>
      <c r="U20" s="142" t="str">
        <f t="shared" si="4"/>
        <v>OK</v>
      </c>
      <c r="V20" s="126" t="str">
        <f t="shared" si="0"/>
        <v>EUR.PRICING.XLS_STRIPS.IT0004848674</v>
      </c>
      <c r="W20" s="126" t="str">
        <f>IF(UPPER($X$1)="ABCD",_xll.MKV_PUBLISHRECORD(V20, "XLS_STRIPS"),"--")</f>
        <v>Not connected</v>
      </c>
      <c r="X20" s="127" t="str">
        <f>IF(UPPER(X$1)="ABCD",_xll.MKV_SUPPLYRECORD(V20, "Bid",F20, "Ask",H20, "Id",A20, "Mid",G20, "Name",D20,"DV01",N20,"MidYield",J20,"BidYield",I20,"AskYield",K20),"--")</f>
        <v>Not connected</v>
      </c>
      <c r="Z20" s="27" t="str">
        <f t="shared" si="18"/>
        <v>IT0004848674@rbsm Corp</v>
      </c>
      <c r="AA20" s="27">
        <f>_xll.BDP(Z20,"bid")</f>
        <v>100.11</v>
      </c>
      <c r="AB20" s="27">
        <f>_xll.BDP(Z20,"ask")</f>
        <v>100.137</v>
      </c>
      <c r="AC20" s="27">
        <f t="shared" si="19"/>
        <v>100.12350000000001</v>
      </c>
      <c r="AD20" s="114">
        <f t="shared" si="20"/>
        <v>-3.5000000000025011E-3</v>
      </c>
      <c r="AE20" s="27">
        <f t="shared" si="22"/>
        <v>0.19037499999999999</v>
      </c>
      <c r="AF20" s="152">
        <f t="shared" si="23"/>
        <v>-6.6631250000047606</v>
      </c>
      <c r="AM20" s="27" t="s">
        <v>534</v>
      </c>
      <c r="AN20" s="27">
        <v>-3</v>
      </c>
    </row>
    <row r="21" spans="1:40" x14ac:dyDescent="0.2">
      <c r="A21" s="66" t="s">
        <v>128</v>
      </c>
      <c r="B21" s="83">
        <v>42795</v>
      </c>
      <c r="C21" s="131">
        <f>_xll.BDP(A21&amp;" Corp", "days to mty")</f>
        <v>279</v>
      </c>
      <c r="D21" s="41" t="s">
        <v>129</v>
      </c>
      <c r="E21" s="41" t="s">
        <v>130</v>
      </c>
      <c r="F21" s="130">
        <v>100.13</v>
      </c>
      <c r="G21" s="130">
        <v>100.14</v>
      </c>
      <c r="H21" s="130">
        <f t="shared" si="1"/>
        <v>100.15</v>
      </c>
      <c r="I21" s="26">
        <f>ROUND(_xll.qlBondYieldFromCleanPrice(O21,F21,YieldDayCounter,YieldCompounding,YieldFrequency)*100,3)</f>
        <v>-0.17</v>
      </c>
      <c r="J21" s="26">
        <f>ROUND(_xll.qlBondYieldFromCleanPrice(P21,G21,YieldDayCounter,YieldCompounding,YieldFrequency)*100,3)</f>
        <v>-0.184</v>
      </c>
      <c r="K21" s="26">
        <f>ROUND(_xll.qlBondYieldFromCleanPrice(Q21,H21,YieldDayCounter,YieldCompounding,YieldFrequency)*100,3)</f>
        <v>-0.19700000000000001</v>
      </c>
      <c r="L21" s="114">
        <f>_xll.qlBondDurationFromYield(P21,J21,YieldDayCounter,YieldCompounding,YieldFrequency,L$2)</f>
        <v>0.9333870534515174</v>
      </c>
      <c r="M21" s="114">
        <f>_xll.qlBondConvexityFromYield(P21,J21/100,YieldDayCounter,YieldCompounding,YieldFrequency)</f>
        <v>1.3466964515150273</v>
      </c>
      <c r="N21" s="115">
        <f>_xll.BDP(A21&amp;" Corp","risk mid")</f>
        <v>0.76693153751818954</v>
      </c>
      <c r="O21" s="101" t="str">
        <f>_xll.qlZeroCouponBond(,,"EUR",3,"target",100,$B21,"f",100,,,Trigger)</f>
        <v>obj_0090c#0000</v>
      </c>
      <c r="P21" s="101" t="str">
        <f>_xll.qlZeroCouponBond(,,"EUR",3,"target",100,$B21,"f",100,,,Trigger)</f>
        <v>obj_008cb#0000</v>
      </c>
      <c r="Q21" s="101" t="str">
        <f>_xll.qlZeroCouponBond(,,"EUR",3,"target",100,$B21,"f",100,,,Trigger)</f>
        <v>obj_0092e#0000</v>
      </c>
      <c r="R21" s="117">
        <f t="shared" si="12"/>
        <v>100.15</v>
      </c>
      <c r="S21" s="122">
        <f t="shared" ref="S21" si="26">R21</f>
        <v>100.15</v>
      </c>
      <c r="T21" s="138" t="str">
        <f>IF(UPPER(U$1)="ABCD",_xll.RtContribute($E$3,$E21,$R$3:$S$3,$R21:$S21,"SCOPE:SERVER"),"--")</f>
        <v>Success: Insert Ack on DTSIMI2 for STRIP.IT0004957806 at 10:31:47</v>
      </c>
      <c r="U21" s="142" t="str">
        <f t="shared" si="4"/>
        <v>OK</v>
      </c>
      <c r="V21" s="126" t="str">
        <f t="shared" si="0"/>
        <v>EUR.PRICING.XLS_STRIPS.IT0004957806</v>
      </c>
      <c r="W21" s="126" t="str">
        <f>IF(UPPER($X$1)="ABCD",_xll.MKV_PUBLISHRECORD(V21, "XLS_STRIPS"),"--")</f>
        <v>Not connected</v>
      </c>
      <c r="X21" s="127" t="str">
        <f>IF(UPPER(X$1)="ABCD",_xll.MKV_SUPPLYRECORD(V21, "Bid",F21, "Ask",H21, "Id",A21, "Mid",G21, "Name",D21,"DV01",N21,"MidYield",J21,"BidYield",I21,"AskYield",K21),"--")</f>
        <v>Not connected</v>
      </c>
      <c r="Z21" s="27" t="str">
        <f t="shared" si="18"/>
        <v>IT0004957806@rbsm Corp</v>
      </c>
      <c r="AA21" s="27">
        <f>_xll.BDP(Z21,"bid")</f>
        <v>99.917000000000002</v>
      </c>
      <c r="AB21" s="27">
        <f>_xll.BDP(Z21,"ask")</f>
        <v>100.071</v>
      </c>
      <c r="AC21" s="27">
        <f t="shared" si="19"/>
        <v>99.994</v>
      </c>
      <c r="AD21" s="114">
        <f t="shared" si="20"/>
        <v>0.1460000000000008</v>
      </c>
      <c r="AE21" s="27">
        <f t="shared" si="22"/>
        <v>0.85499999999999998</v>
      </c>
      <c r="AF21" s="152">
        <f t="shared" si="23"/>
        <v>1248.3000000000068</v>
      </c>
      <c r="AM21" s="27" t="s">
        <v>323</v>
      </c>
      <c r="AN21" s="27">
        <v>0.19037499999999999</v>
      </c>
    </row>
    <row r="22" spans="1:40" x14ac:dyDescent="0.2">
      <c r="A22" s="66" t="s">
        <v>326</v>
      </c>
      <c r="B22" s="83">
        <v>42856</v>
      </c>
      <c r="C22" s="131">
        <f>_xll.BDP(A22&amp;" Corp", "days to mty")</f>
        <v>340</v>
      </c>
      <c r="D22" s="41" t="s">
        <v>327</v>
      </c>
      <c r="E22" s="41" t="s">
        <v>328</v>
      </c>
      <c r="F22" s="130">
        <v>100.14</v>
      </c>
      <c r="G22" s="130">
        <v>100.15</v>
      </c>
      <c r="H22" s="130">
        <f t="shared" si="1"/>
        <v>100.16</v>
      </c>
      <c r="I22" s="26">
        <f>ROUND(_xll.qlBondYieldFromCleanPrice(O22,F22,YieldDayCounter,YieldCompounding,YieldFrequency)*100,3)</f>
        <v>-0.15</v>
      </c>
      <c r="J22" s="26">
        <f>ROUND(_xll.qlBondYieldFromCleanPrice(P22,G22,YieldDayCounter,YieldCompounding,YieldFrequency)*100,3)</f>
        <v>-0.161</v>
      </c>
      <c r="K22" s="26">
        <f>ROUND(_xll.qlBondYieldFromCleanPrice(Q22,H22,YieldDayCounter,YieldCompounding,YieldFrequency)*100,3)</f>
        <v>-0.17100000000000001</v>
      </c>
      <c r="L22" s="114">
        <f>_xll.qlBondDurationFromYield(P22,J22,YieldDayCounter,YieldCompounding,YieldFrequency,L$2)</f>
        <v>1.1102584616389373</v>
      </c>
      <c r="M22" s="114">
        <f>_xll.qlBondConvexityFromYield(P22,J22/100,YieldDayCounter,YieldCompounding,YieldFrequency)</f>
        <v>1.8050193431301942</v>
      </c>
      <c r="N22" s="115">
        <f>_xll.BDP(A22&amp;" Corp","risk mid")</f>
        <v>0.93732864687794404</v>
      </c>
      <c r="O22" s="101" t="str">
        <f>_xll.qlZeroCouponBond(,,"EUR",3,"target",100,$B22,"f",100,,,Trigger)</f>
        <v>obj_009b9#0000</v>
      </c>
      <c r="P22" s="101" t="str">
        <f>_xll.qlZeroCouponBond(,,"EUR",3,"target",100,$B22,"f",100,,,Trigger)</f>
        <v>obj_009b7#0000</v>
      </c>
      <c r="Q22" s="101" t="str">
        <f>_xll.qlZeroCouponBond(,,"EUR",3,"target",100,$B22,"f",100,,,Trigger)</f>
        <v>obj_0086b#0000</v>
      </c>
      <c r="R22" s="117">
        <f t="shared" si="12"/>
        <v>100.16</v>
      </c>
      <c r="S22" s="122">
        <f t="shared" ref="S22" si="27">R22</f>
        <v>100.16</v>
      </c>
      <c r="T22" s="138" t="str">
        <f>IF(UPPER(U$1)="ABCD",_xll.RtContribute($E$3,$E22,$R$3:$S$3,$R22:$S22,"SCOPE:SERVER"),"--")</f>
        <v>Success: Insert Ack on DTSIMI2 for STRIP.IT0004848807 at 10:31:47</v>
      </c>
      <c r="U22" s="142" t="str">
        <f t="shared" si="4"/>
        <v>OK</v>
      </c>
      <c r="V22" s="126" t="str">
        <f t="shared" si="0"/>
        <v>EUR.PRICING.XLS_STRIPS.IT0004848807</v>
      </c>
      <c r="W22" s="126" t="str">
        <f>IF(UPPER($X$1)="ABCD",_xll.MKV_PUBLISHRECORD(V22, "XLS_STRIPS"),"--")</f>
        <v>Not connected</v>
      </c>
      <c r="X22" s="127" t="str">
        <f>IF(UPPER(X$1)="ABCD",_xll.MKV_SUPPLYRECORD(V22, "Bid",F22, "Ask",H22, "Id",A22, "Mid",G22, "Name",D22,"DV01",N22,"MidYield",J22,"BidYield",I22,"AskYield",K22),"--")</f>
        <v>Not connected</v>
      </c>
      <c r="Z22" s="27" t="str">
        <f t="shared" si="18"/>
        <v>IT0004848807@rbsm Corp</v>
      </c>
      <c r="AA22" s="27">
        <f>_xll.BDP(Z22,"bid")</f>
        <v>100.054</v>
      </c>
      <c r="AB22" s="27">
        <f>_xll.BDP(Z22,"ask")</f>
        <v>100.148</v>
      </c>
      <c r="AC22" s="27">
        <f t="shared" si="19"/>
        <v>100.101</v>
      </c>
      <c r="AD22" s="114">
        <f t="shared" si="20"/>
        <v>4.9000000000006594E-2</v>
      </c>
      <c r="AE22" s="27">
        <f t="shared" si="22"/>
        <v>0.90674999999999994</v>
      </c>
      <c r="AF22" s="152">
        <f t="shared" si="23"/>
        <v>444.3075000000598</v>
      </c>
      <c r="AM22" s="27" t="s">
        <v>128</v>
      </c>
      <c r="AN22" s="27">
        <v>0.85499999999999998</v>
      </c>
    </row>
    <row r="23" spans="1:40" x14ac:dyDescent="0.2">
      <c r="A23" s="66" t="s">
        <v>329</v>
      </c>
      <c r="B23" s="83">
        <v>42948</v>
      </c>
      <c r="C23" s="131">
        <f>_xll.BDP(A23&amp;" Corp", "days to mty")</f>
        <v>432</v>
      </c>
      <c r="D23" s="41" t="s">
        <v>330</v>
      </c>
      <c r="E23" s="41" t="s">
        <v>331</v>
      </c>
      <c r="F23" s="130">
        <v>100.12</v>
      </c>
      <c r="G23" s="130">
        <v>100.13</v>
      </c>
      <c r="H23" s="130">
        <f t="shared" si="1"/>
        <v>100.14</v>
      </c>
      <c r="I23" s="26">
        <f>ROUND(_xll.qlBondYieldFromCleanPrice(O23,F23,YieldDayCounter,YieldCompounding,YieldFrequency)*100,3)</f>
        <v>-0.10199999999999999</v>
      </c>
      <c r="J23" s="26">
        <f>ROUND(_xll.qlBondYieldFromCleanPrice(P23,G23,YieldDayCounter,YieldCompounding,YieldFrequency)*100,3)</f>
        <v>-0.11</v>
      </c>
      <c r="K23" s="26">
        <f>ROUND(_xll.qlBondYieldFromCleanPrice(Q23,H23,YieldDayCounter,YieldCompounding,YieldFrequency)*100,3)</f>
        <v>-0.11799999999999999</v>
      </c>
      <c r="L23" s="114">
        <f>_xll.qlBondDurationFromYield(P23,J23,YieldDayCounter,YieldCompounding,YieldFrequency,L$2)</f>
        <v>1.3262110885982685</v>
      </c>
      <c r="M23" s="114">
        <f>_xll.qlBondConvexityFromYield(P23,J23/100,YieldDayCounter,YieldCompounding,YieldFrequency)</f>
        <v>2.5791728062168282</v>
      </c>
      <c r="N23" s="115">
        <f>_xll.BDP(A23&amp;" Corp","risk mid")</f>
        <v>1.1867100202501035</v>
      </c>
      <c r="O23" s="101" t="str">
        <f>_xll.qlZeroCouponBond(,,"EUR",3,"target",100,$B23,"f",100,,,Trigger)</f>
        <v>obj_009c4#0000</v>
      </c>
      <c r="P23" s="101" t="str">
        <f>_xll.qlZeroCouponBond(,,"EUR",3,"target",100,$B23,"f",100,,,Trigger)</f>
        <v>obj_008d8#0000</v>
      </c>
      <c r="Q23" s="101" t="str">
        <f>_xll.qlZeroCouponBond(,,"EUR",3,"target",100,$B23,"f",100,,,Trigger)</f>
        <v>obj_00974#0000</v>
      </c>
      <c r="R23" s="117">
        <f t="shared" si="12"/>
        <v>100.14</v>
      </c>
      <c r="S23" s="122">
        <f t="shared" ref="S23" si="28">R23</f>
        <v>100.14</v>
      </c>
      <c r="T23" s="138" t="str">
        <f>IF(UPPER(U$1)="ABCD",_xll.RtContribute($E$3,$E23,$R$3:$S$3,$R23:$S23,"SCOPE:SERVER"),"--")</f>
        <v>Success: Insert Ack on DTSIMI2 for STRIP.IT0004848500 at 10:31:47</v>
      </c>
      <c r="U23" s="142" t="str">
        <f t="shared" si="4"/>
        <v>OK</v>
      </c>
      <c r="V23" s="126" t="str">
        <f t="shared" si="0"/>
        <v>EUR.PRICING.XLS_STRIPS.IT0004848500</v>
      </c>
      <c r="W23" s="126" t="str">
        <f>IF(UPPER($X$1)="ABCD",_xll.MKV_PUBLISHRECORD(V23, "XLS_STRIPS"),"--")</f>
        <v>Not connected</v>
      </c>
      <c r="X23" s="127" t="str">
        <f>IF(UPPER(X$1)="ABCD",_xll.MKV_SUPPLYRECORD(V23, "Bid",F23, "Ask",H23, "Id",A23, "Mid",G23, "Name",D23,"DV01",N23,"MidYield",J23,"BidYield",I23,"AskYield",K23),"--")</f>
        <v>Not connected</v>
      </c>
      <c r="Z23" s="27" t="str">
        <f t="shared" si="18"/>
        <v>IT0004848500@rbsm Corp</v>
      </c>
      <c r="AA23" s="27">
        <f>_xll.BDP(Z23,"bid")</f>
        <v>100.10299999999999</v>
      </c>
      <c r="AB23" s="27">
        <f>_xll.BDP(Z23,"ask")</f>
        <v>100.151</v>
      </c>
      <c r="AC23" s="27">
        <f t="shared" si="19"/>
        <v>100.127</v>
      </c>
      <c r="AD23" s="114">
        <f t="shared" si="20"/>
        <v>3.0000000000001137E-3</v>
      </c>
      <c r="AE23" s="27">
        <f t="shared" si="22"/>
        <v>0.479375</v>
      </c>
      <c r="AF23" s="152">
        <f t="shared" si="23"/>
        <v>14.381250000000543</v>
      </c>
      <c r="AM23" s="27" t="s">
        <v>326</v>
      </c>
      <c r="AN23" s="27">
        <v>0.90674999999999994</v>
      </c>
    </row>
    <row r="24" spans="1:40" x14ac:dyDescent="0.2">
      <c r="A24" s="66" t="s">
        <v>131</v>
      </c>
      <c r="B24" s="83">
        <v>42979</v>
      </c>
      <c r="C24" s="131">
        <f>_xll.BDP(A24&amp;" Corp", "days to mty")</f>
        <v>463</v>
      </c>
      <c r="D24" s="41" t="s">
        <v>132</v>
      </c>
      <c r="E24" s="41" t="s">
        <v>133</v>
      </c>
      <c r="F24" s="130">
        <v>100.11</v>
      </c>
      <c r="G24" s="130">
        <v>100.12</v>
      </c>
      <c r="H24" s="130">
        <f t="shared" si="1"/>
        <v>100.13</v>
      </c>
      <c r="I24" s="26">
        <f>ROUND(_xll.qlBondYieldFromCleanPrice(O24,F24,YieldDayCounter,YieldCompounding,YieldFrequency)*100,3)</f>
        <v>-8.6999999999999994E-2</v>
      </c>
      <c r="J24" s="26">
        <f>ROUND(_xll.qlBondYieldFromCleanPrice(P24,G24,YieldDayCounter,YieldCompounding,YieldFrequency)*100,3)</f>
        <v>-9.5000000000000001E-2</v>
      </c>
      <c r="K24" s="26">
        <f>ROUND(_xll.qlBondYieldFromCleanPrice(Q24,H24,YieldDayCounter,YieldCompounding,YieldFrequency)*100,3)</f>
        <v>-0.10299999999999999</v>
      </c>
      <c r="L24" s="114">
        <f>_xll.qlBondDurationFromYield(P24,J24,YieldDayCounter,YieldCompounding,YieldFrequency,L$2)</f>
        <v>1.3978202457506868</v>
      </c>
      <c r="M24" s="114">
        <f>_xll.qlBondConvexityFromYield(P24,J24/100,YieldDayCounter,YieldCompounding,YieldFrequency)</f>
        <v>2.8707733272828548</v>
      </c>
      <c r="N24" s="115">
        <f>_xll.BDP(A24&amp;" Corp","risk mid")</f>
        <v>1.26905924792311</v>
      </c>
      <c r="O24" s="101" t="str">
        <f>_xll.qlZeroCouponBond(,,"EUR",3,"target",100,$B24,"f",100,,,Trigger)</f>
        <v>obj_00964#0000</v>
      </c>
      <c r="P24" s="101" t="str">
        <f>_xll.qlZeroCouponBond(,,"EUR",3,"target",100,$B24,"f",100,,,Trigger)</f>
        <v>obj_00999#0000</v>
      </c>
      <c r="Q24" s="101" t="str">
        <f>_xll.qlZeroCouponBond(,,"EUR",3,"target",100,$B24,"f",100,,,Trigger)</f>
        <v>obj_009f0#0000</v>
      </c>
      <c r="R24" s="117">
        <f t="shared" si="12"/>
        <v>100.13</v>
      </c>
      <c r="S24" s="122">
        <f t="shared" ref="S24" si="29">R24</f>
        <v>100.13</v>
      </c>
      <c r="T24" s="138" t="str">
        <f>IF(UPPER(U$1)="ABCD",_xll.RtContribute($E$3,$E24,$R$3:$S$3,$R24:$S24,"SCOPE:SERVER"),"--")</f>
        <v>Success: Insert Ack on DTSIMI2 for STRIP.IT0004957814 at 10:31:47</v>
      </c>
      <c r="U24" s="142" t="str">
        <f t="shared" si="4"/>
        <v>OK</v>
      </c>
      <c r="V24" s="126" t="str">
        <f t="shared" si="0"/>
        <v>EUR.PRICING.XLS_STRIPS.IT0004957814</v>
      </c>
      <c r="W24" s="126" t="str">
        <f>IF(UPPER($X$1)="ABCD",_xll.MKV_PUBLISHRECORD(V24, "XLS_STRIPS"),"--")</f>
        <v>Not connected</v>
      </c>
      <c r="X24" s="127" t="str">
        <f>IF(UPPER(X$1)="ABCD",_xll.MKV_SUPPLYRECORD(V24, "Bid",F24, "Ask",H24, "Id",A24, "Mid",G24, "Name",D24,"DV01",N24,"MidYield",J24,"BidYield",I24,"AskYield",K24),"--")</f>
        <v>Not connected</v>
      </c>
      <c r="Z24" s="27" t="str">
        <f t="shared" si="18"/>
        <v>IT0004957814@rbsm Corp</v>
      </c>
      <c r="AA24" s="27">
        <f>_xll.BDP(Z24,"bid")</f>
        <v>99.766999999999996</v>
      </c>
      <c r="AB24" s="27">
        <f>_xll.BDP(Z24,"ask")</f>
        <v>100.02</v>
      </c>
      <c r="AC24" s="27">
        <f t="shared" si="19"/>
        <v>99.893499999999989</v>
      </c>
      <c r="AD24" s="114">
        <f t="shared" si="20"/>
        <v>0.22650000000001569</v>
      </c>
      <c r="AE24" s="27">
        <f t="shared" si="22"/>
        <v>0.85499999999999998</v>
      </c>
      <c r="AF24" s="152">
        <f t="shared" si="23"/>
        <v>1936.5750000001342</v>
      </c>
      <c r="AM24" s="27" t="s">
        <v>329</v>
      </c>
      <c r="AN24" s="27">
        <v>0.479375</v>
      </c>
    </row>
    <row r="25" spans="1:40" x14ac:dyDescent="0.2">
      <c r="A25" s="66" t="s">
        <v>332</v>
      </c>
      <c r="B25" s="83">
        <v>43040</v>
      </c>
      <c r="C25" s="131">
        <f>_xll.BDP(A25&amp;" Corp", "days to mty")</f>
        <v>524</v>
      </c>
      <c r="D25" s="41" t="s">
        <v>333</v>
      </c>
      <c r="E25" s="41" t="s">
        <v>334</v>
      </c>
      <c r="F25" s="130">
        <v>100.09</v>
      </c>
      <c r="G25" s="130">
        <v>100.1</v>
      </c>
      <c r="H25" s="130">
        <f t="shared" si="1"/>
        <v>100.11</v>
      </c>
      <c r="I25" s="26">
        <f>ROUND(_xll.qlBondYieldFromCleanPrice(O25,F25,YieldDayCounter,YieldCompounding,YieldFrequency)*100,3)</f>
        <v>-6.3E-2</v>
      </c>
      <c r="J25" s="26">
        <f>ROUND(_xll.qlBondYieldFromCleanPrice(P25,G25,YieldDayCounter,YieldCompounding,YieldFrequency)*100,3)</f>
        <v>-7.0000000000000007E-2</v>
      </c>
      <c r="K25" s="26">
        <f>ROUND(_xll.qlBondYieldFromCleanPrice(Q25,H25,YieldDayCounter,YieldCompounding,YieldFrequency)*100,3)</f>
        <v>-7.6999999999999999E-2</v>
      </c>
      <c r="L25" s="114">
        <f>_xll.qlBondDurationFromYield(P25,J25,YieldDayCounter,YieldCompounding,YieldFrequency,L$2)</f>
        <v>1.5394559022269232</v>
      </c>
      <c r="M25" s="114">
        <f>_xll.qlBondConvexityFromYield(P25,J25/100,YieldDayCounter,YieldCompounding,YieldFrequency)</f>
        <v>3.4863208082475312</v>
      </c>
      <c r="N25" s="115">
        <f>_xll.BDP(A25&amp;" Corp","risk mid")</f>
        <v>1.4341452821405198</v>
      </c>
      <c r="O25" s="101" t="str">
        <f>_xll.qlZeroCouponBond(,,"EUR",3,"target",100,$B25,"f",100,,,Trigger)</f>
        <v>obj_00892#0000</v>
      </c>
      <c r="P25" s="101" t="str">
        <f>_xll.qlZeroCouponBond(,,"EUR",3,"target",100,$B25,"f",100,,,Trigger)</f>
        <v>obj_0095c#0000</v>
      </c>
      <c r="Q25" s="101" t="str">
        <f>_xll.qlZeroCouponBond(,,"EUR",3,"target",100,$B25,"f",100,,,Trigger)</f>
        <v>obj_009d8#0000</v>
      </c>
      <c r="R25" s="117">
        <f t="shared" si="12"/>
        <v>100.11</v>
      </c>
      <c r="S25" s="122">
        <f t="shared" ref="S25" si="30">R25</f>
        <v>100.11</v>
      </c>
      <c r="T25" s="138" t="str">
        <f>IF(UPPER(U$1)="ABCD",_xll.RtContribute($E$3,$E25,$R$3:$S$3,$R25:$S25,"SCOPE:SERVER"),"--")</f>
        <v>Success: Insert Ack on DTSIMI2 for STRIP.IT0004869316 at 10:31:47</v>
      </c>
      <c r="U25" s="142" t="str">
        <f t="shared" si="4"/>
        <v>OK</v>
      </c>
      <c r="V25" s="126" t="str">
        <f t="shared" si="0"/>
        <v>EUR.PRICING.XLS_STRIPS.IT0004869316</v>
      </c>
      <c r="W25" s="126" t="str">
        <f>IF(UPPER($X$1)="ABCD",_xll.MKV_PUBLISHRECORD(V25, "XLS_STRIPS"),"--")</f>
        <v>Not connected</v>
      </c>
      <c r="X25" s="127" t="str">
        <f>IF(UPPER(X$1)="ABCD",_xll.MKV_SUPPLYRECORD(V25, "Bid",F25, "Ask",H25, "Id",A25, "Mid",G25, "Name",D25,"DV01",N25,"MidYield",J25,"BidYield",I25,"AskYield",K25),"--")</f>
        <v>Not connected</v>
      </c>
      <c r="Z25" s="27" t="str">
        <f t="shared" si="18"/>
        <v>IT0004869316@rbsm Corp</v>
      </c>
      <c r="AA25" s="27">
        <f>_xll.BDP(Z25,"bid")</f>
        <v>99.962999999999994</v>
      </c>
      <c r="AB25" s="27">
        <f>_xll.BDP(Z25,"ask")</f>
        <v>100.10599999999999</v>
      </c>
      <c r="AC25" s="27">
        <f t="shared" si="19"/>
        <v>100.03449999999999</v>
      </c>
      <c r="AD25" s="114">
        <f t="shared" si="20"/>
        <v>6.5500000000000114E-2</v>
      </c>
      <c r="AE25" s="27">
        <f t="shared" si="22"/>
        <v>0.70782566999999996</v>
      </c>
      <c r="AF25" s="152">
        <f t="shared" si="23"/>
        <v>463.62581385000078</v>
      </c>
      <c r="AM25" s="27" t="s">
        <v>535</v>
      </c>
      <c r="AN25" s="27">
        <v>-3.6</v>
      </c>
    </row>
    <row r="26" spans="1:40" x14ac:dyDescent="0.2">
      <c r="A26" s="66" t="s">
        <v>335</v>
      </c>
      <c r="B26" s="83">
        <v>43132</v>
      </c>
      <c r="C26" s="131">
        <f>_xll.BDP(A26&amp;" Corp", "days to mty")</f>
        <v>616</v>
      </c>
      <c r="D26" s="41" t="s">
        <v>336</v>
      </c>
      <c r="E26" s="41" t="s">
        <v>337</v>
      </c>
      <c r="F26" s="130">
        <v>100.07</v>
      </c>
      <c r="G26" s="130">
        <v>100.08</v>
      </c>
      <c r="H26" s="130">
        <f t="shared" si="1"/>
        <v>100.09</v>
      </c>
      <c r="I26" s="26">
        <f>ROUND(_xll.qlBondYieldFromCleanPrice(O26,F26,YieldDayCounter,YieldCompounding,YieldFrequency)*100,3)</f>
        <v>-4.2000000000000003E-2</v>
      </c>
      <c r="J26" s="26">
        <f>ROUND(_xll.qlBondYieldFromCleanPrice(P26,G26,YieldDayCounter,YieldCompounding,YieldFrequency)*100,3)</f>
        <v>-4.8000000000000001E-2</v>
      </c>
      <c r="K26" s="26">
        <f>ROUND(_xll.qlBondYieldFromCleanPrice(Q26,H26,YieldDayCounter,YieldCompounding,YieldFrequency)*100,3)</f>
        <v>-5.2999999999999999E-2</v>
      </c>
      <c r="L26" s="114">
        <f>_xll.qlBondDurationFromYield(P26,J26,YieldDayCounter,YieldCompounding,YieldFrequency,L$2)</f>
        <v>1.7679202828672456</v>
      </c>
      <c r="M26" s="114">
        <f>_xll.qlBondConvexityFromYield(P26,J26/100,YieldDayCounter,YieldCompounding,YieldFrequency)</f>
        <v>4.5200896854409578</v>
      </c>
      <c r="N26" s="115">
        <f>_xll.BDP(A26&amp;" Corp","risk mid")</f>
        <v>1.6860660590815257</v>
      </c>
      <c r="O26" s="101" t="str">
        <f>_xll.qlZeroCouponBond(,,"EUR",3,"target",100,$B26,"f",100,,,Trigger)</f>
        <v>obj_00895#0000</v>
      </c>
      <c r="P26" s="101" t="str">
        <f>_xll.qlZeroCouponBond(,,"EUR",3,"target",100,$B26,"f",100,,,Trigger)</f>
        <v>obj_008d6#0000</v>
      </c>
      <c r="Q26" s="101" t="str">
        <f>_xll.qlZeroCouponBond(,,"EUR",3,"target",100,$B26,"f",100,,,Trigger)</f>
        <v>obj_008b5#0000</v>
      </c>
      <c r="R26" s="117">
        <f t="shared" si="12"/>
        <v>100.09</v>
      </c>
      <c r="S26" s="122">
        <f t="shared" ref="S26" si="31">R26</f>
        <v>100.09</v>
      </c>
      <c r="T26" s="138" t="str">
        <f>IF(UPPER(U$1)="ABCD",_xll.RtContribute($E$3,$E26,$R$3:$S$3,$R26:$S26,"SCOPE:SERVER"),"--")</f>
        <v>Success: Insert Ack on DTSIMI2 for STRIP.IT0004848682 at 10:31:41</v>
      </c>
      <c r="U26" s="142" t="str">
        <f t="shared" si="4"/>
        <v>OK</v>
      </c>
      <c r="V26" s="126" t="str">
        <f t="shared" si="0"/>
        <v>EUR.PRICING.XLS_STRIPS.IT0004848682</v>
      </c>
      <c r="W26" s="126" t="str">
        <f>IF(UPPER($X$1)="ABCD",_xll.MKV_PUBLISHRECORD(V26, "XLS_STRIPS"),"--")</f>
        <v>Not connected</v>
      </c>
      <c r="X26" s="127" t="str">
        <f>IF(UPPER(X$1)="ABCD",_xll.MKV_SUPPLYRECORD(V26, "Bid",F26, "Ask",H26, "Id",A26, "Mid",G26, "Name",D26,"DV01",N26,"MidYield",J26,"BidYield",I26,"AskYield",K26),"--")</f>
        <v>Not connected</v>
      </c>
      <c r="Z26" s="27" t="str">
        <f t="shared" si="18"/>
        <v>IT0004848682@rbsm Corp</v>
      </c>
      <c r="AA26" s="27">
        <f>_xll.BDP(Z26,"bid")</f>
        <v>100.045</v>
      </c>
      <c r="AB26" s="27">
        <f>_xll.BDP(Z26,"ask")</f>
        <v>100.113</v>
      </c>
      <c r="AC26" s="27">
        <f t="shared" si="19"/>
        <v>100.07900000000001</v>
      </c>
      <c r="AD26" s="114">
        <f t="shared" si="20"/>
        <v>9.9999999999056399E-4</v>
      </c>
      <c r="AE26" s="27" t="str">
        <f t="shared" si="22"/>
        <v>0</v>
      </c>
      <c r="AF26" s="152">
        <f t="shared" si="23"/>
        <v>0</v>
      </c>
      <c r="AM26" s="27" t="s">
        <v>131</v>
      </c>
      <c r="AN26" s="27">
        <v>0.85499999999999998</v>
      </c>
    </row>
    <row r="27" spans="1:40" x14ac:dyDescent="0.2">
      <c r="A27" s="66" t="s">
        <v>134</v>
      </c>
      <c r="B27" s="83">
        <v>43160</v>
      </c>
      <c r="C27" s="131">
        <f>_xll.BDP(A27&amp;" Corp", "days to mty")</f>
        <v>644</v>
      </c>
      <c r="D27" s="41" t="s">
        <v>135</v>
      </c>
      <c r="E27" s="41" t="s">
        <v>136</v>
      </c>
      <c r="F27" s="130">
        <v>100.04</v>
      </c>
      <c r="G27" s="130">
        <v>100.05</v>
      </c>
      <c r="H27" s="130">
        <f t="shared" si="1"/>
        <v>100.06</v>
      </c>
      <c r="I27" s="26">
        <f>ROUND(_xll.qlBondYieldFromCleanPrice(O27,F27,YieldDayCounter,YieldCompounding,YieldFrequency)*100,3)</f>
        <v>-2.3E-2</v>
      </c>
      <c r="J27" s="26">
        <f>ROUND(_xll.qlBondYieldFromCleanPrice(P27,G27,YieldDayCounter,YieldCompounding,YieldFrequency)*100,3)</f>
        <v>-2.8000000000000001E-2</v>
      </c>
      <c r="K27" s="26">
        <f>ROUND(_xll.qlBondYieldFromCleanPrice(Q27,H27,YieldDayCounter,YieldCompounding,YieldFrequency)*100,3)</f>
        <v>-3.4000000000000002E-2</v>
      </c>
      <c r="L27" s="114">
        <f>_xll.qlBondDurationFromYield(P27,J27,YieldDayCounter,YieldCompounding,YieldFrequency,L$2)</f>
        <v>1.8123907773831671</v>
      </c>
      <c r="M27" s="114">
        <f>_xll.qlBondConvexityFromYield(P27,J27/100,YieldDayCounter,YieldCompounding,YieldFrequency)</f>
        <v>4.8677584022548395</v>
      </c>
      <c r="N27" s="115">
        <f>_xll.BDP(A27&amp;" Corp","risk mid")</f>
        <v>1.7658894504521072</v>
      </c>
      <c r="O27" s="101" t="str">
        <f>_xll.qlZeroCouponBond(,,"EUR",3,"target",100,$B27,"f",100,,,Trigger)</f>
        <v>obj_00990#0000</v>
      </c>
      <c r="P27" s="101" t="str">
        <f>_xll.qlZeroCouponBond(,,"EUR",3,"target",100,$B27,"f",100,,,Trigger)</f>
        <v>obj_00868#0000</v>
      </c>
      <c r="Q27" s="101" t="str">
        <f>_xll.qlZeroCouponBond(,,"EUR",3,"target",100,$B27,"f",100,,,Trigger)</f>
        <v>obj_0088d#0000</v>
      </c>
      <c r="R27" s="117">
        <f t="shared" si="12"/>
        <v>100.06</v>
      </c>
      <c r="S27" s="122">
        <f t="shared" ref="S27" si="32">R27</f>
        <v>100.06</v>
      </c>
      <c r="T27" s="138" t="str">
        <f>IF(UPPER(U$1)="ABCD",_xll.RtContribute($E$3,$E27,$R$3:$S$3,$R27:$S27,"SCOPE:SERVER"),"--")</f>
        <v>Success: Insert Ack on DTSIMI2 for STRIP.IT0004957822 at 10:31:47</v>
      </c>
      <c r="U27" s="142" t="str">
        <f t="shared" si="4"/>
        <v>OK</v>
      </c>
      <c r="V27" s="126" t="str">
        <f t="shared" si="0"/>
        <v>EUR.PRICING.XLS_STRIPS.IT0004957822</v>
      </c>
      <c r="W27" s="126" t="str">
        <f>IF(UPPER($X$1)="ABCD",_xll.MKV_PUBLISHRECORD(V27, "XLS_STRIPS"),"--")</f>
        <v>Not connected</v>
      </c>
      <c r="X27" s="127" t="str">
        <f>IF(UPPER(X$1)="ABCD",_xll.MKV_SUPPLYRECORD(V27, "Bid",F27, "Ask",H27, "Id",A27, "Mid",G27, "Name",D27,"DV01",N27,"MidYield",J27,"BidYield",I27,"AskYield",K27),"--")</f>
        <v>Not connected</v>
      </c>
      <c r="Z27" s="27" t="str">
        <f t="shared" si="18"/>
        <v>IT0004957822@rbsm Corp</v>
      </c>
      <c r="AA27" s="27">
        <f>_xll.BDP(Z27,"bid")</f>
        <v>99.578999999999994</v>
      </c>
      <c r="AB27" s="27">
        <f>_xll.BDP(Z27,"ask")</f>
        <v>99.930999999999997</v>
      </c>
      <c r="AC27" s="27">
        <f t="shared" si="19"/>
        <v>99.754999999999995</v>
      </c>
      <c r="AD27" s="114">
        <f t="shared" si="20"/>
        <v>0.29500000000000171</v>
      </c>
      <c r="AE27" s="27">
        <f t="shared" si="22"/>
        <v>0.85499999999999998</v>
      </c>
      <c r="AF27" s="152">
        <f t="shared" si="23"/>
        <v>2522.2500000000146</v>
      </c>
      <c r="AM27" s="27" t="s">
        <v>332</v>
      </c>
      <c r="AN27" s="27">
        <v>0.70782566999999996</v>
      </c>
    </row>
    <row r="28" spans="1:40" x14ac:dyDescent="0.2">
      <c r="A28" s="66" t="s">
        <v>35</v>
      </c>
      <c r="B28" s="83">
        <v>43221</v>
      </c>
      <c r="C28" s="131">
        <f>_xll.BDP(A28&amp;" Corp", "days to mty")</f>
        <v>705</v>
      </c>
      <c r="D28" s="41" t="s">
        <v>338</v>
      </c>
      <c r="E28" s="41" t="s">
        <v>339</v>
      </c>
      <c r="F28" s="130">
        <v>100.02</v>
      </c>
      <c r="G28" s="130">
        <v>100.03</v>
      </c>
      <c r="H28" s="130">
        <f t="shared" si="1"/>
        <v>100.04</v>
      </c>
      <c r="I28" s="26">
        <f>ROUND(_xll.qlBondYieldFromCleanPrice(O28,F28,YieldDayCounter,YieldCompounding,YieldFrequency)*100,3)</f>
        <v>-0.01</v>
      </c>
      <c r="J28" s="26">
        <f>ROUND(_xll.qlBondYieldFromCleanPrice(P28,G28,YieldDayCounter,YieldCompounding,YieldFrequency)*100,3)</f>
        <v>-1.6E-2</v>
      </c>
      <c r="K28" s="26">
        <f>ROUND(_xll.qlBondYieldFromCleanPrice(Q28,H28,YieldDayCounter,YieldCompounding,YieldFrequency)*100,3)</f>
        <v>-2.1000000000000001E-2</v>
      </c>
      <c r="L28" s="114">
        <f>_xll.qlBondDurationFromYield(P28,J28,YieldDayCounter,YieldCompounding,YieldFrequency,L$2)</f>
        <v>1.962913464751086</v>
      </c>
      <c r="M28" s="114">
        <f>_xll.qlBondConvexityFromYield(P28,J28/100,YieldDayCounter,YieldCompounding,YieldFrequency)</f>
        <v>5.6640379053964489</v>
      </c>
      <c r="N28" s="115">
        <f>_xll.BDP(A28&amp;" Corp","risk mid")</f>
        <v>1.9303821787474362</v>
      </c>
      <c r="O28" s="101" t="str">
        <f>_xll.qlZeroCouponBond(,,"EUR",3,"target",100,$B28,"f",100,,,Trigger)</f>
        <v>obj_009e2#0000</v>
      </c>
      <c r="P28" s="101" t="str">
        <f>_xll.qlZeroCouponBond(,,"EUR",3,"target",100,$B28,"f",100,,,Trigger)</f>
        <v>obj_008cf#0000</v>
      </c>
      <c r="Q28" s="101" t="str">
        <f>_xll.qlZeroCouponBond(,,"EUR",3,"target",100,$B28,"f",100,,,Trigger)</f>
        <v>obj_0099b#0000</v>
      </c>
      <c r="R28" s="117">
        <f t="shared" si="12"/>
        <v>100.04</v>
      </c>
      <c r="S28" s="122">
        <f t="shared" ref="S28" si="33">R28</f>
        <v>100.04</v>
      </c>
      <c r="T28" s="138" t="str">
        <f>IF(UPPER(U$1)="ABCD",_xll.RtContribute($E$3,$E28,$R$3:$S$3,$R28:$S28,"SCOPE:SERVER"),"--")</f>
        <v>Success: Insert Ack on DTSIMI2 for STRIP.IT0001247219 at 10:31:41</v>
      </c>
      <c r="U28" s="142" t="str">
        <f t="shared" si="4"/>
        <v>OK</v>
      </c>
      <c r="V28" s="126" t="str">
        <f t="shared" si="0"/>
        <v>EUR.PRICING.XLS_STRIPS.IT0001247219</v>
      </c>
      <c r="W28" s="126" t="str">
        <f>IF(UPPER($X$1)="ABCD",_xll.MKV_PUBLISHRECORD(V28, "XLS_STRIPS"),"--")</f>
        <v>Not connected</v>
      </c>
      <c r="X28" s="127" t="str">
        <f>IF(UPPER(X$1)="ABCD",_xll.MKV_SUPPLYRECORD(V28, "Bid",F28, "Ask",H28, "Id",A28, "Mid",G28, "Name",D28,"DV01",N28,"MidYield",J28,"BidYield",I28,"AskYield",K28),"--")</f>
        <v>Not connected</v>
      </c>
      <c r="Z28" s="27" t="str">
        <f t="shared" si="18"/>
        <v>IT0001247219@rbsm Corp</v>
      </c>
      <c r="AA28" s="27">
        <f>_xll.BDP(Z28,"bid")</f>
        <v>99.644999999999996</v>
      </c>
      <c r="AB28" s="27">
        <f>_xll.BDP(Z28,"ask")</f>
        <v>100.012</v>
      </c>
      <c r="AC28" s="27">
        <f t="shared" si="19"/>
        <v>99.828499999999991</v>
      </c>
      <c r="AD28" s="114">
        <f t="shared" si="20"/>
        <v>0.20150000000001</v>
      </c>
      <c r="AE28" s="27">
        <f t="shared" si="22"/>
        <v>2.46875</v>
      </c>
      <c r="AF28" s="152">
        <f t="shared" si="23"/>
        <v>4974.5312500002474</v>
      </c>
      <c r="AM28" s="27" t="s">
        <v>536</v>
      </c>
      <c r="AN28" s="27">
        <v>-5</v>
      </c>
    </row>
    <row r="29" spans="1:40" x14ac:dyDescent="0.2">
      <c r="A29" s="66" t="s">
        <v>340</v>
      </c>
      <c r="B29" s="83">
        <v>43313</v>
      </c>
      <c r="C29" s="131">
        <f>_xll.BDP(A29&amp;" Corp", "days to mty")</f>
        <v>797</v>
      </c>
      <c r="D29" s="41" t="s">
        <v>341</v>
      </c>
      <c r="E29" s="41" t="s">
        <v>342</v>
      </c>
      <c r="F29" s="130">
        <v>100.01</v>
      </c>
      <c r="G29" s="130">
        <v>100.02</v>
      </c>
      <c r="H29" s="130">
        <f t="shared" si="1"/>
        <v>100.03</v>
      </c>
      <c r="I29" s="26">
        <f>ROUND(_xll.qlBondYieldFromCleanPrice(O29,F29,YieldDayCounter,YieldCompounding,YieldFrequency)*100,3)</f>
        <v>-5.0000000000000001E-3</v>
      </c>
      <c r="J29" s="26">
        <f>ROUND(_xll.qlBondYieldFromCleanPrice(P29,G29,YieldDayCounter,YieldCompounding,YieldFrequency)*100,3)</f>
        <v>-8.9999999999999993E-3</v>
      </c>
      <c r="K29" s="26">
        <f>ROUND(_xll.qlBondYieldFromCleanPrice(Q29,H29,YieldDayCounter,YieldCompounding,YieldFrequency)*100,3)</f>
        <v>-1.4E-2</v>
      </c>
      <c r="L29" s="114">
        <f>_xll.qlBondDurationFromYield(P29,J29,YieldDayCounter,YieldCompounding,YieldFrequency,L$2)</f>
        <v>2.2001290301235712</v>
      </c>
      <c r="M29" s="114">
        <f>_xll.qlBondConvexityFromYield(P29,J29/100,YieldDayCounter,YieldCompounding,YieldFrequency)</f>
        <v>6.9354058014146327</v>
      </c>
      <c r="N29" s="115">
        <f>_xll.BDP(A29&amp;" Corp","risk mid")</f>
        <v>2.1847983563063167</v>
      </c>
      <c r="O29" s="101" t="str">
        <f>_xll.qlZeroCouponBond(,,"EUR",3,"target",100,$B29,"f",100,,,Trigger)</f>
        <v>obj_00966#0000</v>
      </c>
      <c r="P29" s="101" t="str">
        <f>_xll.qlZeroCouponBond(,,"EUR",3,"target",100,$B29,"f",100,,,Trigger)</f>
        <v>obj_009c2#0000</v>
      </c>
      <c r="Q29" s="101" t="str">
        <f>_xll.qlZeroCouponBond(,,"EUR",3,"target",100,$B29,"f",100,,,Trigger)</f>
        <v>obj_0087b#0000</v>
      </c>
      <c r="R29" s="117">
        <f t="shared" si="12"/>
        <v>100.03</v>
      </c>
      <c r="S29" s="122">
        <f t="shared" ref="S29" si="34">R29</f>
        <v>100.03</v>
      </c>
      <c r="T29" s="138" t="str">
        <f>IF(UPPER(U$1)="ABCD",_xll.RtContribute($E$3,$E29,$R$3:$S$3,$R29:$S29,"SCOPE:SERVER"),"--")</f>
        <v>Success: Insert Ack on DTSIMI2 for STRIP.IT0004848716 at 10:31:41</v>
      </c>
      <c r="U29" s="142" t="str">
        <f t="shared" si="4"/>
        <v>OK</v>
      </c>
      <c r="V29" s="126" t="str">
        <f t="shared" si="0"/>
        <v>EUR.PRICING.XLS_STRIPS.IT0004848716</v>
      </c>
      <c r="W29" s="126" t="str">
        <f>IF(UPPER($X$1)="ABCD",_xll.MKV_PUBLISHRECORD(V29, "XLS_STRIPS"),"--")</f>
        <v>Not connected</v>
      </c>
      <c r="X29" s="127" t="str">
        <f>IF(UPPER(X$1)="ABCD",_xll.MKV_SUPPLYRECORD(V29, "Bid",F29, "Ask",H29, "Id",A29, "Mid",G29, "Name",D29,"DV01",N29,"MidYield",J29,"BidYield",I29,"AskYield",K29),"--")</f>
        <v>Not connected</v>
      </c>
      <c r="Z29" s="27" t="str">
        <f t="shared" si="18"/>
        <v>IT0004848716@rbsm Corp</v>
      </c>
      <c r="AA29" s="27">
        <f>_xll.BDP(Z29,"bid")</f>
        <v>99.977999999999994</v>
      </c>
      <c r="AB29" s="27">
        <f>_xll.BDP(Z29,"ask")</f>
        <v>100.066</v>
      </c>
      <c r="AC29" s="27">
        <f t="shared" si="19"/>
        <v>100.02199999999999</v>
      </c>
      <c r="AD29" s="114">
        <f t="shared" si="20"/>
        <v>-1.9999999999953388E-3</v>
      </c>
      <c r="AE29" s="27">
        <f t="shared" si="22"/>
        <v>0.56174999999999997</v>
      </c>
      <c r="AF29" s="152">
        <f t="shared" si="23"/>
        <v>-11.234999999973816</v>
      </c>
      <c r="AM29" s="27" t="s">
        <v>134</v>
      </c>
      <c r="AN29" s="27">
        <v>0.85499999999999998</v>
      </c>
    </row>
    <row r="30" spans="1:40" x14ac:dyDescent="0.2">
      <c r="A30" s="66" t="s">
        <v>137</v>
      </c>
      <c r="B30" s="83">
        <v>43344</v>
      </c>
      <c r="C30" s="131">
        <f>_xll.BDP(A30&amp;" Corp", "days to mty")</f>
        <v>828</v>
      </c>
      <c r="D30" s="41" t="s">
        <v>138</v>
      </c>
      <c r="E30" s="41" t="s">
        <v>139</v>
      </c>
      <c r="F30" s="130">
        <v>100</v>
      </c>
      <c r="G30" s="130">
        <v>100.02</v>
      </c>
      <c r="H30" s="130">
        <f t="shared" si="1"/>
        <v>100.04</v>
      </c>
      <c r="I30" s="26">
        <f>ROUND(_xll.qlBondYieldFromCleanPrice(O30,F30,YieldDayCounter,YieldCompounding,YieldFrequency)*100,3)</f>
        <v>0</v>
      </c>
      <c r="J30" s="26">
        <f>ROUND(_xll.qlBondYieldFromCleanPrice(P30,G30,YieldDayCounter,YieldCompounding,YieldFrequency)*100,3)</f>
        <v>-8.9999999999999993E-3</v>
      </c>
      <c r="K30" s="26">
        <f>ROUND(_xll.qlBondYieldFromCleanPrice(Q30,H30,YieldDayCounter,YieldCompounding,YieldFrequency)*100,3)</f>
        <v>-1.7999999999999999E-2</v>
      </c>
      <c r="L30" s="114">
        <f>_xll.qlBondDurationFromYield(P30,J30,YieldDayCounter,YieldCompounding,YieldFrequency,L$2)</f>
        <v>2.2911118095647716</v>
      </c>
      <c r="M30" s="114">
        <f>_xll.qlBondConvexityFromYield(P30,J30/100,YieldDayCounter,YieldCompounding,YieldFrequency)</f>
        <v>7.4269616249685058</v>
      </c>
      <c r="N30" s="115">
        <f>_xll.BDP(A30&amp;" Corp","risk mid")</f>
        <v>2.2661875004224896</v>
      </c>
      <c r="O30" s="101" t="str">
        <f>_xll.qlZeroCouponBond(,,"EUR",3,"target",100,$B30,"f",100,,,Trigger)</f>
        <v>obj_00947#0000</v>
      </c>
      <c r="P30" s="101" t="str">
        <f>_xll.qlZeroCouponBond(,,"EUR",3,"target",100,$B30,"f",100,,,Trigger)</f>
        <v>obj_0091e#0000</v>
      </c>
      <c r="Q30" s="101" t="str">
        <f>_xll.qlZeroCouponBond(,,"EUR",3,"target",100,$B30,"f",100,,,Trigger)</f>
        <v>obj_00901#0000</v>
      </c>
      <c r="R30" s="117">
        <f t="shared" si="12"/>
        <v>100.04</v>
      </c>
      <c r="S30" s="122">
        <f t="shared" ref="S30" si="35">R30</f>
        <v>100.04</v>
      </c>
      <c r="T30" s="138" t="str">
        <f>IF(UPPER(U$1)="ABCD",_xll.RtContribute($E$3,$E30,$R$3:$S$3,$R30:$S30,"SCOPE:SERVER"),"--")</f>
        <v>Success: Insert Ack on DTSIMI2 for STRIP.IT0004957830 at 10:31:47</v>
      </c>
      <c r="U30" s="142" t="str">
        <f t="shared" si="4"/>
        <v>OK</v>
      </c>
      <c r="V30" s="126" t="str">
        <f t="shared" si="0"/>
        <v>EUR.PRICING.XLS_STRIPS.IT0004957830</v>
      </c>
      <c r="W30" s="126" t="str">
        <f>IF(UPPER($X$1)="ABCD",_xll.MKV_PUBLISHRECORD(V30, "XLS_STRIPS"),"--")</f>
        <v>Not connected</v>
      </c>
      <c r="X30" s="127" t="str">
        <f>IF(UPPER(X$1)="ABCD",_xll.MKV_SUPPLYRECORD(V30, "Bid",F30, "Ask",H30, "Id",A30, "Mid",G30, "Name",D30,"DV01",N30,"MidYield",J30,"BidYield",I30,"AskYield",K30),"--")</f>
        <v>Not connected</v>
      </c>
      <c r="Z30" s="27" t="str">
        <f t="shared" si="18"/>
        <v>IT0004957830@rbsm Corp</v>
      </c>
      <c r="AA30" s="27">
        <f>_xll.BDP(Z30,"bid")</f>
        <v>99.376000000000005</v>
      </c>
      <c r="AB30" s="27">
        <f>_xll.BDP(Z30,"ask")</f>
        <v>99.828000000000003</v>
      </c>
      <c r="AC30" s="27">
        <f t="shared" si="19"/>
        <v>99.602000000000004</v>
      </c>
      <c r="AD30" s="114">
        <f t="shared" si="20"/>
        <v>0.41799999999999216</v>
      </c>
      <c r="AE30" s="27">
        <f t="shared" si="22"/>
        <v>0.85499999999999998</v>
      </c>
      <c r="AF30" s="152">
        <f t="shared" si="23"/>
        <v>3573.8999999999328</v>
      </c>
      <c r="AM30" s="27" t="s">
        <v>35</v>
      </c>
      <c r="AN30" s="27">
        <v>2.46875</v>
      </c>
    </row>
    <row r="31" spans="1:40" x14ac:dyDescent="0.2">
      <c r="A31" s="66" t="s">
        <v>36</v>
      </c>
      <c r="B31" s="83">
        <v>43405</v>
      </c>
      <c r="C31" s="131">
        <f>_xll.BDP(A31&amp;" Corp", "days to mty")</f>
        <v>889</v>
      </c>
      <c r="D31" s="41" t="s">
        <v>343</v>
      </c>
      <c r="E31" s="41" t="s">
        <v>344</v>
      </c>
      <c r="F31" s="130">
        <v>99.98</v>
      </c>
      <c r="G31" s="130">
        <v>99.99</v>
      </c>
      <c r="H31" s="130">
        <f t="shared" si="1"/>
        <v>100</v>
      </c>
      <c r="I31" s="26">
        <f>ROUND(_xll.qlBondYieldFromCleanPrice(O31,F31,YieldDayCounter,YieldCompounding,YieldFrequency)*100,3)</f>
        <v>8.0000000000000002E-3</v>
      </c>
      <c r="J31" s="26">
        <f>ROUND(_xll.qlBondYieldFromCleanPrice(P31,G31,YieldDayCounter,YieldCompounding,YieldFrequency)*100,3)</f>
        <v>4.0000000000000001E-3</v>
      </c>
      <c r="K31" s="26">
        <f>ROUND(_xll.qlBondYieldFromCleanPrice(Q31,H31,YieldDayCounter,YieldCompounding,YieldFrequency)*100,3)</f>
        <v>0</v>
      </c>
      <c r="L31" s="114">
        <f>_xll.qlBondDurationFromYield(P31,J31,YieldDayCounter,YieldCompounding,YieldFrequency,L$2)</f>
        <v>2.4220059652101975</v>
      </c>
      <c r="M31" s="114">
        <f>_xll.qlBondConvexityFromYield(P31,J31/100,YieldDayCounter,YieldCompounding,YieldFrequency)</f>
        <v>8.3441620992366605</v>
      </c>
      <c r="N31" s="115">
        <f>_xll.BDP(A31&amp;" Corp","risk mid")</f>
        <v>2.4223924689529497</v>
      </c>
      <c r="O31" s="101" t="str">
        <f>_xll.qlZeroCouponBond(,,"EUR",3,"target",100,$B31,"f",100,,,Trigger)</f>
        <v>obj_008f1#0000</v>
      </c>
      <c r="P31" s="101" t="str">
        <f>_xll.qlZeroCouponBond(,,"EUR",3,"target",100,$B31,"f",100,,,Trigger)</f>
        <v>obj_008ec#0000</v>
      </c>
      <c r="Q31" s="101" t="str">
        <f>_xll.qlZeroCouponBond(,,"EUR",3,"target",100,$B31,"f",100,,,Trigger)</f>
        <v>obj_00978#0000</v>
      </c>
      <c r="R31" s="117">
        <f t="shared" si="12"/>
        <v>100</v>
      </c>
      <c r="S31" s="122">
        <f t="shared" ref="S31" si="36">R31</f>
        <v>100</v>
      </c>
      <c r="T31" s="138" t="str">
        <f>IF(UPPER(U$1)="ABCD",_xll.RtContribute($E$3,$E31,$R$3:$S$3,$R31:$S31,"SCOPE:SERVER"),"--")</f>
        <v>Success: Insert Ack on DTSIMI2 for STRIP.IT0001247227 at 10:31:47</v>
      </c>
      <c r="U31" s="142" t="str">
        <f t="shared" si="4"/>
        <v>OK</v>
      </c>
      <c r="V31" s="126" t="str">
        <f t="shared" si="0"/>
        <v>EUR.PRICING.XLS_STRIPS.IT0001247227</v>
      </c>
      <c r="W31" s="126" t="str">
        <f>IF(UPPER($X$1)="ABCD",_xll.MKV_PUBLISHRECORD(V31, "XLS_STRIPS"),"--")</f>
        <v>Not connected</v>
      </c>
      <c r="X31" s="127" t="str">
        <f>IF(UPPER(X$1)="ABCD",_xll.MKV_SUPPLYRECORD(V31, "Bid",F31, "Ask",H31, "Id",A31, "Mid",G31, "Name",D31,"DV01",N31,"MidYield",J31,"BidYield",I31,"AskYield",K31),"--")</f>
        <v>Not connected</v>
      </c>
      <c r="Z31" s="27" t="str">
        <f t="shared" si="18"/>
        <v>IT0001247227@rbsm Corp</v>
      </c>
      <c r="AA31" s="27">
        <f>_xll.BDP(Z31,"bid")</f>
        <v>99.495999999999995</v>
      </c>
      <c r="AB31" s="27">
        <f>_xll.BDP(Z31,"ask")</f>
        <v>99.834999999999994</v>
      </c>
      <c r="AC31" s="27">
        <f t="shared" si="19"/>
        <v>99.665499999999994</v>
      </c>
      <c r="AD31" s="114">
        <f t="shared" si="20"/>
        <v>0.32450000000000045</v>
      </c>
      <c r="AE31" s="27">
        <f t="shared" si="22"/>
        <v>2.5097499999999999</v>
      </c>
      <c r="AF31" s="152">
        <f t="shared" si="23"/>
        <v>8144.138750000011</v>
      </c>
      <c r="AM31" s="27" t="s">
        <v>340</v>
      </c>
      <c r="AN31" s="27">
        <v>0.56174999999999997</v>
      </c>
    </row>
    <row r="32" spans="1:40" x14ac:dyDescent="0.2">
      <c r="A32" s="66" t="s">
        <v>345</v>
      </c>
      <c r="B32" s="83">
        <v>43497</v>
      </c>
      <c r="C32" s="131">
        <f>_xll.BDP(A32&amp;" Corp", "days to mty")</f>
        <v>981</v>
      </c>
      <c r="D32" s="41" t="s">
        <v>346</v>
      </c>
      <c r="E32" s="41" t="s">
        <v>347</v>
      </c>
      <c r="F32" s="130">
        <v>99.91</v>
      </c>
      <c r="G32" s="130">
        <v>99.93</v>
      </c>
      <c r="H32" s="130">
        <f t="shared" si="1"/>
        <v>99.95</v>
      </c>
      <c r="I32" s="26">
        <f>ROUND(_xll.qlBondYieldFromCleanPrice(O32,F32,YieldDayCounter,YieldCompounding,YieldFrequency)*100,3)</f>
        <v>3.4000000000000002E-2</v>
      </c>
      <c r="J32" s="26">
        <f>ROUND(_xll.qlBondYieldFromCleanPrice(P32,G32,YieldDayCounter,YieldCompounding,YieldFrequency)*100,3)</f>
        <v>2.5999999999999999E-2</v>
      </c>
      <c r="K32" s="26">
        <f>ROUND(_xll.qlBondYieldFromCleanPrice(Q32,H32,YieldDayCounter,YieldCompounding,YieldFrequency)*100,3)</f>
        <v>1.9E-2</v>
      </c>
      <c r="L32" s="114">
        <f>_xll.qlBondDurationFromYield(P32,J32,YieldDayCounter,YieldCompounding,YieldFrequency,L$2)</f>
        <v>2.615068332640953</v>
      </c>
      <c r="M32" s="114">
        <f>_xll.qlBondConvexityFromYield(P32,J32/100,YieldDayCounter,YieldCompounding,YieldFrequency)</f>
        <v>9.8767350894370338</v>
      </c>
      <c r="N32" s="115">
        <f>_xll.BDP(A32&amp;" Corp","risk mid")</f>
        <v>2.6817821540703335</v>
      </c>
      <c r="O32" s="101" t="str">
        <f>_xll.qlZeroCouponBond(,,"EUR",3,"target",100,$B32,"f",100,,,Trigger)</f>
        <v>obj_0084f#0000</v>
      </c>
      <c r="P32" s="101" t="str">
        <f>_xll.qlZeroCouponBond(,,"EUR",3,"target",100,$B32,"f",100,,,Trigger)</f>
        <v>obj_00979#0000</v>
      </c>
      <c r="Q32" s="101" t="str">
        <f>_xll.qlZeroCouponBond(,,"EUR",3,"target",100,$B32,"f",100,,,Trigger)</f>
        <v>obj_009db#0000</v>
      </c>
      <c r="R32" s="117">
        <f t="shared" si="12"/>
        <v>99.95</v>
      </c>
      <c r="S32" s="122">
        <f t="shared" ref="S32" si="37">R32</f>
        <v>99.95</v>
      </c>
      <c r="T32" s="138" t="str">
        <f>IF(UPPER(U$1)="ABCD",_xll.RtContribute($E$3,$E32,$R$3:$S$3,$R32:$S32,"SCOPE:SERVER"),"--")</f>
        <v>Success: Insert Ack on DTSIMI2 for STRIP.IT0004848583 at 10:31:47</v>
      </c>
      <c r="U32" s="142" t="str">
        <f t="shared" si="4"/>
        <v>OK</v>
      </c>
      <c r="V32" s="126" t="str">
        <f t="shared" si="0"/>
        <v>EUR.PRICING.XLS_STRIPS.IT0004848583</v>
      </c>
      <c r="W32" s="126" t="str">
        <f>IF(UPPER($X$1)="ABCD",_xll.MKV_PUBLISHRECORD(V32, "XLS_STRIPS"),"--")</f>
        <v>Not connected</v>
      </c>
      <c r="X32" s="127" t="str">
        <f>IF(UPPER(X$1)="ABCD",_xll.MKV_SUPPLYRECORD(V32, "Bid",F32, "Ask",H32, "Id",A32, "Mid",G32, "Name",D32,"DV01",N32,"MidYield",J32,"BidYield",I32,"AskYield",K32),"--")</f>
        <v>Not connected</v>
      </c>
      <c r="Z32" s="27" t="str">
        <f t="shared" si="18"/>
        <v>IT0004848583@rbsm Corp</v>
      </c>
      <c r="AA32" s="27">
        <f>_xll.BDP(Z32,"bid")</f>
        <v>99.885000000000005</v>
      </c>
      <c r="AB32" s="27">
        <f>_xll.BDP(Z32,"ask")</f>
        <v>99.992000000000004</v>
      </c>
      <c r="AC32" s="27">
        <f t="shared" si="19"/>
        <v>99.938500000000005</v>
      </c>
      <c r="AD32" s="114">
        <f t="shared" si="20"/>
        <v>-8.4999999999979536E-3</v>
      </c>
      <c r="AE32" s="27">
        <f t="shared" si="22"/>
        <v>0.57225000000000004</v>
      </c>
      <c r="AF32" s="152">
        <f t="shared" si="23"/>
        <v>-48.641249999988297</v>
      </c>
      <c r="AM32" s="27" t="s">
        <v>137</v>
      </c>
      <c r="AN32" s="27">
        <v>0.85499999999999998</v>
      </c>
    </row>
    <row r="33" spans="1:40" x14ac:dyDescent="0.2">
      <c r="A33" s="66" t="s">
        <v>140</v>
      </c>
      <c r="B33" s="83">
        <v>43525</v>
      </c>
      <c r="C33" s="131">
        <f>_xll.BDP(A33&amp;" Corp", "days to mty")</f>
        <v>1009</v>
      </c>
      <c r="D33" s="41" t="s">
        <v>141</v>
      </c>
      <c r="E33" s="41" t="s">
        <v>142</v>
      </c>
      <c r="F33" s="130">
        <v>99.88</v>
      </c>
      <c r="G33" s="130">
        <v>99.9</v>
      </c>
      <c r="H33" s="130">
        <f t="shared" si="1"/>
        <v>99.92</v>
      </c>
      <c r="I33" s="26">
        <f>ROUND(_xll.qlBondYieldFromCleanPrice(O33,F33,YieldDayCounter,YieldCompounding,YieldFrequency)*100,3)</f>
        <v>4.2999999999999997E-2</v>
      </c>
      <c r="J33" s="26">
        <f>ROUND(_xll.qlBondYieldFromCleanPrice(P33,G33,YieldDayCounter,YieldCompounding,YieldFrequency)*100,3)</f>
        <v>3.5999999999999997E-2</v>
      </c>
      <c r="K33" s="26">
        <f>ROUND(_xll.qlBondYieldFromCleanPrice(Q33,H33,YieldDayCounter,YieldCompounding,YieldFrequency)*100,3)</f>
        <v>2.9000000000000001E-2</v>
      </c>
      <c r="L33" s="114">
        <f>_xll.qlBondDurationFromYield(P33,J33,YieldDayCounter,YieldCompounding,YieldFrequency,L$2)</f>
        <v>2.6656793780081451</v>
      </c>
      <c r="M33" s="114">
        <f>_xll.qlBondConvexityFromYield(P33,J33/100,YieldDayCounter,YieldCompounding,YieldFrequency)</f>
        <v>10.38084495668839</v>
      </c>
      <c r="N33" s="115">
        <f>_xll.BDP(A33&amp;" Corp","risk mid")</f>
        <v>2.7519270890870473</v>
      </c>
      <c r="O33" s="101" t="str">
        <f>_xll.qlZeroCouponBond(,,"EUR",3,"target",100,$B33,"f",100,,,Trigger)</f>
        <v>obj_00942#0000</v>
      </c>
      <c r="P33" s="101" t="str">
        <f>_xll.qlZeroCouponBond(,,"EUR",3,"target",100,$B33,"f",100,,,Trigger)</f>
        <v>obj_008ad#0000</v>
      </c>
      <c r="Q33" s="101" t="str">
        <f>_xll.qlZeroCouponBond(,,"EUR",3,"target",100,$B33,"f",100,,,Trigger)</f>
        <v>obj_00865#0000</v>
      </c>
      <c r="R33" s="117">
        <f t="shared" si="12"/>
        <v>99.92</v>
      </c>
      <c r="S33" s="122">
        <f t="shared" ref="S33" si="38">R33</f>
        <v>99.92</v>
      </c>
      <c r="T33" s="138" t="str">
        <f>IF(UPPER(U$1)="ABCD",_xll.RtContribute($E$3,$E33,$R$3:$S$3,$R33:$S33,"SCOPE:SERVER"),"--")</f>
        <v>Success: Insert Ack on DTSIMI2 for STRIP.IT0004957848 at 10:31:47</v>
      </c>
      <c r="U33" s="142" t="str">
        <f t="shared" si="4"/>
        <v>OK</v>
      </c>
      <c r="V33" s="126" t="str">
        <f t="shared" si="0"/>
        <v>EUR.PRICING.XLS_STRIPS.IT0004957848</v>
      </c>
      <c r="W33" s="126" t="str">
        <f>IF(UPPER($X$1)="ABCD",_xll.MKV_PUBLISHRECORD(V33, "XLS_STRIPS"),"--")</f>
        <v>Not connected</v>
      </c>
      <c r="X33" s="127" t="str">
        <f>IF(UPPER(X$1)="ABCD",_xll.MKV_SUPPLYRECORD(V33, "Bid",F33, "Ask",H33, "Id",A33, "Mid",G33, "Name",D33,"DV01",N33,"MidYield",J33,"BidYield",I33,"AskYield",K33),"--")</f>
        <v>Not connected</v>
      </c>
      <c r="Z33" s="27" t="str">
        <f t="shared" si="18"/>
        <v>IT0004957848@rbsm Corp</v>
      </c>
      <c r="AA33" s="27">
        <f>_xll.BDP(Z33,"bid")</f>
        <v>99.128</v>
      </c>
      <c r="AB33" s="27">
        <f>_xll.BDP(Z33,"ask")</f>
        <v>99.677000000000007</v>
      </c>
      <c r="AC33" s="27">
        <f t="shared" si="19"/>
        <v>99.402500000000003</v>
      </c>
      <c r="AD33" s="114">
        <f t="shared" si="20"/>
        <v>0.49750000000000227</v>
      </c>
      <c r="AE33" s="27">
        <f t="shared" si="22"/>
        <v>0.73</v>
      </c>
      <c r="AF33" s="152">
        <f t="shared" si="23"/>
        <v>3631.7500000000164</v>
      </c>
      <c r="AM33" s="27" t="s">
        <v>36</v>
      </c>
      <c r="AN33" s="27">
        <v>2.5097499999999999</v>
      </c>
    </row>
    <row r="34" spans="1:40" x14ac:dyDescent="0.2">
      <c r="A34" s="66" t="s">
        <v>37</v>
      </c>
      <c r="B34" s="83">
        <v>43586</v>
      </c>
      <c r="C34" s="131">
        <f>_xll.BDP(A34&amp;" Corp", "days to mty")</f>
        <v>1070</v>
      </c>
      <c r="D34" s="41" t="s">
        <v>348</v>
      </c>
      <c r="E34" s="41" t="s">
        <v>349</v>
      </c>
      <c r="F34" s="130">
        <v>99.73</v>
      </c>
      <c r="G34" s="130">
        <v>99.75</v>
      </c>
      <c r="H34" s="130">
        <f t="shared" si="1"/>
        <v>99.77</v>
      </c>
      <c r="I34" s="26">
        <f>ROUND(_xll.qlBondYieldFromCleanPrice(O34,F34,YieldDayCounter,YieldCompounding,YieldFrequency)*100,3)</f>
        <v>9.1999999999999998E-2</v>
      </c>
      <c r="J34" s="26">
        <f>ROUND(_xll.qlBondYieldFromCleanPrice(P34,G34,YieldDayCounter,YieldCompounding,YieldFrequency)*100,3)</f>
        <v>8.5000000000000006E-2</v>
      </c>
      <c r="K34" s="26">
        <f>ROUND(_xll.qlBondYieldFromCleanPrice(Q34,H34,YieldDayCounter,YieldCompounding,YieldFrequency)*100,3)</f>
        <v>7.9000000000000001E-2</v>
      </c>
      <c r="L34" s="114">
        <f>_xll.qlBondDurationFromYield(P34,J34,YieldDayCounter,YieldCompounding,YieldFrequency,L$2)</f>
        <v>2.7018496307051327</v>
      </c>
      <c r="M34" s="114">
        <f>_xll.qlBondConvexityFromYield(P34,J34/100,YieldDayCounter,YieldCompounding,YieldFrequency)</f>
        <v>11.505671302833894</v>
      </c>
      <c r="N34" s="115">
        <f>_xll.BDP(A34&amp;" Corp","risk mid")</f>
        <v>2.9156558687098766</v>
      </c>
      <c r="O34" s="101" t="str">
        <f>_xll.qlZeroCouponBond(,,"EUR",3,"target",100,$B34,"f",100,,,Trigger)</f>
        <v>obj_0085f#0000</v>
      </c>
      <c r="P34" s="101" t="str">
        <f>_xll.qlZeroCouponBond(,,"EUR",3,"target",100,$B34,"f",100,,,Trigger)</f>
        <v>obj_008e3#0000</v>
      </c>
      <c r="Q34" s="101" t="str">
        <f>_xll.qlZeroCouponBond(,,"EUR",3,"target",100,$B34,"f",100,,,Trigger)</f>
        <v>obj_0087a#0000</v>
      </c>
      <c r="R34" s="117">
        <f t="shared" si="12"/>
        <v>99.77</v>
      </c>
      <c r="S34" s="122">
        <f t="shared" ref="S34" si="39">R34</f>
        <v>99.77</v>
      </c>
      <c r="T34" s="138" t="str">
        <f>IF(UPPER(U$1)="ABCD",_xll.RtContribute($E$3,$E34,$R$3:$S$3,$R34:$S34,"SCOPE:SERVER"),"--")</f>
        <v>Success: Insert Ack on DTSIMI2 for STRIP.IT0001247235 at 10:31:47</v>
      </c>
      <c r="U34" s="142" t="str">
        <f t="shared" si="4"/>
        <v>OK</v>
      </c>
      <c r="V34" s="126" t="str">
        <f t="shared" si="0"/>
        <v>EUR.PRICING.XLS_STRIPS.IT0001247235</v>
      </c>
      <c r="W34" s="126" t="str">
        <f>IF(UPPER($X$1)="ABCD",_xll.MKV_PUBLISHRECORD(V34, "XLS_STRIPS"),"--")</f>
        <v>Not connected</v>
      </c>
      <c r="X34" s="127" t="str">
        <f>IF(UPPER(X$1)="ABCD",_xll.MKV_SUPPLYRECORD(V34, "Bid",F34, "Ask",H34, "Id",A34, "Mid",G34, "Name",D34,"DV01",N34,"MidYield",J34,"BidYield",I34,"AskYield",K34),"--")</f>
        <v>Not connected</v>
      </c>
      <c r="Z34" s="27" t="str">
        <f t="shared" si="18"/>
        <v>IT0001247235@rbsm Corp</v>
      </c>
      <c r="AA34" s="27">
        <f>_xll.BDP(Z34,"bid")</f>
        <v>99.251999999999995</v>
      </c>
      <c r="AB34" s="27">
        <f>_xll.BDP(Z34,"ask")</f>
        <v>99.66</v>
      </c>
      <c r="AC34" s="27">
        <f t="shared" si="19"/>
        <v>99.455999999999989</v>
      </c>
      <c r="AD34" s="114">
        <f t="shared" si="20"/>
        <v>0.29400000000001114</v>
      </c>
      <c r="AE34" s="27">
        <f t="shared" si="22"/>
        <v>1.17875</v>
      </c>
      <c r="AF34" s="152">
        <f t="shared" si="23"/>
        <v>3465.5250000001315</v>
      </c>
      <c r="AM34" s="27" t="s">
        <v>345</v>
      </c>
      <c r="AN34" s="27">
        <v>0.57225000000000004</v>
      </c>
    </row>
    <row r="35" spans="1:40" x14ac:dyDescent="0.2">
      <c r="A35" s="66" t="s">
        <v>38</v>
      </c>
      <c r="B35" s="83">
        <v>43678</v>
      </c>
      <c r="C35" s="131">
        <f>_xll.BDP(A35&amp;" Corp", "days to mty")</f>
        <v>1162</v>
      </c>
      <c r="D35" s="41" t="s">
        <v>350</v>
      </c>
      <c r="E35" s="41" t="s">
        <v>351</v>
      </c>
      <c r="F35" s="130">
        <v>99.64</v>
      </c>
      <c r="G35" s="130">
        <v>99.66</v>
      </c>
      <c r="H35" s="130">
        <f t="shared" si="1"/>
        <v>99.68</v>
      </c>
      <c r="I35" s="26">
        <f>ROUND(_xll.qlBondYieldFromCleanPrice(O35,F35,YieldDayCounter,YieldCompounding,YieldFrequency)*100,3)</f>
        <v>0.113</v>
      </c>
      <c r="J35" s="26">
        <f>ROUND(_xll.qlBondYieldFromCleanPrice(P35,G35,YieldDayCounter,YieldCompounding,YieldFrequency)*100,3)</f>
        <v>0.107</v>
      </c>
      <c r="K35" s="26">
        <f>ROUND(_xll.qlBondYieldFromCleanPrice(Q35,H35,YieldDayCounter,YieldCompounding,YieldFrequency)*100,3)</f>
        <v>0.10100000000000001</v>
      </c>
      <c r="L35" s="114">
        <f>_xll.qlBondDurationFromYield(P35,J35,YieldDayCounter,YieldCompounding,YieldFrequency,L$2)</f>
        <v>2.8729249041124292</v>
      </c>
      <c r="M35" s="114">
        <f>_xll.qlBondConvexityFromYield(P35,J35/100,YieldDayCounter,YieldCompounding,YieldFrequency)</f>
        <v>13.266407920591593</v>
      </c>
      <c r="N35" s="115">
        <f>_xll.BDP(A35&amp;" Corp","risk mid")</f>
        <v>3.1597161867665591</v>
      </c>
      <c r="O35" s="101" t="str">
        <f>_xll.qlZeroCouponBond(,,"EUR",3,"target",100,$B35,"f",100,,,Trigger)</f>
        <v>obj_0094e#0000</v>
      </c>
      <c r="P35" s="101" t="str">
        <f>_xll.qlZeroCouponBond(,,"EUR",3,"target",100,$B35,"f",100,,,Trigger)</f>
        <v>obj_00957#0000</v>
      </c>
      <c r="Q35" s="101" t="str">
        <f>_xll.qlZeroCouponBond(,,"EUR",3,"target",100,$B35,"f",100,,,Trigger)</f>
        <v>obj_00924#0000</v>
      </c>
      <c r="R35" s="117">
        <f t="shared" si="12"/>
        <v>99.68</v>
      </c>
      <c r="S35" s="122">
        <f t="shared" ref="S35" si="40">R35</f>
        <v>99.68</v>
      </c>
      <c r="T35" s="138" t="str">
        <f>IF(UPPER(U$1)="ABCD",_xll.RtContribute($E$3,$E35,$R$3:$S$3,$R35:$S35,"SCOPE:SERVER"),"--")</f>
        <v>Success: Insert Ack on DTSIMI2 for STRIP.IT0003268585 at 10:31:47</v>
      </c>
      <c r="U35" s="142" t="str">
        <f t="shared" si="4"/>
        <v>OK</v>
      </c>
      <c r="V35" s="126" t="str">
        <f t="shared" si="0"/>
        <v>EUR.PRICING.XLS_STRIPS.IT0003268585</v>
      </c>
      <c r="W35" s="126" t="str">
        <f>IF(UPPER($X$1)="ABCD",_xll.MKV_PUBLISHRECORD(V35, "XLS_STRIPS"),"--")</f>
        <v>Not connected</v>
      </c>
      <c r="X35" s="127" t="str">
        <f>IF(UPPER(X$1)="ABCD",_xll.MKV_SUPPLYRECORD(V35, "Bid",F35, "Ask",H35, "Id",A35, "Mid",G35, "Name",D35,"DV01",N35,"MidYield",J35,"BidYield",I35,"AskYield",K35),"--")</f>
        <v>Not connected</v>
      </c>
      <c r="Z35" s="27" t="str">
        <f t="shared" si="18"/>
        <v>IT0003268585@rbsm Corp</v>
      </c>
      <c r="AA35" s="27">
        <f>_xll.BDP(Z35,"bid")</f>
        <v>98.95</v>
      </c>
      <c r="AB35" s="27">
        <f>_xll.BDP(Z35,"ask")</f>
        <v>99.453999999999994</v>
      </c>
      <c r="AC35" s="27">
        <f t="shared" si="19"/>
        <v>99.201999999999998</v>
      </c>
      <c r="AD35" s="114">
        <f t="shared" si="20"/>
        <v>0.45799999999999841</v>
      </c>
      <c r="AE35" s="27" t="str">
        <f t="shared" si="22"/>
        <v>0</v>
      </c>
      <c r="AF35" s="152">
        <f t="shared" si="23"/>
        <v>0</v>
      </c>
      <c r="AM35" s="27" t="s">
        <v>140</v>
      </c>
      <c r="AN35" s="27">
        <v>0.73</v>
      </c>
    </row>
    <row r="36" spans="1:40" x14ac:dyDescent="0.2">
      <c r="A36" s="66" t="s">
        <v>143</v>
      </c>
      <c r="B36" s="83">
        <v>43709</v>
      </c>
      <c r="C36" s="131">
        <f>_xll.BDP(A36&amp;" Corp", "days to mty")</f>
        <v>1193</v>
      </c>
      <c r="D36" s="41" t="s">
        <v>144</v>
      </c>
      <c r="E36" s="41" t="s">
        <v>145</v>
      </c>
      <c r="F36" s="130">
        <v>99.52</v>
      </c>
      <c r="G36" s="130">
        <v>99.54</v>
      </c>
      <c r="H36" s="130">
        <f t="shared" si="1"/>
        <v>99.56</v>
      </c>
      <c r="I36" s="26">
        <f>ROUND(_xll.qlBondYieldFromCleanPrice(O36,F36,YieldDayCounter,YieldCompounding,YieldFrequency)*100,3)</f>
        <v>0.14699999999999999</v>
      </c>
      <c r="J36" s="26">
        <f>ROUND(_xll.qlBondYieldFromCleanPrice(P36,G36,YieldDayCounter,YieldCompounding,YieldFrequency)*100,3)</f>
        <v>0.14099999999999999</v>
      </c>
      <c r="K36" s="26">
        <f>ROUND(_xll.qlBondYieldFromCleanPrice(Q36,H36,YieldDayCounter,YieldCompounding,YieldFrequency)*100,3)</f>
        <v>0.13500000000000001</v>
      </c>
      <c r="L36" s="114">
        <f>_xll.qlBondDurationFromYield(P36,J36,YieldDayCounter,YieldCompounding,YieldFrequency,L$2)</f>
        <v>2.8639435257156269</v>
      </c>
      <c r="M36" s="114">
        <f>_xll.qlBondConvexityFromYield(P36,J36/100,YieldDayCounter,YieldCompounding,YieldFrequency)</f>
        <v>13.906767391296095</v>
      </c>
      <c r="N36" s="115">
        <f>_xll.BDP(A36&amp;" Corp","risk mid")</f>
        <v>3.2403719252648955</v>
      </c>
      <c r="O36" s="101" t="str">
        <f>_xll.qlZeroCouponBond(,,"EUR",3,"target",100,$B36,"f",100,,,Trigger)</f>
        <v>obj_00955#0000</v>
      </c>
      <c r="P36" s="101" t="str">
        <f>_xll.qlZeroCouponBond(,,"EUR",3,"target",100,$B36,"f",100,,,Trigger)</f>
        <v>obj_00989#0000</v>
      </c>
      <c r="Q36" s="101" t="str">
        <f>_xll.qlZeroCouponBond(,,"EUR",3,"target",100,$B36,"f",100,,,Trigger)</f>
        <v>obj_008fc#0000</v>
      </c>
      <c r="R36" s="117">
        <f t="shared" si="12"/>
        <v>99.56</v>
      </c>
      <c r="S36" s="122">
        <f t="shared" ref="S36" si="41">R36</f>
        <v>99.56</v>
      </c>
      <c r="T36" s="138" t="str">
        <f>IF(UPPER(U$1)="ABCD",_xll.RtContribute($E$3,$E36,$R$3:$S$3,$R36:$S36,"SCOPE:SERVER"),"--")</f>
        <v>Success: Insert Ack on DTSIMI2 for STRIP.IT0004957855 at 10:31:47</v>
      </c>
      <c r="U36" s="142" t="str">
        <f t="shared" si="4"/>
        <v>OK</v>
      </c>
      <c r="V36" s="126" t="str">
        <f t="shared" ref="V36:V67" si="42">V$3&amp;A36</f>
        <v>EUR.PRICING.XLS_STRIPS.IT0004957855</v>
      </c>
      <c r="W36" s="126" t="str">
        <f>IF(UPPER($X$1)="ABCD",_xll.MKV_PUBLISHRECORD(V36, "XLS_STRIPS"),"--")</f>
        <v>Not connected</v>
      </c>
      <c r="X36" s="127" t="str">
        <f>IF(UPPER(X$1)="ABCD",_xll.MKV_SUPPLYRECORD(V36, "Bid",F36, "Ask",H36, "Id",A36, "Mid",G36, "Name",D36,"DV01",N36,"MidYield",J36,"BidYield",I36,"AskYield",K36),"--")</f>
        <v>Not connected</v>
      </c>
      <c r="Z36" s="27" t="str">
        <f t="shared" si="18"/>
        <v>IT0004957855@rbsm Corp</v>
      </c>
      <c r="AA36" s="27">
        <f>_xll.BDP(Z36,"bid")</f>
        <v>98.694000000000003</v>
      </c>
      <c r="AB36" s="27">
        <f>_xll.BDP(Z36,"ask")</f>
        <v>99.338999999999999</v>
      </c>
      <c r="AC36" s="27">
        <f t="shared" si="19"/>
        <v>99.016500000000008</v>
      </c>
      <c r="AD36" s="114">
        <f t="shared" si="20"/>
        <v>0.52349999999999852</v>
      </c>
      <c r="AE36" s="27">
        <f t="shared" si="22"/>
        <v>0.85499999999999998</v>
      </c>
      <c r="AF36" s="152">
        <f t="shared" si="23"/>
        <v>4475.9249999999874</v>
      </c>
      <c r="AM36" s="27" t="s">
        <v>537</v>
      </c>
      <c r="AN36" s="27">
        <v>-3.5</v>
      </c>
    </row>
    <row r="37" spans="1:40" x14ac:dyDescent="0.2">
      <c r="A37" s="66" t="s">
        <v>39</v>
      </c>
      <c r="B37" s="83">
        <v>43770</v>
      </c>
      <c r="C37" s="131">
        <f>_xll.BDP(A37&amp;" Corp", "days to mty")</f>
        <v>1254</v>
      </c>
      <c r="D37" s="41" t="s">
        <v>352</v>
      </c>
      <c r="E37" s="41" t="s">
        <v>353</v>
      </c>
      <c r="F37" s="130">
        <v>99.47</v>
      </c>
      <c r="G37" s="130">
        <v>99.49</v>
      </c>
      <c r="H37" s="130">
        <f t="shared" si="1"/>
        <v>99.51</v>
      </c>
      <c r="I37" s="26">
        <f>ROUND(_xll.qlBondYieldFromCleanPrice(O37,F37,YieldDayCounter,YieldCompounding,YieldFrequency)*100,3)</f>
        <v>0.155</v>
      </c>
      <c r="J37" s="26">
        <f>ROUND(_xll.qlBondYieldFromCleanPrice(P37,G37,YieldDayCounter,YieldCompounding,YieldFrequency)*100,3)</f>
        <v>0.14899999999999999</v>
      </c>
      <c r="K37" s="26">
        <f>ROUND(_xll.qlBondYieldFromCleanPrice(Q37,H37,YieldDayCounter,YieldCompounding,YieldFrequency)*100,3)</f>
        <v>0.14299999999999999</v>
      </c>
      <c r="L37" s="114">
        <f>_xll.qlBondDurationFromYield(P37,J37,YieldDayCounter,YieldCompounding,YieldFrequency,L$2)</f>
        <v>2.9866788416632191</v>
      </c>
      <c r="M37" s="114">
        <f>_xll.qlBondConvexityFromYield(P37,J37/100,YieldDayCounter,YieldCompounding,YieldFrequency)</f>
        <v>15.16299822561265</v>
      </c>
      <c r="N37" s="115">
        <f>_xll.BDP(A37&amp;" Corp","risk mid")</f>
        <v>3.3933564229919</v>
      </c>
      <c r="O37" s="101" t="str">
        <f>_xll.qlZeroCouponBond(,,"EUR",3,"target",100,$B37,"f",100,,,Trigger)</f>
        <v>obj_008fd#0000</v>
      </c>
      <c r="P37" s="101" t="str">
        <f>_xll.qlZeroCouponBond(,,"EUR",3,"target",100,$B37,"f",100,,,Trigger)</f>
        <v>obj_009c1#0000</v>
      </c>
      <c r="Q37" s="101" t="str">
        <f>_xll.qlZeroCouponBond(,,"EUR",3,"target",100,$B37,"f",100,,,Trigger)</f>
        <v>obj_00904#0000</v>
      </c>
      <c r="R37" s="117">
        <f t="shared" si="12"/>
        <v>99.51</v>
      </c>
      <c r="S37" s="122">
        <f t="shared" ref="S37" si="43">R37</f>
        <v>99.51</v>
      </c>
      <c r="T37" s="138" t="str">
        <f>IF(UPPER(U$1)="ABCD",_xll.RtContribute($E$3,$E37,$R$3:$S$3,$R37:$S37,"SCOPE:SERVER"),"--")</f>
        <v>Success: Insert Ack on DTSIMI2 for STRIP.IT0001247243 at 10:36:50</v>
      </c>
      <c r="U37" s="142" t="str">
        <f t="shared" si="4"/>
        <v>OK</v>
      </c>
      <c r="V37" s="126" t="str">
        <f t="shared" si="42"/>
        <v>EUR.PRICING.XLS_STRIPS.IT0001247243</v>
      </c>
      <c r="W37" s="126" t="str">
        <f>IF(UPPER($X$1)="ABCD",_xll.MKV_PUBLISHRECORD(V37, "XLS_STRIPS"),"--")</f>
        <v>Not connected</v>
      </c>
      <c r="X37" s="127" t="str">
        <f>IF(UPPER(X$1)="ABCD",_xll.MKV_SUPPLYRECORD(V37, "Bid",F37, "Ask",H37, "Id",A37, "Mid",G37, "Name",D37,"DV01",N37,"MidYield",J37,"BidYield",I37,"AskYield",K37),"--")</f>
        <v>Not connected</v>
      </c>
      <c r="Z37" s="27" t="str">
        <f t="shared" si="18"/>
        <v>IT0001247243@rbsm Corp</v>
      </c>
      <c r="AA37" s="27">
        <f>_xll.BDP(Z37,"bid")</f>
        <v>98.837999999999994</v>
      </c>
      <c r="AB37" s="27">
        <f>_xll.BDP(Z37,"ask")</f>
        <v>99.313000000000002</v>
      </c>
      <c r="AC37" s="27">
        <f t="shared" si="19"/>
        <v>99.075500000000005</v>
      </c>
      <c r="AD37" s="114">
        <f t="shared" si="20"/>
        <v>0.41449999999998965</v>
      </c>
      <c r="AE37" s="27">
        <f t="shared" si="22"/>
        <v>0.90704370000000001</v>
      </c>
      <c r="AF37" s="152">
        <f t="shared" si="23"/>
        <v>3759.6961364999061</v>
      </c>
      <c r="AM37" s="27" t="s">
        <v>37</v>
      </c>
      <c r="AN37" s="27">
        <v>1.17875</v>
      </c>
    </row>
    <row r="38" spans="1:40" x14ac:dyDescent="0.2">
      <c r="A38" s="66" t="s">
        <v>354</v>
      </c>
      <c r="B38" s="83">
        <v>43862</v>
      </c>
      <c r="C38" s="131">
        <f>_xll.BDP(A38&amp;" Corp", "days to mty")</f>
        <v>1346</v>
      </c>
      <c r="D38" s="41" t="s">
        <v>355</v>
      </c>
      <c r="E38" s="41" t="s">
        <v>356</v>
      </c>
      <c r="F38" s="130">
        <v>99.28</v>
      </c>
      <c r="G38" s="130">
        <v>99.3</v>
      </c>
      <c r="H38" s="130">
        <f t="shared" si="1"/>
        <v>99.32</v>
      </c>
      <c r="I38" s="26">
        <f>ROUND(_xll.qlBondYieldFromCleanPrice(O38,F38,YieldDayCounter,YieldCompounding,YieldFrequency)*100,3)</f>
        <v>0.19600000000000001</v>
      </c>
      <c r="J38" s="26">
        <f>ROUND(_xll.qlBondYieldFromCleanPrice(P38,G38,YieldDayCounter,YieldCompounding,YieldFrequency)*100,3)</f>
        <v>0.191</v>
      </c>
      <c r="K38" s="26">
        <f>ROUND(_xll.qlBondYieldFromCleanPrice(Q38,H38,YieldDayCounter,YieldCompounding,YieldFrequency)*100,3)</f>
        <v>0.185</v>
      </c>
      <c r="L38" s="114">
        <f>_xll.qlBondDurationFromYield(P38,J38,YieldDayCounter,YieldCompounding,YieldFrequency,L$2)</f>
        <v>3.0969979766279883</v>
      </c>
      <c r="M38" s="114">
        <f>_xll.qlBondConvexityFromYield(P38,J38/100,YieldDayCounter,YieldCompounding,YieldFrequency)</f>
        <v>17.227864949327397</v>
      </c>
      <c r="N38" s="115">
        <f>_xll.BDP(A38&amp;" Corp","risk mid")</f>
        <v>3.656460631009395</v>
      </c>
      <c r="O38" s="101" t="str">
        <f>_xll.qlZeroCouponBond(,,"EUR",3,"target",100,$B38,"f",100,,,Trigger)</f>
        <v>obj_0092b#0000</v>
      </c>
      <c r="P38" s="101" t="str">
        <f>_xll.qlZeroCouponBond(,,"EUR",3,"target",100,$B38,"f",100,,,Trigger)</f>
        <v>obj_008ee#0000</v>
      </c>
      <c r="Q38" s="101" t="str">
        <f>_xll.qlZeroCouponBond(,,"EUR",3,"target",100,$B38,"f",100,,,Trigger)</f>
        <v>obj_009cc#0000</v>
      </c>
      <c r="R38" s="117">
        <f t="shared" si="12"/>
        <v>99.32</v>
      </c>
      <c r="S38" s="122">
        <f t="shared" ref="S38" si="44">R38</f>
        <v>99.32</v>
      </c>
      <c r="T38" s="138" t="str">
        <f>IF(UPPER(U$1)="ABCD",_xll.RtContribute($E$3,$E38,$R$3:$S$3,$R38:$S38,"SCOPE:SERVER"),"--")</f>
        <v>Success: Insert Ack on DTSIMI2 for STRIP.IT0004848617 at 10:31:47</v>
      </c>
      <c r="U38" s="142" t="str">
        <f t="shared" si="4"/>
        <v>OK</v>
      </c>
      <c r="V38" s="126" t="str">
        <f t="shared" si="42"/>
        <v>EUR.PRICING.XLS_STRIPS.IT0004848617</v>
      </c>
      <c r="W38" s="126" t="str">
        <f>IF(UPPER($X$1)="ABCD",_xll.MKV_PUBLISHRECORD(V38, "XLS_STRIPS"),"--")</f>
        <v>Not connected</v>
      </c>
      <c r="X38" s="127" t="str">
        <f>IF(UPPER(X$1)="ABCD",_xll.MKV_SUPPLYRECORD(V38, "Bid",F38, "Ask",H38, "Id",A38, "Mid",G38, "Name",D38,"DV01",N38,"MidYield",J38,"BidYield",I38,"AskYield",K38),"--")</f>
        <v>Not connected</v>
      </c>
      <c r="Z38" s="27" t="str">
        <f t="shared" si="18"/>
        <v>IT0004848617@rbsm Corp</v>
      </c>
      <c r="AA38" s="27">
        <f>_xll.BDP(Z38,"bid")</f>
        <v>99.177999999999997</v>
      </c>
      <c r="AB38" s="27">
        <f>_xll.BDP(Z38,"ask")</f>
        <v>99.361000000000004</v>
      </c>
      <c r="AC38" s="27">
        <f t="shared" si="19"/>
        <v>99.269499999999994</v>
      </c>
      <c r="AD38" s="114">
        <f t="shared" si="20"/>
        <v>3.0500000000003524E-2</v>
      </c>
      <c r="AE38" s="27">
        <f t="shared" si="22"/>
        <v>0.56999999999999995</v>
      </c>
      <c r="AF38" s="152">
        <f t="shared" si="23"/>
        <v>173.85000000002006</v>
      </c>
      <c r="AN38" s="27">
        <v>9.1432936999999992</v>
      </c>
    </row>
    <row r="39" spans="1:40" x14ac:dyDescent="0.2">
      <c r="A39" s="66" t="s">
        <v>146</v>
      </c>
      <c r="B39" s="83">
        <v>43891</v>
      </c>
      <c r="C39" s="131">
        <f>_xll.BDP(A39&amp;" Corp", "days to mty")</f>
        <v>1375</v>
      </c>
      <c r="D39" s="41" t="s">
        <v>147</v>
      </c>
      <c r="E39" s="41" t="s">
        <v>148</v>
      </c>
      <c r="F39" s="130">
        <v>99.22</v>
      </c>
      <c r="G39" s="130">
        <v>99.24</v>
      </c>
      <c r="H39" s="130">
        <f t="shared" si="1"/>
        <v>99.26</v>
      </c>
      <c r="I39" s="26">
        <f>ROUND(_xll.qlBondYieldFromCleanPrice(O39,F39,YieldDayCounter,YieldCompounding,YieldFrequency)*100,3)</f>
        <v>0.20799999999999999</v>
      </c>
      <c r="J39" s="26">
        <f>ROUND(_xll.qlBondYieldFromCleanPrice(P39,G39,YieldDayCounter,YieldCompounding,YieldFrequency)*100,3)</f>
        <v>0.20300000000000001</v>
      </c>
      <c r="K39" s="26">
        <f>ROUND(_xll.qlBondYieldFromCleanPrice(Q39,H39,YieldDayCounter,YieldCompounding,YieldFrequency)*100,3)</f>
        <v>0.19800000000000001</v>
      </c>
      <c r="L39" s="114">
        <f>_xll.qlBondDurationFromYield(P39,J39,YieldDayCounter,YieldCompounding,YieldFrequency,L$2)</f>
        <v>3.1291633928876434</v>
      </c>
      <c r="M39" s="114">
        <f>_xll.qlBondConvexityFromYield(P39,J39/100,YieldDayCounter,YieldCompounding,YieldFrequency)</f>
        <v>17.862372320148271</v>
      </c>
      <c r="N39" s="115">
        <f>_xll.BDP(A39&amp;" Corp","risk mid")</f>
        <v>3.6944235387601054</v>
      </c>
      <c r="O39" s="101" t="str">
        <f>_xll.qlZeroCouponBond(,,"EUR",3,"target",100,$B39,"f",100,,,Trigger)</f>
        <v>obj_00918#0000</v>
      </c>
      <c r="P39" s="101" t="str">
        <f>_xll.qlZeroCouponBond(,,"EUR",3,"target",100,$B39,"f",100,,,Trigger)</f>
        <v>obj_00880#0000</v>
      </c>
      <c r="Q39" s="101" t="str">
        <f>_xll.qlZeroCouponBond(,,"EUR",3,"target",100,$B39,"f",100,,,Trigger)</f>
        <v>obj_008e6#0000</v>
      </c>
      <c r="R39" s="117">
        <f t="shared" si="12"/>
        <v>99.26</v>
      </c>
      <c r="S39" s="122">
        <f t="shared" ref="S39" si="45">R39</f>
        <v>99.26</v>
      </c>
      <c r="T39" s="138" t="str">
        <f>IF(UPPER(U$1)="ABCD",_xll.RtContribute($E$3,$E39,$R$3:$S$3,$R39:$S39,"SCOPE:SERVER"),"--")</f>
        <v>Success: Insert Ack on DTSIMI2 for STRIP.IT0004957863 at 10:31:47</v>
      </c>
      <c r="U39" s="142" t="str">
        <f t="shared" si="4"/>
        <v>OK</v>
      </c>
      <c r="V39" s="126" t="str">
        <f t="shared" si="42"/>
        <v>EUR.PRICING.XLS_STRIPS.IT0004957863</v>
      </c>
      <c r="W39" s="126" t="str">
        <f>IF(UPPER($X$1)="ABCD",_xll.MKV_PUBLISHRECORD(V39, "XLS_STRIPS"),"--")</f>
        <v>Not connected</v>
      </c>
      <c r="X39" s="127" t="str">
        <f>IF(UPPER(X$1)="ABCD",_xll.MKV_SUPPLYRECORD(V39, "Bid",F39, "Ask",H39, "Id",A39, "Mid",G39, "Name",D39,"DV01",N39,"MidYield",J39,"BidYield",I39,"AskYield",K39),"--")</f>
        <v>Not connected</v>
      </c>
      <c r="Z39" s="27" t="str">
        <f t="shared" si="18"/>
        <v>IT0004957863@rbsm Corp</v>
      </c>
      <c r="AA39" s="27">
        <f>_xll.BDP(Z39,"bid")</f>
        <v>98.162999999999997</v>
      </c>
      <c r="AB39" s="27">
        <f>_xll.BDP(Z39,"ask")</f>
        <v>98.903000000000006</v>
      </c>
      <c r="AC39" s="27">
        <f t="shared" si="19"/>
        <v>98.533000000000001</v>
      </c>
      <c r="AD39" s="114">
        <f t="shared" si="20"/>
        <v>0.70699999999999363</v>
      </c>
      <c r="AE39" s="27">
        <f t="shared" si="22"/>
        <v>0.85499999999999998</v>
      </c>
      <c r="AF39" s="152">
        <f t="shared" si="23"/>
        <v>6044.8499999999449</v>
      </c>
      <c r="AM39" s="27" t="s">
        <v>143</v>
      </c>
      <c r="AN39" s="27">
        <v>0.85499999999999998</v>
      </c>
    </row>
    <row r="40" spans="1:40" x14ac:dyDescent="0.2">
      <c r="A40" s="66" t="s">
        <v>40</v>
      </c>
      <c r="B40" s="83">
        <v>43952</v>
      </c>
      <c r="C40" s="131">
        <f>_xll.BDP(A40&amp;" Corp", "days to mty")</f>
        <v>1436</v>
      </c>
      <c r="D40" s="41" t="s">
        <v>357</v>
      </c>
      <c r="E40" s="41" t="s">
        <v>358</v>
      </c>
      <c r="F40" s="130">
        <v>99.04</v>
      </c>
      <c r="G40" s="130">
        <v>99.06</v>
      </c>
      <c r="H40" s="130">
        <f t="shared" si="1"/>
        <v>99.08</v>
      </c>
      <c r="I40" s="26">
        <f>ROUND(_xll.qlBondYieldFromCleanPrice(O40,F40,YieldDayCounter,YieldCompounding,YieldFrequency)*100,3)</f>
        <v>0.245</v>
      </c>
      <c r="J40" s="26">
        <f>ROUND(_xll.qlBondYieldFromCleanPrice(P40,G40,YieldDayCounter,YieldCompounding,YieldFrequency)*100,3)</f>
        <v>0.24</v>
      </c>
      <c r="K40" s="26">
        <f>ROUND(_xll.qlBondYieldFromCleanPrice(Q40,H40,YieldDayCounter,YieldCompounding,YieldFrequency)*100,3)</f>
        <v>0.23499999999999999</v>
      </c>
      <c r="L40" s="114">
        <f>_xll.qlBondDurationFromYield(P40,J40,YieldDayCounter,YieldCompounding,YieldFrequency,L$2)</f>
        <v>3.1749889527176309</v>
      </c>
      <c r="M40" s="114">
        <f>_xll.qlBondConvexityFromYield(P40,J40/100,YieldDayCounter,YieldCompounding,YieldFrequency)</f>
        <v>19.343885367997711</v>
      </c>
      <c r="N40" s="115">
        <f>_xll.BDP(A40&amp;" Corp","risk mid")</f>
        <v>3.8720393042133594</v>
      </c>
      <c r="O40" s="101" t="str">
        <f>_xll.qlZeroCouponBond(,,"EUR",3,"target",100,$B40,"f",100,,,Trigger)</f>
        <v>obj_009a0#0000</v>
      </c>
      <c r="P40" s="101" t="str">
        <f>_xll.qlZeroCouponBond(,,"EUR",3,"target",100,$B40,"f",100,,,Trigger)</f>
        <v>obj_009a9#0000</v>
      </c>
      <c r="Q40" s="101" t="str">
        <f>_xll.qlZeroCouponBond(,,"EUR",3,"target",100,$B40,"f",100,,,Trigger)</f>
        <v>obj_008dd#0000</v>
      </c>
      <c r="R40" s="117">
        <f t="shared" si="12"/>
        <v>99.08</v>
      </c>
      <c r="S40" s="122">
        <f t="shared" ref="S40" si="46">R40</f>
        <v>99.08</v>
      </c>
      <c r="T40" s="138" t="str">
        <f>IF(UPPER(U$1)="ABCD",_xll.RtContribute($E$3,$E40,$R$3:$S$3,$R40:$S40,"SCOPE:SERVER"),"--")</f>
        <v>Success: Insert Ack on DTSIMI2 for STRIP.IT0001247250 at 10:31:47</v>
      </c>
      <c r="U40" s="142" t="str">
        <f t="shared" si="4"/>
        <v>OK</v>
      </c>
      <c r="V40" s="126" t="str">
        <f t="shared" si="42"/>
        <v>EUR.PRICING.XLS_STRIPS.IT0001247250</v>
      </c>
      <c r="W40" s="126" t="str">
        <f>IF(UPPER($X$1)="ABCD",_xll.MKV_PUBLISHRECORD(V40, "XLS_STRIPS"),"--")</f>
        <v>Not connected</v>
      </c>
      <c r="X40" s="127" t="str">
        <f>IF(UPPER(X$1)="ABCD",_xll.MKV_SUPPLYRECORD(V40, "Bid",F40, "Ask",H40, "Id",A40, "Mid",G40, "Name",D40,"DV01",N40,"MidYield",J40,"BidYield",I40,"AskYield",K40),"--")</f>
        <v>Not connected</v>
      </c>
      <c r="Z40" s="27" t="str">
        <f t="shared" si="18"/>
        <v>IT0001247250@rbsm Corp</v>
      </c>
      <c r="AA40" s="27">
        <f>_xll.BDP(Z40,"bid")</f>
        <v>98.25</v>
      </c>
      <c r="AB40" s="27">
        <f>_xll.BDP(Z40,"ask")</f>
        <v>98.792000000000002</v>
      </c>
      <c r="AC40" s="27">
        <f t="shared" si="19"/>
        <v>98.521000000000001</v>
      </c>
      <c r="AD40" s="114">
        <f t="shared" si="20"/>
        <v>0.53900000000000148</v>
      </c>
      <c r="AE40" s="27">
        <f t="shared" si="22"/>
        <v>8.96875</v>
      </c>
      <c r="AF40" s="152">
        <f t="shared" si="23"/>
        <v>48341.562500000138</v>
      </c>
      <c r="AM40" s="27" t="s">
        <v>39</v>
      </c>
      <c r="AN40" s="27">
        <v>0.90704370000000001</v>
      </c>
    </row>
    <row r="41" spans="1:40" x14ac:dyDescent="0.2">
      <c r="A41" s="66" t="s">
        <v>41</v>
      </c>
      <c r="B41" s="83">
        <v>44044</v>
      </c>
      <c r="C41" s="131">
        <f>_xll.BDP(A41&amp;" Corp", "days to mty")</f>
        <v>1528</v>
      </c>
      <c r="D41" s="41" t="s">
        <v>359</v>
      </c>
      <c r="E41" s="41" t="s">
        <v>360</v>
      </c>
      <c r="F41" s="130">
        <v>98.7</v>
      </c>
      <c r="G41" s="130">
        <v>98.72</v>
      </c>
      <c r="H41" s="130">
        <f t="shared" si="1"/>
        <v>98.74</v>
      </c>
      <c r="I41" s="26">
        <f>ROUND(_xll.qlBondYieldFromCleanPrice(O41,F41,YieldDayCounter,YieldCompounding,YieldFrequency)*100,3)</f>
        <v>0.313</v>
      </c>
      <c r="J41" s="26">
        <f>ROUND(_xll.qlBondYieldFromCleanPrice(P41,G41,YieldDayCounter,YieldCompounding,YieldFrequency)*100,3)</f>
        <v>0.308</v>
      </c>
      <c r="K41" s="26">
        <f>ROUND(_xll.qlBondYieldFromCleanPrice(Q41,H41,YieldDayCounter,YieldCompounding,YieldFrequency)*100,3)</f>
        <v>0.30299999999999999</v>
      </c>
      <c r="L41" s="114">
        <f>_xll.qlBondDurationFromYield(P41,J41,YieldDayCounter,YieldCompounding,YieldFrequency,L$2)</f>
        <v>3.2001470563660366</v>
      </c>
      <c r="M41" s="114">
        <f>_xll.qlBondConvexityFromYield(P41,J41/100,YieldDayCounter,YieldCompounding,YieldFrequency)</f>
        <v>21.573552207812192</v>
      </c>
      <c r="N41" s="115">
        <f>_xll.BDP(A41&amp;" Corp","risk mid")</f>
        <v>4.1024153425226473</v>
      </c>
      <c r="O41" s="101" t="str">
        <f>_xll.qlZeroCouponBond(,,"EUR",3,"target",100,$B41,"f",100,,,Trigger)</f>
        <v>obj_008c4#0000</v>
      </c>
      <c r="P41" s="101" t="str">
        <f>_xll.qlZeroCouponBond(,,"EUR",3,"target",100,$B41,"f",100,,,Trigger)</f>
        <v>obj_008f7#0000</v>
      </c>
      <c r="Q41" s="101" t="str">
        <f>_xll.qlZeroCouponBond(,,"EUR",3,"target",100,$B41,"f",100,,,Trigger)</f>
        <v>obj_0093c#0000</v>
      </c>
      <c r="R41" s="117">
        <f t="shared" si="12"/>
        <v>98.74</v>
      </c>
      <c r="S41" s="122">
        <f t="shared" ref="S41" si="47">R41</f>
        <v>98.74</v>
      </c>
      <c r="T41" s="138" t="str">
        <f>IF(UPPER(U$1)="ABCD",_xll.RtContribute($E$3,$E41,$R$3:$S$3,$R41:$S41,"SCOPE:SERVER"),"--")</f>
        <v>Success: Insert Ack on DTSIMI2 for STRIP.IT0003268635 at 10:34:54</v>
      </c>
      <c r="U41" s="142" t="str">
        <f t="shared" si="4"/>
        <v>OK</v>
      </c>
      <c r="V41" s="126" t="str">
        <f t="shared" si="42"/>
        <v>EUR.PRICING.XLS_STRIPS.IT0003268635</v>
      </c>
      <c r="W41" s="126" t="str">
        <f>IF(UPPER($X$1)="ABCD",_xll.MKV_PUBLISHRECORD(V41, "XLS_STRIPS"),"--")</f>
        <v>Not connected</v>
      </c>
      <c r="X41" s="127" t="str">
        <f>IF(UPPER(X$1)="ABCD",_xll.MKV_SUPPLYRECORD(V41, "Bid",F41, "Ask",H41, "Id",A41, "Mid",G41, "Name",D41,"DV01",N41,"MidYield",J41,"BidYield",I41,"AskYield",K41),"--")</f>
        <v>Not connected</v>
      </c>
      <c r="Z41" s="27" t="str">
        <f t="shared" si="18"/>
        <v>IT0003268635@rbsm Corp</v>
      </c>
      <c r="AA41" s="27">
        <f>_xll.BDP(Z41,"bid")</f>
        <v>97.736000000000004</v>
      </c>
      <c r="AB41" s="27">
        <f>_xll.BDP(Z41,"ask")</f>
        <v>98.391000000000005</v>
      </c>
      <c r="AC41" s="27">
        <f t="shared" si="19"/>
        <v>98.063500000000005</v>
      </c>
      <c r="AD41" s="114">
        <f t="shared" si="20"/>
        <v>0.65649999999999409</v>
      </c>
      <c r="AE41" s="27" t="str">
        <f t="shared" si="22"/>
        <v>0</v>
      </c>
      <c r="AF41" s="152">
        <f t="shared" si="23"/>
        <v>0</v>
      </c>
      <c r="AM41" s="27" t="s">
        <v>354</v>
      </c>
      <c r="AN41" s="27">
        <v>0.56999999999999995</v>
      </c>
    </row>
    <row r="42" spans="1:40" x14ac:dyDescent="0.2">
      <c r="A42" s="66" t="s">
        <v>149</v>
      </c>
      <c r="B42" s="83">
        <v>44075</v>
      </c>
      <c r="C42" s="131">
        <f>_xll.BDP(A42&amp;" Corp", "days to mty")</f>
        <v>1559</v>
      </c>
      <c r="D42" s="41" t="s">
        <v>150</v>
      </c>
      <c r="E42" s="41" t="s">
        <v>151</v>
      </c>
      <c r="F42" s="130">
        <v>98.59</v>
      </c>
      <c r="G42" s="130">
        <v>98.61</v>
      </c>
      <c r="H42" s="130">
        <f t="shared" si="1"/>
        <v>98.63</v>
      </c>
      <c r="I42" s="26">
        <f>ROUND(_xll.qlBondYieldFromCleanPrice(O42,F42,YieldDayCounter,YieldCompounding,YieldFrequency)*100,3)</f>
        <v>0.33400000000000002</v>
      </c>
      <c r="J42" s="26">
        <f>ROUND(_xll.qlBondYieldFromCleanPrice(P42,G42,YieldDayCounter,YieldCompounding,YieldFrequency)*100,3)</f>
        <v>0.32900000000000001</v>
      </c>
      <c r="K42" s="26">
        <f>ROUND(_xll.qlBondYieldFromCleanPrice(Q42,H42,YieldDayCounter,YieldCompounding,YieldFrequency)*100,3)</f>
        <v>0.32400000000000001</v>
      </c>
      <c r="L42" s="114">
        <f>_xll.qlBondDurationFromYield(P42,J42,YieldDayCounter,YieldCompounding,YieldFrequency,L$2)</f>
        <v>3.2092003930807911</v>
      </c>
      <c r="M42" s="114">
        <f>_xll.qlBondConvexityFromYield(P42,J42/100,YieldDayCounter,YieldCompounding,YieldFrequency)</f>
        <v>22.308454285124029</v>
      </c>
      <c r="N42" s="115">
        <f>_xll.BDP(A42&amp;" Corp","risk mid")</f>
        <v>4.1689853121766873</v>
      </c>
      <c r="O42" s="101" t="str">
        <f>_xll.qlZeroCouponBond(,,"EUR",3,"target",100,$B42,"f",100,,,Trigger)</f>
        <v>obj_00910#0000</v>
      </c>
      <c r="P42" s="101" t="str">
        <f>_xll.qlZeroCouponBond(,,"EUR",3,"target",100,$B42,"f",100,,,Trigger)</f>
        <v>obj_0090d#0000</v>
      </c>
      <c r="Q42" s="101" t="str">
        <f>_xll.qlZeroCouponBond(,,"EUR",3,"target",100,$B42,"f",100,,,Trigger)</f>
        <v>obj_009ed#0000</v>
      </c>
      <c r="R42" s="117">
        <f t="shared" si="12"/>
        <v>98.63</v>
      </c>
      <c r="S42" s="122">
        <f t="shared" ref="S42" si="48">R42</f>
        <v>98.63</v>
      </c>
      <c r="T42" s="138" t="str">
        <f>IF(UPPER(U$1)="ABCD",_xll.RtContribute($E$3,$E42,$R$3:$S$3,$R42:$S42,"SCOPE:SERVER"),"--")</f>
        <v>Success: Insert Ack on DTSIMI2 for STRIP.IT0004957871 at 10:34:54</v>
      </c>
      <c r="U42" s="142" t="str">
        <f t="shared" si="4"/>
        <v>OK</v>
      </c>
      <c r="V42" s="126" t="str">
        <f t="shared" si="42"/>
        <v>EUR.PRICING.XLS_STRIPS.IT0004957871</v>
      </c>
      <c r="W42" s="126" t="str">
        <f>IF(UPPER($X$1)="ABCD",_xll.MKV_PUBLISHRECORD(V42, "XLS_STRIPS"),"--")</f>
        <v>Not connected</v>
      </c>
      <c r="X42" s="127" t="str">
        <f>IF(UPPER(X$1)="ABCD",_xll.MKV_SUPPLYRECORD(V42, "Bid",F42, "Ask",H42, "Id",A42, "Mid",G42, "Name",D42,"DV01",N42,"MidYield",J42,"BidYield",I42,"AskYield",K42),"--")</f>
        <v>Not connected</v>
      </c>
      <c r="Z42" s="27" t="str">
        <f t="shared" si="18"/>
        <v>IT0004957871@rbsm Corp</v>
      </c>
      <c r="AA42" s="27">
        <f>_xll.BDP(Z42,"bid")</f>
        <v>97.435000000000002</v>
      </c>
      <c r="AB42" s="27">
        <f>_xll.BDP(Z42,"ask")</f>
        <v>98.265000000000001</v>
      </c>
      <c r="AC42" s="27">
        <f t="shared" si="19"/>
        <v>97.85</v>
      </c>
      <c r="AD42" s="114">
        <f t="shared" si="20"/>
        <v>0.76000000000000512</v>
      </c>
      <c r="AE42" s="27">
        <f t="shared" si="22"/>
        <v>0.85499999999999998</v>
      </c>
      <c r="AF42" s="152">
        <f t="shared" si="23"/>
        <v>6498.0000000000437</v>
      </c>
      <c r="AM42" s="27" t="s">
        <v>538</v>
      </c>
      <c r="AN42" s="27">
        <v>-8.1999999999999993</v>
      </c>
    </row>
    <row r="43" spans="1:40" x14ac:dyDescent="0.2">
      <c r="A43" s="66" t="s">
        <v>42</v>
      </c>
      <c r="B43" s="83">
        <v>44136</v>
      </c>
      <c r="C43" s="131">
        <f>_xll.BDP(A43&amp;" Corp", "days to mty")</f>
        <v>1620</v>
      </c>
      <c r="D43" s="41" t="s">
        <v>361</v>
      </c>
      <c r="E43" s="41" t="s">
        <v>362</v>
      </c>
      <c r="F43" s="130">
        <v>98.39</v>
      </c>
      <c r="G43" s="130">
        <v>98.41</v>
      </c>
      <c r="H43" s="130">
        <f t="shared" si="1"/>
        <v>98.43</v>
      </c>
      <c r="I43" s="26">
        <f>ROUND(_xll.qlBondYieldFromCleanPrice(O43,F43,YieldDayCounter,YieldCompounding,YieldFrequency)*100,3)</f>
        <v>0.36699999999999999</v>
      </c>
      <c r="J43" s="26">
        <f>ROUND(_xll.qlBondYieldFromCleanPrice(P43,G43,YieldDayCounter,YieldCompounding,YieldFrequency)*100,3)</f>
        <v>0.36199999999999999</v>
      </c>
      <c r="K43" s="26">
        <f>ROUND(_xll.qlBondYieldFromCleanPrice(Q43,H43,YieldDayCounter,YieldCompounding,YieldFrequency)*100,3)</f>
        <v>0.35699999999999998</v>
      </c>
      <c r="L43" s="114">
        <f>_xll.qlBondDurationFromYield(P43,J43,YieldDayCounter,YieldCompounding,YieldFrequency,L$2)</f>
        <v>3.2558195517681328</v>
      </c>
      <c r="M43" s="114">
        <f>_xll.qlBondConvexityFromYield(P43,J43/100,YieldDayCounter,YieldCompounding,YieldFrequency)</f>
        <v>23.925031463480572</v>
      </c>
      <c r="N43" s="115">
        <f>_xll.BDP(A43&amp;" Corp","risk mid")</f>
        <v>4.3245653845957577</v>
      </c>
      <c r="O43" s="101" t="str">
        <f>_xll.qlZeroCouponBond(,,"EUR",3,"target",100,$B43,"f",100,,,Trigger)</f>
        <v>obj_008e2#0000</v>
      </c>
      <c r="P43" s="101" t="str">
        <f>_xll.qlZeroCouponBond(,,"EUR",3,"target",100,$B43,"f",100,,,Trigger)</f>
        <v>obj_009ce#0000</v>
      </c>
      <c r="Q43" s="101" t="str">
        <f>_xll.qlZeroCouponBond(,,"EUR",3,"target",100,$B43,"f",100,,,Trigger)</f>
        <v>obj_0087f#0000</v>
      </c>
      <c r="R43" s="117">
        <f t="shared" si="12"/>
        <v>98.43</v>
      </c>
      <c r="S43" s="122">
        <f t="shared" ref="S43" si="49">R43</f>
        <v>98.43</v>
      </c>
      <c r="T43" s="138" t="str">
        <f>IF(UPPER(U$1)="ABCD",_xll.RtContribute($E$3,$E43,$R$3:$S$3,$R43:$S43,"SCOPE:SERVER"),"--")</f>
        <v>Success: Insert Ack on DTSIMI2 for STRIP.IT0001247268 at 10:34:54</v>
      </c>
      <c r="U43" s="142" t="str">
        <f t="shared" si="4"/>
        <v>OK</v>
      </c>
      <c r="V43" s="126" t="str">
        <f t="shared" si="42"/>
        <v>EUR.PRICING.XLS_STRIPS.IT0001247268</v>
      </c>
      <c r="W43" s="126" t="str">
        <f>IF(UPPER($X$1)="ABCD",_xll.MKV_PUBLISHRECORD(V43, "XLS_STRIPS"),"--")</f>
        <v>Not connected</v>
      </c>
      <c r="X43" s="127" t="str">
        <f>IF(UPPER(X$1)="ABCD",_xll.MKV_SUPPLYRECORD(V43, "Bid",F43, "Ask",H43, "Id",A43, "Mid",G43, "Name",D43,"DV01",N43,"MidYield",J43,"BidYield",I43,"AskYield",K43),"--")</f>
        <v>Not connected</v>
      </c>
      <c r="Z43" s="27" t="str">
        <f t="shared" si="18"/>
        <v>IT0001247268@rbsm Corp</v>
      </c>
      <c r="AA43" s="27">
        <f>_xll.BDP(Z43,"bid")</f>
        <v>97.558000000000007</v>
      </c>
      <c r="AB43" s="27">
        <f>_xll.BDP(Z43,"ask")</f>
        <v>97.99</v>
      </c>
      <c r="AC43" s="27">
        <f t="shared" si="19"/>
        <v>97.774000000000001</v>
      </c>
      <c r="AD43" s="114">
        <f t="shared" si="20"/>
        <v>0.63599999999999568</v>
      </c>
      <c r="AE43" s="27">
        <f t="shared" si="22"/>
        <v>0.96875</v>
      </c>
      <c r="AF43" s="152">
        <f t="shared" si="23"/>
        <v>6161.2499999999582</v>
      </c>
      <c r="AM43" s="27" t="s">
        <v>146</v>
      </c>
      <c r="AN43" s="27">
        <v>0.85499999999999998</v>
      </c>
    </row>
    <row r="44" spans="1:40" x14ac:dyDescent="0.2">
      <c r="A44" s="66" t="s">
        <v>43</v>
      </c>
      <c r="B44" s="83">
        <v>44228</v>
      </c>
      <c r="C44" s="131">
        <f>_xll.BDP(A44&amp;" Corp", "days to mty")</f>
        <v>1712</v>
      </c>
      <c r="D44" s="41" t="s">
        <v>363</v>
      </c>
      <c r="E44" s="41" t="s">
        <v>364</v>
      </c>
      <c r="F44" s="130">
        <v>98.02</v>
      </c>
      <c r="G44" s="130">
        <v>98.05</v>
      </c>
      <c r="H44" s="130">
        <f t="shared" si="1"/>
        <v>98.08</v>
      </c>
      <c r="I44" s="26">
        <f>ROUND(_xll.qlBondYieldFromCleanPrice(O44,F44,YieldDayCounter,YieldCompounding,YieldFrequency)*100,3)</f>
        <v>0.42799999999999999</v>
      </c>
      <c r="J44" s="26">
        <f>ROUND(_xll.qlBondYieldFromCleanPrice(P44,G44,YieldDayCounter,YieldCompounding,YieldFrequency)*100,3)</f>
        <v>0.42099999999999999</v>
      </c>
      <c r="K44" s="26">
        <f>ROUND(_xll.qlBondYieldFromCleanPrice(Q44,H44,YieldDayCounter,YieldCompounding,YieldFrequency)*100,3)</f>
        <v>0.41499999999999998</v>
      </c>
      <c r="L44" s="114">
        <f>_xll.qlBondDurationFromYield(P44,J44,YieldDayCounter,YieldCompounding,YieldFrequency,L$2)</f>
        <v>3.2956088031594777</v>
      </c>
      <c r="M44" s="114">
        <f>_xll.qlBondConvexityFromYield(P44,J44/100,YieldDayCounter,YieldCompounding,YieldFrequency)</f>
        <v>26.391428504186109</v>
      </c>
      <c r="N44" s="115">
        <f>_xll.BDP(A44&amp;" Corp","risk mid")</f>
        <v>4.5471238633957967</v>
      </c>
      <c r="O44" s="101" t="str">
        <f>_xll.qlZeroCouponBond(,,"EUR",3,"target",100,$B44,"f",100,,,Trigger)</f>
        <v>obj_0087e#0000</v>
      </c>
      <c r="P44" s="101" t="str">
        <f>_xll.qlZeroCouponBond(,,"EUR",3,"target",100,$B44,"f",100,,,Trigger)</f>
        <v>obj_008de#0000</v>
      </c>
      <c r="Q44" s="101" t="str">
        <f>_xll.qlZeroCouponBond(,,"EUR",3,"target",100,$B44,"f",100,,,Trigger)</f>
        <v>obj_00854#0000</v>
      </c>
      <c r="R44" s="117">
        <f t="shared" si="12"/>
        <v>98.08</v>
      </c>
      <c r="S44" s="122">
        <f t="shared" ref="S44" si="50">R44</f>
        <v>98.08</v>
      </c>
      <c r="T44" s="138" t="str">
        <f>IF(UPPER(U$1)="ABCD",_xll.RtContribute($E$3,$E44,$R$3:$S$3,$R44:$S44,"SCOPE:SERVER"),"--")</f>
        <v>Success: Insert Ack on DTSIMI2 for STRIP.IT0003268676 at 10:34:54</v>
      </c>
      <c r="U44" s="142" t="str">
        <f t="shared" si="4"/>
        <v>OK</v>
      </c>
      <c r="V44" s="126" t="str">
        <f t="shared" si="42"/>
        <v>EUR.PRICING.XLS_STRIPS.IT0003268676</v>
      </c>
      <c r="W44" s="126" t="str">
        <f>IF(UPPER($X$1)="ABCD",_xll.MKV_PUBLISHRECORD(V44, "XLS_STRIPS"),"--")</f>
        <v>Not connected</v>
      </c>
      <c r="X44" s="127" t="str">
        <f>IF(UPPER(X$1)="ABCD",_xll.MKV_SUPPLYRECORD(V44, "Bid",F44, "Ask",H44, "Id",A44, "Mid",G44, "Name",D44,"DV01",N44,"MidYield",J44,"BidYield",I44,"AskYield",K44),"--")</f>
        <v>Not connected</v>
      </c>
      <c r="Z44" s="27" t="str">
        <f t="shared" si="18"/>
        <v>IT0003268676@rbsm Corp</v>
      </c>
      <c r="AA44" s="27">
        <f>_xll.BDP(Z44,"bid")</f>
        <v>96.951999999999998</v>
      </c>
      <c r="AB44" s="27">
        <f>_xll.BDP(Z44,"ask")</f>
        <v>97.86</v>
      </c>
      <c r="AC44" s="27">
        <f t="shared" si="19"/>
        <v>97.406000000000006</v>
      </c>
      <c r="AD44" s="114">
        <f t="shared" si="20"/>
        <v>0.64399999999999125</v>
      </c>
      <c r="AE44" s="27" t="str">
        <f t="shared" si="22"/>
        <v>0</v>
      </c>
      <c r="AF44" s="152">
        <f t="shared" si="23"/>
        <v>0</v>
      </c>
      <c r="AM44" s="27" t="s">
        <v>40</v>
      </c>
      <c r="AN44" s="27">
        <v>8.96875</v>
      </c>
    </row>
    <row r="45" spans="1:40" x14ac:dyDescent="0.2">
      <c r="A45" s="66" t="s">
        <v>152</v>
      </c>
      <c r="B45" s="83">
        <v>44256</v>
      </c>
      <c r="C45" s="131">
        <f>_xll.BDP(A45&amp;" Corp", "days to mty")</f>
        <v>1740</v>
      </c>
      <c r="D45" s="41" t="s">
        <v>153</v>
      </c>
      <c r="E45" s="41" t="s">
        <v>154</v>
      </c>
      <c r="F45" s="130">
        <v>97.88</v>
      </c>
      <c r="G45" s="130">
        <v>97.9</v>
      </c>
      <c r="H45" s="130">
        <f t="shared" si="1"/>
        <v>97.92</v>
      </c>
      <c r="I45" s="26">
        <f>ROUND(_xll.qlBondYieldFromCleanPrice(O45,F45,YieldDayCounter,YieldCompounding,YieldFrequency)*100,3)</f>
        <v>0.45100000000000001</v>
      </c>
      <c r="J45" s="26">
        <f>ROUND(_xll.qlBondYieldFromCleanPrice(P45,G45,YieldDayCounter,YieldCompounding,YieldFrequency)*100,3)</f>
        <v>0.44700000000000001</v>
      </c>
      <c r="K45" s="26">
        <f>ROUND(_xll.qlBondYieldFromCleanPrice(Q45,H45,YieldDayCounter,YieldCompounding,YieldFrequency)*100,3)</f>
        <v>0.442</v>
      </c>
      <c r="L45" s="114">
        <f>_xll.qlBondDurationFromYield(P45,J45,YieldDayCounter,YieldCompounding,YieldFrequency,L$2)</f>
        <v>3.2907006465904898</v>
      </c>
      <c r="M45" s="114">
        <f>_xll.qlBondConvexityFromYield(P45,J45/100,YieldDayCounter,YieldCompounding,YieldFrequency)</f>
        <v>27.19126265881064</v>
      </c>
      <c r="N45" s="115">
        <f>_xll.BDP(A45&amp;" Corp","risk mid")</f>
        <v>4.6141833734324678</v>
      </c>
      <c r="O45" s="101" t="str">
        <f>_xll.qlZeroCouponBond(,,"EUR",3,"target",100,$B45,"f",100,,,Trigger)</f>
        <v>obj_008a6#0000</v>
      </c>
      <c r="P45" s="101" t="str">
        <f>_xll.qlZeroCouponBond(,,"EUR",3,"target",100,$B45,"f",100,,,Trigger)</f>
        <v>obj_009d5#0000</v>
      </c>
      <c r="Q45" s="101" t="str">
        <f>_xll.qlZeroCouponBond(,,"EUR",3,"target",100,$B45,"f",100,,,Trigger)</f>
        <v>obj_0085d#0000</v>
      </c>
      <c r="R45" s="117">
        <f t="shared" si="12"/>
        <v>97.92</v>
      </c>
      <c r="S45" s="122">
        <f t="shared" ref="S45" si="51">R45</f>
        <v>97.92</v>
      </c>
      <c r="T45" s="138" t="str">
        <f>IF(UPPER(U$1)="ABCD",_xll.RtContribute($E$3,$E45,$R$3:$S$3,$R45:$S45,"SCOPE:SERVER"),"--")</f>
        <v>Success: Insert Ack on DTSIMI2 for STRIP.IT0004957889 at 10:34:54</v>
      </c>
      <c r="U45" s="142" t="str">
        <f t="shared" si="4"/>
        <v>OK</v>
      </c>
      <c r="V45" s="126" t="str">
        <f t="shared" si="42"/>
        <v>EUR.PRICING.XLS_STRIPS.IT0004957889</v>
      </c>
      <c r="W45" s="126" t="str">
        <f>IF(UPPER($X$1)="ABCD",_xll.MKV_PUBLISHRECORD(V45, "XLS_STRIPS"),"--")</f>
        <v>Not connected</v>
      </c>
      <c r="X45" s="127" t="str">
        <f>IF(UPPER(X$1)="ABCD",_xll.MKV_SUPPLYRECORD(V45, "Bid",F45, "Ask",H45, "Id",A45, "Mid",G45, "Name",D45,"DV01",N45,"MidYield",J45,"BidYield",I45,"AskYield",K45),"--")</f>
        <v>Not connected</v>
      </c>
      <c r="Z45" s="27" t="str">
        <f t="shared" si="18"/>
        <v>IT0004957889@rbsm Corp</v>
      </c>
      <c r="AA45" s="27">
        <f>_xll.BDP(Z45,"bid")</f>
        <v>96.611000000000004</v>
      </c>
      <c r="AB45" s="27">
        <f>_xll.BDP(Z45,"ask")</f>
        <v>97.53</v>
      </c>
      <c r="AC45" s="27">
        <f t="shared" si="19"/>
        <v>97.07050000000001</v>
      </c>
      <c r="AD45" s="114">
        <f t="shared" si="20"/>
        <v>0.82949999999999591</v>
      </c>
      <c r="AE45" s="27">
        <f t="shared" si="22"/>
        <v>0.85499999999999998</v>
      </c>
      <c r="AF45" s="152">
        <f t="shared" si="23"/>
        <v>7092.2249999999658</v>
      </c>
      <c r="AM45" s="27" t="s">
        <v>149</v>
      </c>
      <c r="AN45" s="27">
        <v>0.85499999999999998</v>
      </c>
    </row>
    <row r="46" spans="1:40" x14ac:dyDescent="0.2">
      <c r="A46" s="66" t="s">
        <v>44</v>
      </c>
      <c r="B46" s="83">
        <v>44317</v>
      </c>
      <c r="C46" s="131">
        <f>_xll.BDP(A46&amp;" Corp", "days to mty")</f>
        <v>1801</v>
      </c>
      <c r="D46" s="41" t="s">
        <v>365</v>
      </c>
      <c r="E46" s="41" t="s">
        <v>366</v>
      </c>
      <c r="F46" s="130">
        <v>97.53</v>
      </c>
      <c r="G46" s="130">
        <v>97.55</v>
      </c>
      <c r="H46" s="130">
        <f t="shared" si="1"/>
        <v>97.57</v>
      </c>
      <c r="I46" s="26">
        <f>ROUND(_xll.qlBondYieldFromCleanPrice(O46,F46,YieldDayCounter,YieldCompounding,YieldFrequency)*100,3)</f>
        <v>0.50800000000000001</v>
      </c>
      <c r="J46" s="26">
        <f>ROUND(_xll.qlBondYieldFromCleanPrice(P46,G46,YieldDayCounter,YieldCompounding,YieldFrequency)*100,3)</f>
        <v>0.504</v>
      </c>
      <c r="K46" s="26">
        <f>ROUND(_xll.qlBondYieldFromCleanPrice(Q46,H46,YieldDayCounter,YieldCompounding,YieldFrequency)*100,3)</f>
        <v>0.5</v>
      </c>
      <c r="L46" s="114">
        <f>_xll.qlBondDurationFromYield(P46,J46,YieldDayCounter,YieldCompounding,YieldFrequency,L$2)</f>
        <v>3.2807490527542993</v>
      </c>
      <c r="M46" s="114">
        <f>_xll.qlBondConvexityFromYield(P46,J46/100,YieldDayCounter,YieldCompounding,YieldFrequency)</f>
        <v>28.988099455007728</v>
      </c>
      <c r="N46" s="115">
        <f>_xll.BDP(A46&amp;" Corp","risk mid")</f>
        <v>4.7691573455701075</v>
      </c>
      <c r="O46" s="101" t="str">
        <f>_xll.qlZeroCouponBond(,,"EUR",3,"target",100,$B46,"f",100,,,Trigger)</f>
        <v>obj_009d0#0000</v>
      </c>
      <c r="P46" s="101" t="str">
        <f>_xll.qlZeroCouponBond(,,"EUR",3,"target",100,$B46,"f",100,,,Trigger)</f>
        <v>obj_008d0#0000</v>
      </c>
      <c r="Q46" s="101" t="str">
        <f>_xll.qlZeroCouponBond(,,"EUR",3,"target",100,$B46,"f",100,,,Trigger)</f>
        <v>obj_00923#0000</v>
      </c>
      <c r="R46" s="117">
        <f t="shared" si="12"/>
        <v>97.57</v>
      </c>
      <c r="S46" s="122">
        <f t="shared" ref="S46" si="52">R46</f>
        <v>97.57</v>
      </c>
      <c r="T46" s="138" t="str">
        <f>IF(UPPER(U$1)="ABCD",_xll.RtContribute($E$3,$E46,$R$3:$S$3,$R46:$S46,"SCOPE:SERVER"),"--")</f>
        <v>Success: Insert Ack on DTSIMI2 for STRIP.IT0001247276 at 10:34:46</v>
      </c>
      <c r="U46" s="142" t="str">
        <f t="shared" si="4"/>
        <v>OK</v>
      </c>
      <c r="V46" s="126" t="str">
        <f t="shared" si="42"/>
        <v>EUR.PRICING.XLS_STRIPS.IT0001247276</v>
      </c>
      <c r="W46" s="126" t="str">
        <f>IF(UPPER($X$1)="ABCD",_xll.MKV_PUBLISHRECORD(V46, "XLS_STRIPS"),"--")</f>
        <v>Not connected</v>
      </c>
      <c r="X46" s="127" t="str">
        <f>IF(UPPER(X$1)="ABCD",_xll.MKV_SUPPLYRECORD(V46, "Bid",F46, "Ask",H46, "Id",A46, "Mid",G46, "Name",D46,"DV01",N46,"MidYield",J46,"BidYield",I46,"AskYield",K46),"--")</f>
        <v>Not connected</v>
      </c>
      <c r="Z46" s="27" t="str">
        <f t="shared" si="18"/>
        <v>IT0001247276@rbsm Corp</v>
      </c>
      <c r="AA46" s="27">
        <f>_xll.BDP(Z46,"bid")</f>
        <v>96.43</v>
      </c>
      <c r="AB46" s="27">
        <f>_xll.BDP(Z46,"ask")</f>
        <v>97.284999999999997</v>
      </c>
      <c r="AC46" s="27">
        <f t="shared" si="19"/>
        <v>96.857500000000002</v>
      </c>
      <c r="AD46" s="114">
        <f t="shared" si="20"/>
        <v>0.69249999999999545</v>
      </c>
      <c r="AE46" s="27">
        <f t="shared" si="22"/>
        <v>2.46875</v>
      </c>
      <c r="AF46" s="152">
        <f t="shared" si="23"/>
        <v>17096.093749999887</v>
      </c>
      <c r="AM46" s="27" t="s">
        <v>42</v>
      </c>
      <c r="AN46" s="27">
        <v>0.96875</v>
      </c>
    </row>
    <row r="47" spans="1:40" x14ac:dyDescent="0.2">
      <c r="A47" s="66" t="s">
        <v>367</v>
      </c>
      <c r="B47" s="83">
        <v>44409</v>
      </c>
      <c r="C47" s="131">
        <f>_xll.BDP(A47&amp;" Corp", "days to mty")</f>
        <v>1893</v>
      </c>
      <c r="D47" s="41" t="s">
        <v>368</v>
      </c>
      <c r="E47" s="41" t="s">
        <v>369</v>
      </c>
      <c r="F47" s="130">
        <v>97.22</v>
      </c>
      <c r="G47" s="130">
        <v>97.24</v>
      </c>
      <c r="H47" s="130">
        <f t="shared" si="1"/>
        <v>97.26</v>
      </c>
      <c r="I47" s="26">
        <f>ROUND(_xll.qlBondYieldFromCleanPrice(O47,F47,YieldDayCounter,YieldCompounding,YieldFrequency)*100,3)</f>
        <v>0.54500000000000004</v>
      </c>
      <c r="J47" s="26">
        <f>ROUND(_xll.qlBondYieldFromCleanPrice(P47,G47,YieldDayCounter,YieldCompounding,YieldFrequency)*100,3)</f>
        <v>0.54100000000000004</v>
      </c>
      <c r="K47" s="26">
        <f>ROUND(_xll.qlBondYieldFromCleanPrice(Q47,H47,YieldDayCounter,YieldCompounding,YieldFrequency)*100,3)</f>
        <v>0.53700000000000003</v>
      </c>
      <c r="L47" s="114">
        <f>_xll.qlBondDurationFromYield(P47,J47,YieldDayCounter,YieldCompounding,YieldFrequency,L$2)</f>
        <v>3.3634393960347944</v>
      </c>
      <c r="M47" s="114">
        <f>_xll.qlBondConvexityFromYield(P47,J47/100,YieldDayCounter,YieldCompounding,YieldFrequency)</f>
        <v>31.703215520979736</v>
      </c>
      <c r="N47" s="115">
        <f>_xll.BDP(A47&amp;" Corp","risk mid")</f>
        <v>5.0107024615016371</v>
      </c>
      <c r="O47" s="101" t="str">
        <f>_xll.qlZeroCouponBond(,,"EUR",3,"target",100,$B47,"f",100,,,Trigger)</f>
        <v>obj_0085a#0000</v>
      </c>
      <c r="P47" s="101" t="str">
        <f>_xll.qlZeroCouponBond(,,"EUR",3,"target",100,$B47,"f",100,,,Trigger)</f>
        <v>obj_008e5#0000</v>
      </c>
      <c r="Q47" s="101" t="str">
        <f>_xll.qlZeroCouponBond(,,"EUR",3,"target",100,$B47,"f",100,,,Trigger)</f>
        <v>obj_009bd#0000</v>
      </c>
      <c r="R47" s="117">
        <f t="shared" si="12"/>
        <v>97.26</v>
      </c>
      <c r="S47" s="122">
        <f t="shared" ref="S47" si="53">R47</f>
        <v>97.26</v>
      </c>
      <c r="T47" s="138" t="str">
        <f>IF(UPPER(U$1)="ABCD",_xll.RtContribute($E$3,$E47,$R$3:$S$3,$R47:$S47,"SCOPE:SERVER"),"--")</f>
        <v>Success: Insert Ack on DTSIMI2 for STRIP.IT0004848658 at 10:34:54</v>
      </c>
      <c r="U47" s="142" t="str">
        <f t="shared" si="4"/>
        <v>OK</v>
      </c>
      <c r="V47" s="126" t="str">
        <f t="shared" si="42"/>
        <v>EUR.PRICING.XLS_STRIPS.IT0004848658</v>
      </c>
      <c r="W47" s="126" t="str">
        <f>IF(UPPER($X$1)="ABCD",_xll.MKV_PUBLISHRECORD(V47, "XLS_STRIPS"),"--")</f>
        <v>Not connected</v>
      </c>
      <c r="X47" s="127" t="str">
        <f>IF(UPPER(X$1)="ABCD",_xll.MKV_SUPPLYRECORD(V47, "Bid",F47, "Ask",H47, "Id",A47, "Mid",G47, "Name",D47,"DV01",N47,"MidYield",J47,"BidYield",I47,"AskYield",K47),"--")</f>
        <v>Not connected</v>
      </c>
      <c r="Z47" s="27" t="str">
        <f t="shared" si="18"/>
        <v>IT0004848658@rbsm Corp</v>
      </c>
      <c r="AA47" s="27">
        <f>_xll.BDP(Z47,"bid")</f>
        <v>96.68</v>
      </c>
      <c r="AB47" s="27">
        <f>_xll.BDP(Z47,"ask")</f>
        <v>97.430999999999997</v>
      </c>
      <c r="AC47" s="27">
        <f t="shared" si="19"/>
        <v>97.055499999999995</v>
      </c>
      <c r="AD47" s="114">
        <f t="shared" si="20"/>
        <v>0.18449999999999989</v>
      </c>
      <c r="AE47" s="27" t="str">
        <f t="shared" si="22"/>
        <v>0</v>
      </c>
      <c r="AF47" s="152">
        <f t="shared" si="23"/>
        <v>0</v>
      </c>
      <c r="AM47" s="27" t="s">
        <v>152</v>
      </c>
      <c r="AN47" s="27">
        <v>0.85499999999999998</v>
      </c>
    </row>
    <row r="48" spans="1:40" x14ac:dyDescent="0.2">
      <c r="A48" s="66" t="s">
        <v>155</v>
      </c>
      <c r="B48" s="83">
        <v>44440</v>
      </c>
      <c r="C48" s="131">
        <f>_xll.BDP(A48&amp;" Corp", "days to mty")</f>
        <v>1924</v>
      </c>
      <c r="D48" s="41" t="s">
        <v>156</v>
      </c>
      <c r="E48" s="41" t="s">
        <v>157</v>
      </c>
      <c r="F48" s="130">
        <v>97.03</v>
      </c>
      <c r="G48" s="130">
        <v>97.05</v>
      </c>
      <c r="H48" s="130">
        <f t="shared" si="1"/>
        <v>97.07</v>
      </c>
      <c r="I48" s="26">
        <f>ROUND(_xll.qlBondYieldFromCleanPrice(O48,F48,YieldDayCounter,YieldCompounding,YieldFrequency)*100,3)</f>
        <v>0.57399999999999995</v>
      </c>
      <c r="J48" s="26">
        <f>ROUND(_xll.qlBondYieldFromCleanPrice(P48,G48,YieldDayCounter,YieldCompounding,YieldFrequency)*100,3)</f>
        <v>0.56999999999999995</v>
      </c>
      <c r="K48" s="26">
        <f>ROUND(_xll.qlBondYieldFromCleanPrice(Q48,H48,YieldDayCounter,YieldCompounding,YieldFrequency)*100,3)</f>
        <v>0.56599999999999995</v>
      </c>
      <c r="L48" s="114">
        <f>_xll.qlBondDurationFromYield(P48,J48,YieldDayCounter,YieldCompounding,YieldFrequency,L$2)</f>
        <v>3.353520587518708</v>
      </c>
      <c r="M48" s="114">
        <f>_xll.qlBondConvexityFromYield(P48,J48/100,YieldDayCounter,YieldCompounding,YieldFrequency)</f>
        <v>32.612695710485752</v>
      </c>
      <c r="N48" s="115">
        <f>_xll.BDP(A48&amp;" Corp","risk mid")</f>
        <v>5.0484978950436243</v>
      </c>
      <c r="O48" s="101" t="str">
        <f>_xll.qlZeroCouponBond(,,"EUR",3,"target",100,$B48,"f",100,,,Trigger)</f>
        <v>obj_00849#0000</v>
      </c>
      <c r="P48" s="101" t="str">
        <f>_xll.qlZeroCouponBond(,,"EUR",3,"target",100,$B48,"f",100,,,Trigger)</f>
        <v>obj_00916#0000</v>
      </c>
      <c r="Q48" s="101" t="str">
        <f>_xll.qlZeroCouponBond(,,"EUR",3,"target",100,$B48,"f",100,,,Trigger)</f>
        <v>obj_00983#0000</v>
      </c>
      <c r="R48" s="117">
        <f t="shared" si="12"/>
        <v>97.07</v>
      </c>
      <c r="S48" s="122">
        <f t="shared" ref="S48" si="54">R48</f>
        <v>97.07</v>
      </c>
      <c r="T48" s="138" t="str">
        <f>IF(UPPER(U$1)="ABCD",_xll.RtContribute($E$3,$E48,$R$3:$S$3,$R48:$S48,"SCOPE:SERVER"),"--")</f>
        <v>Success: Insert Ack on DTSIMI2 for STRIP.IT0004957897 at 10:34:52</v>
      </c>
      <c r="U48" s="142" t="str">
        <f t="shared" si="4"/>
        <v>OK</v>
      </c>
      <c r="V48" s="126" t="str">
        <f t="shared" si="42"/>
        <v>EUR.PRICING.XLS_STRIPS.IT0004957897</v>
      </c>
      <c r="W48" s="126" t="str">
        <f>IF(UPPER($X$1)="ABCD",_xll.MKV_PUBLISHRECORD(V48, "XLS_STRIPS"),"--")</f>
        <v>Not connected</v>
      </c>
      <c r="X48" s="127" t="str">
        <f>IF(UPPER(X$1)="ABCD",_xll.MKV_SUPPLYRECORD(V48, "Bid",F48, "Ask",H48, "Id",A48, "Mid",G48, "Name",D48,"DV01",N48,"MidYield",J48,"BidYield",I48,"AskYield",K48),"--")</f>
        <v>Not connected</v>
      </c>
      <c r="Z48" s="27" t="str">
        <f t="shared" si="18"/>
        <v>IT0004957897@rbsm Corp</v>
      </c>
      <c r="AA48" s="27">
        <f>_xll.BDP(Z48,"bid")</f>
        <v>95.65</v>
      </c>
      <c r="AB48" s="27">
        <f>_xll.BDP(Z48,"ask")</f>
        <v>96.656000000000006</v>
      </c>
      <c r="AC48" s="27">
        <f t="shared" si="19"/>
        <v>96.153000000000006</v>
      </c>
      <c r="AD48" s="114">
        <f t="shared" si="20"/>
        <v>0.89699999999999136</v>
      </c>
      <c r="AE48" s="27">
        <f t="shared" si="22"/>
        <v>0.85499999999999998</v>
      </c>
      <c r="AF48" s="152">
        <f t="shared" si="23"/>
        <v>7669.3499999999258</v>
      </c>
      <c r="AM48" s="27" t="s">
        <v>44</v>
      </c>
      <c r="AN48" s="27">
        <v>2.46875</v>
      </c>
    </row>
    <row r="49" spans="1:40" x14ac:dyDescent="0.2">
      <c r="A49" s="66" t="s">
        <v>45</v>
      </c>
      <c r="B49" s="83">
        <v>44501</v>
      </c>
      <c r="C49" s="131">
        <f>_xll.BDP(A49&amp;" Corp", "days to mty")</f>
        <v>1985</v>
      </c>
      <c r="D49" s="41" t="s">
        <v>370</v>
      </c>
      <c r="E49" s="41" t="s">
        <v>371</v>
      </c>
      <c r="F49" s="130">
        <v>96.84</v>
      </c>
      <c r="G49" s="130">
        <v>96.87</v>
      </c>
      <c r="H49" s="130">
        <f t="shared" si="1"/>
        <v>96.9</v>
      </c>
      <c r="I49" s="26">
        <f>ROUND(_xll.qlBondYieldFromCleanPrice(O49,F49,YieldDayCounter,YieldCompounding,YieldFrequency)*100,3)</f>
        <v>0.59299999999999997</v>
      </c>
      <c r="J49" s="26">
        <f>ROUND(_xll.qlBondYieldFromCleanPrice(P49,G49,YieldDayCounter,YieldCompounding,YieldFrequency)*100,3)</f>
        <v>0.58699999999999997</v>
      </c>
      <c r="K49" s="26">
        <f>ROUND(_xll.qlBondYieldFromCleanPrice(Q49,H49,YieldDayCounter,YieldCompounding,YieldFrequency)*100,3)</f>
        <v>0.58099999999999996</v>
      </c>
      <c r="L49" s="114">
        <f>_xll.qlBondDurationFromYield(P49,J49,YieldDayCounter,YieldCompounding,YieldFrequency,L$2)</f>
        <v>3.4226175104417385</v>
      </c>
      <c r="M49" s="114">
        <f>_xll.qlBondConvexityFromYield(P49,J49/100,YieldDayCounter,YieldCompounding,YieldFrequency)</f>
        <v>34.528439951943092</v>
      </c>
      <c r="N49" s="115">
        <f>_xll.BDP(A49&amp;" Corp","risk mid")</f>
        <v>5.188351393753976</v>
      </c>
      <c r="O49" s="101" t="str">
        <f>_xll.qlZeroCouponBond(,,"EUR",3,"target",100,$B49,"f",100,,,Trigger)</f>
        <v>obj_0099e#0000</v>
      </c>
      <c r="P49" s="101" t="str">
        <f>_xll.qlZeroCouponBond(,,"EUR",3,"target",100,$B49,"f",100,,,Trigger)</f>
        <v>obj_008c1#0000</v>
      </c>
      <c r="Q49" s="101" t="str">
        <f>_xll.qlZeroCouponBond(,,"EUR",3,"target",100,$B49,"f",100,,,Trigger)</f>
        <v>obj_008ac#0000</v>
      </c>
      <c r="R49" s="117">
        <f t="shared" si="12"/>
        <v>96.9</v>
      </c>
      <c r="S49" s="122">
        <f t="shared" ref="S49" si="55">R49</f>
        <v>96.9</v>
      </c>
      <c r="T49" s="138" t="str">
        <f>IF(UPPER(U$1)="ABCD",_xll.RtContribute($E$3,$E49,$R$3:$S$3,$R49:$S49,"SCOPE:SERVER"),"--")</f>
        <v>Success: Insert Ack on DTSIMI2 for STRIP.IT0001247284 at 10:34:54</v>
      </c>
      <c r="U49" s="142" t="str">
        <f t="shared" si="4"/>
        <v>OK</v>
      </c>
      <c r="V49" s="126" t="str">
        <f t="shared" si="42"/>
        <v>EUR.PRICING.XLS_STRIPS.IT0001247284</v>
      </c>
      <c r="W49" s="126" t="str">
        <f>IF(UPPER($X$1)="ABCD",_xll.MKV_PUBLISHRECORD(V49, "XLS_STRIPS"),"--")</f>
        <v>Not connected</v>
      </c>
      <c r="X49" s="127" t="str">
        <f>IF(UPPER(X$1)="ABCD",_xll.MKV_SUPPLYRECORD(V49, "Bid",F49, "Ask",H49, "Id",A49, "Mid",G49, "Name",D49,"DV01",N49,"MidYield",J49,"BidYield",I49,"AskYield",K49),"--")</f>
        <v>Not connected</v>
      </c>
      <c r="Z49" s="27" t="str">
        <f t="shared" si="18"/>
        <v>IT0001247284@rbsm Corp</v>
      </c>
      <c r="AA49" s="27">
        <f>_xll.BDP(Z49,"bid")</f>
        <v>95.831000000000003</v>
      </c>
      <c r="AB49" s="27">
        <f>_xll.BDP(Z49,"ask")</f>
        <v>96.349000000000004</v>
      </c>
      <c r="AC49" s="27">
        <f t="shared" si="19"/>
        <v>96.09</v>
      </c>
      <c r="AD49" s="114">
        <f t="shared" si="20"/>
        <v>0.78000000000000114</v>
      </c>
      <c r="AE49" s="27">
        <f t="shared" si="22"/>
        <v>0.29604167999999997</v>
      </c>
      <c r="AF49" s="152">
        <f t="shared" si="23"/>
        <v>2309.1251040000034</v>
      </c>
      <c r="AN49" s="27">
        <v>-5.5764213600000003</v>
      </c>
    </row>
    <row r="50" spans="1:40" x14ac:dyDescent="0.2">
      <c r="A50" s="66" t="s">
        <v>46</v>
      </c>
      <c r="B50" s="83">
        <v>44593</v>
      </c>
      <c r="C50" s="131">
        <f>_xll.BDP(A50&amp;" Corp", "days to mty")</f>
        <v>2077</v>
      </c>
      <c r="D50" s="41" t="s">
        <v>372</v>
      </c>
      <c r="E50" s="41" t="s">
        <v>373</v>
      </c>
      <c r="F50" s="130">
        <v>96.09</v>
      </c>
      <c r="G50" s="130">
        <v>96.12</v>
      </c>
      <c r="H50" s="130">
        <f t="shared" si="1"/>
        <v>96.15</v>
      </c>
      <c r="I50" s="26">
        <f>ROUND(_xll.qlBondYieldFromCleanPrice(O50,F50,YieldDayCounter,YieldCompounding,YieldFrequency)*100,3)</f>
        <v>0.70399999999999996</v>
      </c>
      <c r="J50" s="26">
        <f>ROUND(_xll.qlBondYieldFromCleanPrice(P50,G50,YieldDayCounter,YieldCompounding,YieldFrequency)*100,3)</f>
        <v>0.69899999999999995</v>
      </c>
      <c r="K50" s="26">
        <f>ROUND(_xll.qlBondYieldFromCleanPrice(Q50,H50,YieldDayCounter,YieldCompounding,YieldFrequency)*100,3)</f>
        <v>0.69299999999999995</v>
      </c>
      <c r="L50" s="114">
        <f>_xll.qlBondDurationFromYield(P50,J50,YieldDayCounter,YieldCompounding,YieldFrequency,L$2)</f>
        <v>3.3449441490815883</v>
      </c>
      <c r="M50" s="114">
        <f>_xll.qlBondConvexityFromYield(P50,J50/100,YieldDayCounter,YieldCompounding,YieldFrequency)</f>
        <v>37.454784384877428</v>
      </c>
      <c r="N50" s="115">
        <f>_xll.BDP(A50&amp;" Corp","risk mid")</f>
        <v>5.3591377332836032</v>
      </c>
      <c r="O50" s="101" t="str">
        <f>_xll.qlZeroCouponBond(,,"EUR",3,"target",100,$B50,"f",100,,,Trigger)</f>
        <v>obj_008b3#0000</v>
      </c>
      <c r="P50" s="101" t="str">
        <f>_xll.qlZeroCouponBond(,,"EUR",3,"target",100,$B50,"f",100,,,Trigger)</f>
        <v>obj_00887#0000</v>
      </c>
      <c r="Q50" s="101" t="str">
        <f>_xll.qlZeroCouponBond(,,"EUR",3,"target",100,$B50,"f",100,,,Trigger)</f>
        <v>obj_0084a#0000</v>
      </c>
      <c r="R50" s="117">
        <f t="shared" si="12"/>
        <v>96.15</v>
      </c>
      <c r="S50" s="122">
        <f t="shared" ref="S50" si="56">R50</f>
        <v>96.15</v>
      </c>
      <c r="T50" s="138" t="str">
        <f>IF(UPPER(U$1)="ABCD",_xll.RtContribute($E$3,$E50,$R$3:$S$3,$R50:$S50,"SCOPE:SERVER"),"--")</f>
        <v>Success: Insert Ack on DTSIMI2 for STRIP.IT0003268726 at 10:35:29</v>
      </c>
      <c r="U50" s="142" t="str">
        <f t="shared" si="4"/>
        <v>OK</v>
      </c>
      <c r="V50" s="126" t="str">
        <f t="shared" si="42"/>
        <v>EUR.PRICING.XLS_STRIPS.IT0003268726</v>
      </c>
      <c r="W50" s="126" t="str">
        <f>IF(UPPER($X$1)="ABCD",_xll.MKV_PUBLISHRECORD(V50, "XLS_STRIPS"),"--")</f>
        <v>Not connected</v>
      </c>
      <c r="X50" s="127" t="str">
        <f>IF(UPPER(X$1)="ABCD",_xll.MKV_SUPPLYRECORD(V50, "Bid",F50, "Ask",H50, "Id",A50, "Mid",G50, "Name",D50,"DV01",N50,"MidYield",J50,"BidYield",I50,"AskYield",K50),"--")</f>
        <v>Not connected</v>
      </c>
      <c r="Z50" s="27" t="str">
        <f t="shared" si="18"/>
        <v>IT0003268726@rbsm Corp</v>
      </c>
      <c r="AA50" s="27">
        <f>_xll.BDP(Z50,"bid")</f>
        <v>94.697999999999993</v>
      </c>
      <c r="AB50" s="27">
        <f>_xll.BDP(Z50,"ask")</f>
        <v>95.61</v>
      </c>
      <c r="AC50" s="27">
        <f t="shared" si="19"/>
        <v>95.153999999999996</v>
      </c>
      <c r="AD50" s="114">
        <f t="shared" si="20"/>
        <v>0.96600000000000819</v>
      </c>
      <c r="AE50" s="27" t="str">
        <f t="shared" si="22"/>
        <v>0</v>
      </c>
      <c r="AF50" s="152">
        <f t="shared" si="23"/>
        <v>0</v>
      </c>
      <c r="AM50" s="27" t="s">
        <v>539</v>
      </c>
      <c r="AN50" s="27">
        <v>-5.2</v>
      </c>
    </row>
    <row r="51" spans="1:40" x14ac:dyDescent="0.2">
      <c r="A51" s="66" t="s">
        <v>158</v>
      </c>
      <c r="B51" s="83">
        <v>44621</v>
      </c>
      <c r="C51" s="131">
        <f>_xll.BDP(A51&amp;" Corp", "days to mty")</f>
        <v>2105</v>
      </c>
      <c r="D51" s="41" t="s">
        <v>159</v>
      </c>
      <c r="E51" s="41" t="s">
        <v>160</v>
      </c>
      <c r="F51" s="130">
        <v>95.93</v>
      </c>
      <c r="G51" s="130">
        <v>95.95</v>
      </c>
      <c r="H51" s="130">
        <f t="shared" si="1"/>
        <v>95.97</v>
      </c>
      <c r="I51" s="26">
        <f>ROUND(_xll.qlBondYieldFromCleanPrice(O51,F51,YieldDayCounter,YieldCompounding,YieldFrequency)*100,3)</f>
        <v>0.72399999999999998</v>
      </c>
      <c r="J51" s="26">
        <f>ROUND(_xll.qlBondYieldFromCleanPrice(P51,G51,YieldDayCounter,YieldCompounding,YieldFrequency)*100,3)</f>
        <v>0.72</v>
      </c>
      <c r="K51" s="26">
        <f>ROUND(_xll.qlBondYieldFromCleanPrice(Q51,H51,YieldDayCounter,YieldCompounding,YieldFrequency)*100,3)</f>
        <v>0.71599999999999997</v>
      </c>
      <c r="L51" s="114">
        <f>_xll.qlBondDurationFromYield(P51,J51,YieldDayCounter,YieldCompounding,YieldFrequency,L$2)</f>
        <v>3.3497929276839762</v>
      </c>
      <c r="M51" s="114">
        <f>_xll.qlBondConvexityFromYield(P51,J51/100,YieldDayCounter,YieldCompounding,YieldFrequency)</f>
        <v>38.403186812804577</v>
      </c>
      <c r="N51" s="115">
        <f>_xll.BDP(A51&amp;" Corp","risk mid")</f>
        <v>5.454399708919766</v>
      </c>
      <c r="O51" s="101" t="str">
        <f>_xll.qlZeroCouponBond(,,"EUR",3,"target",100,$B51,"f",100,,,Trigger)</f>
        <v>obj_00977#0000</v>
      </c>
      <c r="P51" s="101" t="str">
        <f>_xll.qlZeroCouponBond(,,"EUR",3,"target",100,$B51,"f",100,,,Trigger)</f>
        <v>obj_00897#0000</v>
      </c>
      <c r="Q51" s="101" t="str">
        <f>_xll.qlZeroCouponBond(,,"EUR",3,"target",100,$B51,"f",100,,,Trigger)</f>
        <v>obj_009a3#0000</v>
      </c>
      <c r="R51" s="117">
        <f t="shared" si="12"/>
        <v>95.97</v>
      </c>
      <c r="S51" s="122">
        <f t="shared" ref="S51" si="57">R51</f>
        <v>95.97</v>
      </c>
      <c r="T51" s="138" t="str">
        <f>IF(UPPER(U$1)="ABCD",_xll.RtContribute($E$3,$E51,$R$3:$S$3,$R51:$S51,"SCOPE:SERVER"),"--")</f>
        <v>Success: Insert Ack on DTSIMI2 for STRIP.IT0004957905 at 10:34:17</v>
      </c>
      <c r="U51" s="142" t="str">
        <f t="shared" si="4"/>
        <v>OK</v>
      </c>
      <c r="V51" s="126" t="str">
        <f t="shared" si="42"/>
        <v>EUR.PRICING.XLS_STRIPS.IT0004957905</v>
      </c>
      <c r="W51" s="126" t="str">
        <f>IF(UPPER($X$1)="ABCD",_xll.MKV_PUBLISHRECORD(V51, "XLS_STRIPS"),"--")</f>
        <v>Not connected</v>
      </c>
      <c r="X51" s="127" t="str">
        <f>IF(UPPER(X$1)="ABCD",_xll.MKV_SUPPLYRECORD(V51, "Bid",F51, "Ask",H51, "Id",A51, "Mid",G51, "Name",D51,"DV01",N51,"MidYield",J51,"BidYield",I51,"AskYield",K51),"--")</f>
        <v>Not connected</v>
      </c>
      <c r="Z51" s="27" t="str">
        <f t="shared" si="18"/>
        <v>IT0004957905@rbsm Corp</v>
      </c>
      <c r="AA51" s="27">
        <f>_xll.BDP(Z51,"bid")</f>
        <v>94.494</v>
      </c>
      <c r="AB51" s="27">
        <f>_xll.BDP(Z51,"ask")</f>
        <v>95.58</v>
      </c>
      <c r="AC51" s="27">
        <f t="shared" si="19"/>
        <v>95.037000000000006</v>
      </c>
      <c r="AD51" s="114">
        <f t="shared" si="20"/>
        <v>0.9129999999999967</v>
      </c>
      <c r="AE51" s="27">
        <f t="shared" si="22"/>
        <v>0.85499999999999998</v>
      </c>
      <c r="AF51" s="152">
        <f t="shared" si="23"/>
        <v>7806.1499999999714</v>
      </c>
      <c r="AM51" s="27" t="s">
        <v>155</v>
      </c>
      <c r="AN51" s="27">
        <v>0.85499999999999998</v>
      </c>
    </row>
    <row r="52" spans="1:40" x14ac:dyDescent="0.2">
      <c r="A52" s="66" t="s">
        <v>47</v>
      </c>
      <c r="B52" s="83">
        <v>44682</v>
      </c>
      <c r="C52" s="131">
        <f>_xll.BDP(A52&amp;" Corp", "days to mty")</f>
        <v>2166</v>
      </c>
      <c r="D52" s="41" t="s">
        <v>374</v>
      </c>
      <c r="E52" s="41" t="s">
        <v>375</v>
      </c>
      <c r="F52" s="130">
        <v>95.92</v>
      </c>
      <c r="G52" s="130">
        <v>95.95</v>
      </c>
      <c r="H52" s="130">
        <f t="shared" si="1"/>
        <v>95.98</v>
      </c>
      <c r="I52" s="26">
        <f>ROUND(_xll.qlBondYieldFromCleanPrice(O52,F52,YieldDayCounter,YieldCompounding,YieldFrequency)*100,3)</f>
        <v>0.70499999999999996</v>
      </c>
      <c r="J52" s="26">
        <f>ROUND(_xll.qlBondYieldFromCleanPrice(P52,G52,YieldDayCounter,YieldCompounding,YieldFrequency)*100,3)</f>
        <v>0.69899999999999995</v>
      </c>
      <c r="K52" s="26">
        <f>ROUND(_xll.qlBondYieldFromCleanPrice(Q52,H52,YieldDayCounter,YieldCompounding,YieldFrequency)*100,3)</f>
        <v>0.69399999999999995</v>
      </c>
      <c r="L52" s="114">
        <f>_xll.qlBondDurationFromYield(P52,J52,YieldDayCounter,YieldCompounding,YieldFrequency,L$2)</f>
        <v>3.4911753086021595</v>
      </c>
      <c r="M52" s="114">
        <f>_xll.qlBondConvexityFromYield(P52,J52/100,YieldDayCounter,YieldCompounding,YieldFrequency)</f>
        <v>40.545473576296523</v>
      </c>
      <c r="N52" s="115">
        <f>_xll.BDP(A52&amp;" Corp","risk mid")</f>
        <v>5.5980857747350399</v>
      </c>
      <c r="O52" s="101" t="str">
        <f>_xll.qlZeroCouponBond(,,"EUR",3,"target",100,$B52,"f",100,,,Trigger)</f>
        <v>obj_008b0#0000</v>
      </c>
      <c r="P52" s="101" t="str">
        <f>_xll.qlZeroCouponBond(,,"EUR",3,"target",100,$B52,"f",100,,,Trigger)</f>
        <v>obj_0088e#0000</v>
      </c>
      <c r="Q52" s="101" t="str">
        <f>_xll.qlZeroCouponBond(,,"EUR",3,"target",100,$B52,"f",100,,,Trigger)</f>
        <v>obj_0087d#0000</v>
      </c>
      <c r="R52" s="117">
        <f t="shared" si="12"/>
        <v>95.98</v>
      </c>
      <c r="S52" s="122">
        <f t="shared" ref="S52" si="58">R52</f>
        <v>95.98</v>
      </c>
      <c r="T52" s="138" t="str">
        <f>IF(UPPER(U$1)="ABCD",_xll.RtContribute($E$3,$E52,$R$3:$S$3,$R52:$S52,"SCOPE:SERVER"),"--")</f>
        <v>Success: Insert Ack on DTSIMI2 for STRIP.IT0001247292 at 10:35:53</v>
      </c>
      <c r="U52" s="142" t="str">
        <f t="shared" si="4"/>
        <v>OK</v>
      </c>
      <c r="V52" s="126" t="str">
        <f t="shared" si="42"/>
        <v>EUR.PRICING.XLS_STRIPS.IT0001247292</v>
      </c>
      <c r="W52" s="126" t="str">
        <f>IF(UPPER($X$1)="ABCD",_xll.MKV_PUBLISHRECORD(V52, "XLS_STRIPS"),"--")</f>
        <v>Not connected</v>
      </c>
      <c r="X52" s="127" t="str">
        <f>IF(UPPER(X$1)="ABCD",_xll.MKV_SUPPLYRECORD(V52, "Bid",F52, "Ask",H52, "Id",A52, "Mid",G52, "Name",D52,"DV01",N52,"MidYield",J52,"BidYield",I52,"AskYield",K52),"--")</f>
        <v>Not connected</v>
      </c>
      <c r="Z52" s="27" t="str">
        <f t="shared" si="18"/>
        <v>IT0001247292@rbsm Corp</v>
      </c>
      <c r="AA52" s="27">
        <f>_xll.BDP(Z52,"bid")</f>
        <v>94.876999999999995</v>
      </c>
      <c r="AB52" s="27">
        <f>_xll.BDP(Z52,"ask")</f>
        <v>95.325000000000003</v>
      </c>
      <c r="AC52" s="27">
        <f t="shared" si="19"/>
        <v>95.100999999999999</v>
      </c>
      <c r="AD52" s="114">
        <f t="shared" si="20"/>
        <v>0.84900000000000375</v>
      </c>
      <c r="AE52" s="27">
        <f t="shared" si="22"/>
        <v>0.90674999999999994</v>
      </c>
      <c r="AF52" s="152">
        <f t="shared" si="23"/>
        <v>7698.3075000000335</v>
      </c>
      <c r="AM52" s="27" t="s">
        <v>45</v>
      </c>
      <c r="AN52" s="27">
        <v>0.29604167999999997</v>
      </c>
    </row>
    <row r="53" spans="1:40" x14ac:dyDescent="0.2">
      <c r="A53" s="66" t="s">
        <v>48</v>
      </c>
      <c r="B53" s="83">
        <v>44774</v>
      </c>
      <c r="C53" s="131">
        <f>_xll.BDP(A53&amp;" Corp", "days to mty")</f>
        <v>2258</v>
      </c>
      <c r="D53" s="41" t="s">
        <v>376</v>
      </c>
      <c r="E53" s="41" t="s">
        <v>377</v>
      </c>
      <c r="F53" s="130">
        <v>95.26</v>
      </c>
      <c r="G53" s="130">
        <v>95.29</v>
      </c>
      <c r="H53" s="130">
        <f t="shared" si="1"/>
        <v>95.32</v>
      </c>
      <c r="I53" s="26">
        <f>ROUND(_xll.qlBondYieldFromCleanPrice(O53,F53,YieldDayCounter,YieldCompounding,YieldFrequency)*100,3)</f>
        <v>0.78900000000000003</v>
      </c>
      <c r="J53" s="26">
        <f>ROUND(_xll.qlBondYieldFromCleanPrice(P53,G53,YieldDayCounter,YieldCompounding,YieldFrequency)*100,3)</f>
        <v>0.78400000000000003</v>
      </c>
      <c r="K53" s="26">
        <f>ROUND(_xll.qlBondYieldFromCleanPrice(Q53,H53,YieldDayCounter,YieldCompounding,YieldFrequency)*100,3)</f>
        <v>0.77900000000000003</v>
      </c>
      <c r="L53" s="114">
        <f>_xll.qlBondDurationFromYield(P53,J53,YieldDayCounter,YieldCompounding,YieldFrequency,L$2)</f>
        <v>3.4643093435271628</v>
      </c>
      <c r="M53" s="114">
        <f>_xll.qlBondConvexityFromYield(P53,J53/100,YieldDayCounter,YieldCompounding,YieldFrequency)</f>
        <v>43.689050745952756</v>
      </c>
      <c r="N53" s="115">
        <f>_xll.BDP(A53&amp;" Corp","risk mid")</f>
        <v>5.7775958219217216</v>
      </c>
      <c r="O53" s="101" t="str">
        <f>_xll.qlZeroCouponBond(,,"EUR",3,"target",100,$B53,"f",100,,,Trigger)</f>
        <v>obj_00879#0000</v>
      </c>
      <c r="P53" s="101" t="str">
        <f>_xll.qlZeroCouponBond(,,"EUR",3,"target",100,$B53,"f",100,,,Trigger)</f>
        <v>obj_009a7#0000</v>
      </c>
      <c r="Q53" s="101" t="str">
        <f>_xll.qlZeroCouponBond(,,"EUR",3,"target",100,$B53,"f",100,,,Trigger)</f>
        <v>obj_0085b#0000</v>
      </c>
      <c r="R53" s="117">
        <f t="shared" si="12"/>
        <v>95.32</v>
      </c>
      <c r="S53" s="122">
        <f t="shared" ref="S53" si="59">R53</f>
        <v>95.32</v>
      </c>
      <c r="T53" s="138" t="str">
        <f>IF(UPPER(U$1)="ABCD",_xll.RtContribute($E$3,$E53,$R$3:$S$3,$R53:$S53,"SCOPE:SERVER"),"--")</f>
        <v>Success: Insert Ack on DTSIMI2 for STRIP.IT0003268742 at 10:33:57</v>
      </c>
      <c r="U53" s="142" t="str">
        <f t="shared" si="4"/>
        <v>OK</v>
      </c>
      <c r="V53" s="126" t="str">
        <f t="shared" si="42"/>
        <v>EUR.PRICING.XLS_STRIPS.IT0003268742</v>
      </c>
      <c r="W53" s="126" t="str">
        <f>IF(UPPER($X$1)="ABCD",_xll.MKV_PUBLISHRECORD(V53, "XLS_STRIPS"),"--")</f>
        <v>Not connected</v>
      </c>
      <c r="X53" s="127" t="str">
        <f>IF(UPPER(X$1)="ABCD",_xll.MKV_SUPPLYRECORD(V53, "Bid",F53, "Ask",H53, "Id",A53, "Mid",G53, "Name",D53,"DV01",N53,"MidYield",J53,"BidYield",I53,"AskYield",K53),"--")</f>
        <v>Not connected</v>
      </c>
      <c r="Z53" s="27" t="str">
        <f t="shared" si="18"/>
        <v>IT0003268742@rbsm Corp</v>
      </c>
      <c r="AA53" s="27">
        <f>_xll.BDP(Z53,"bid")</f>
        <v>94.24</v>
      </c>
      <c r="AB53" s="27">
        <f>_xll.BDP(Z53,"ask")</f>
        <v>94.819000000000003</v>
      </c>
      <c r="AC53" s="27">
        <f t="shared" si="19"/>
        <v>94.529499999999999</v>
      </c>
      <c r="AD53" s="114">
        <f t="shared" si="20"/>
        <v>0.7605000000000075</v>
      </c>
      <c r="AE53" s="27" t="str">
        <f t="shared" si="22"/>
        <v>0</v>
      </c>
      <c r="AF53" s="152">
        <f t="shared" si="23"/>
        <v>0</v>
      </c>
      <c r="AM53" s="27" t="s">
        <v>158</v>
      </c>
      <c r="AN53" s="27">
        <v>0.85499999999999998</v>
      </c>
    </row>
    <row r="54" spans="1:40" x14ac:dyDescent="0.2">
      <c r="A54" s="66" t="s">
        <v>161</v>
      </c>
      <c r="B54" s="83">
        <v>44805</v>
      </c>
      <c r="C54" s="131">
        <f>_xll.BDP(A54&amp;" Corp", "days to mty")</f>
        <v>2289</v>
      </c>
      <c r="D54" s="41" t="s">
        <v>162</v>
      </c>
      <c r="E54" s="41" t="s">
        <v>163</v>
      </c>
      <c r="F54" s="130">
        <v>94.94</v>
      </c>
      <c r="G54" s="130">
        <v>94.97</v>
      </c>
      <c r="H54" s="130">
        <f t="shared" si="1"/>
        <v>95</v>
      </c>
      <c r="I54" s="26">
        <f>ROUND(_xll.qlBondYieldFromCleanPrice(O54,F54,YieldDayCounter,YieldCompounding,YieldFrequency)*100,3)</f>
        <v>0.83199999999999996</v>
      </c>
      <c r="J54" s="26">
        <f>ROUND(_xll.qlBondYieldFromCleanPrice(P54,G54,YieldDayCounter,YieldCompounding,YieldFrequency)*100,3)</f>
        <v>0.82699999999999996</v>
      </c>
      <c r="K54" s="26">
        <f>ROUND(_xll.qlBondYieldFromCleanPrice(Q54,H54,YieldDayCounter,YieldCompounding,YieldFrequency)*100,3)</f>
        <v>0.82199999999999995</v>
      </c>
      <c r="L54" s="114">
        <f>_xll.qlBondDurationFromYield(P54,J54,YieldDayCounter,YieldCompounding,YieldFrequency,L$2)</f>
        <v>3.4291337287380248</v>
      </c>
      <c r="M54" s="114">
        <f>_xll.qlBondConvexityFromYield(P54,J54/100,YieldDayCounter,YieldCompounding,YieldFrequency)</f>
        <v>44.772003645414387</v>
      </c>
      <c r="N54" s="115">
        <f>_xll.BDP(A54&amp;" Corp","risk mid")</f>
        <v>5.8438554598538417</v>
      </c>
      <c r="O54" s="101" t="str">
        <f>_xll.qlZeroCouponBond(,,"EUR",3,"target",100,$B54,"f",100,,,Trigger)</f>
        <v>obj_008ce#0000</v>
      </c>
      <c r="P54" s="101" t="str">
        <f>_xll.qlZeroCouponBond(,,"EUR",3,"target",100,$B54,"f",100,,,Trigger)</f>
        <v>obj_0094a#0000</v>
      </c>
      <c r="Q54" s="101" t="str">
        <f>_xll.qlZeroCouponBond(,,"EUR",3,"target",100,$B54,"f",100,,,Trigger)</f>
        <v>obj_008a3#0000</v>
      </c>
      <c r="R54" s="117">
        <f t="shared" si="12"/>
        <v>95</v>
      </c>
      <c r="S54" s="122">
        <f t="shared" ref="S54" si="60">R54</f>
        <v>95</v>
      </c>
      <c r="T54" s="138" t="str">
        <f>IF(UPPER(U$1)="ABCD",_xll.RtContribute($E$3,$E54,$R$3:$S$3,$R54:$S54,"SCOPE:SERVER"),"--")</f>
        <v>Success: Insert Ack on DTSIMI2 for STRIP.IT0004957913 at 10:33:57</v>
      </c>
      <c r="U54" s="142" t="str">
        <f t="shared" si="4"/>
        <v>OK</v>
      </c>
      <c r="V54" s="126" t="str">
        <f t="shared" si="42"/>
        <v>EUR.PRICING.XLS_STRIPS.IT0004957913</v>
      </c>
      <c r="W54" s="126" t="str">
        <f>IF(UPPER($X$1)="ABCD",_xll.MKV_PUBLISHRECORD(V54, "XLS_STRIPS"),"--")</f>
        <v>Not connected</v>
      </c>
      <c r="X54" s="127" t="str">
        <f>IF(UPPER(X$1)="ABCD",_xll.MKV_SUPPLYRECORD(V54, "Bid",F54, "Ask",H54, "Id",A54, "Mid",G54, "Name",D54,"DV01",N54,"MidYield",J54,"BidYield",I54,"AskYield",K54),"--")</f>
        <v>Not connected</v>
      </c>
      <c r="Z54" s="27" t="str">
        <f t="shared" si="18"/>
        <v>IT0004957913@rbsm Corp</v>
      </c>
      <c r="AA54" s="27">
        <f>_xll.BDP(Z54,"bid")</f>
        <v>93.206999999999994</v>
      </c>
      <c r="AB54" s="27">
        <f>_xll.BDP(Z54,"ask")</f>
        <v>94.37</v>
      </c>
      <c r="AC54" s="27">
        <f t="shared" si="19"/>
        <v>93.788499999999999</v>
      </c>
      <c r="AD54" s="114">
        <f t="shared" si="20"/>
        <v>1.1814999999999998</v>
      </c>
      <c r="AE54" s="27">
        <f t="shared" si="22"/>
        <v>0.85499999999999998</v>
      </c>
      <c r="AF54" s="152">
        <f t="shared" si="23"/>
        <v>10101.824999999997</v>
      </c>
      <c r="AM54" s="27" t="s">
        <v>47</v>
      </c>
      <c r="AN54" s="27">
        <v>0.90674999999999994</v>
      </c>
    </row>
    <row r="55" spans="1:40" x14ac:dyDescent="0.2">
      <c r="A55" s="66" t="s">
        <v>378</v>
      </c>
      <c r="B55" s="83">
        <v>44866</v>
      </c>
      <c r="C55" s="131">
        <f>_xll.BDP(A55&amp;" Corp", "days to mty")</f>
        <v>2350</v>
      </c>
      <c r="D55" s="41" t="s">
        <v>379</v>
      </c>
      <c r="E55" s="41" t="s">
        <v>380</v>
      </c>
      <c r="F55" s="130">
        <v>94.38</v>
      </c>
      <c r="G55" s="130">
        <v>94.41</v>
      </c>
      <c r="H55" s="130">
        <f t="shared" si="1"/>
        <v>94.44</v>
      </c>
      <c r="I55" s="26">
        <f>ROUND(_xll.qlBondYieldFromCleanPrice(O55,F55,YieldDayCounter,YieldCompounding,YieldFrequency)*100,3)</f>
        <v>0.90300000000000002</v>
      </c>
      <c r="J55" s="26">
        <f>ROUND(_xll.qlBondYieldFromCleanPrice(P55,G55,YieldDayCounter,YieldCompounding,YieldFrequency)*100,3)</f>
        <v>0.89800000000000002</v>
      </c>
      <c r="K55" s="26">
        <f>ROUND(_xll.qlBondYieldFromCleanPrice(Q55,H55,YieldDayCounter,YieldCompounding,YieldFrequency)*100,3)</f>
        <v>0.89300000000000002</v>
      </c>
      <c r="L55" s="114">
        <f>_xll.qlBondDurationFromYield(P55,J55,YieldDayCounter,YieldCompounding,YieldFrequency,L$2)</f>
        <v>3.3886691196370067</v>
      </c>
      <c r="M55" s="114">
        <f>_xll.qlBondConvexityFromYield(P55,J55/100,YieldDayCounter,YieldCompounding,YieldFrequency)</f>
        <v>46.951349151781429</v>
      </c>
      <c r="N55" s="115">
        <f>_xll.BDP(A55&amp;" Corp","risk mid")</f>
        <v>6.0257406999447483</v>
      </c>
      <c r="O55" s="101" t="str">
        <f>_xll.qlZeroCouponBond(,,"EUR",3,"target",100,$B55,"f",100,,,Trigger)</f>
        <v>obj_009c9#0000</v>
      </c>
      <c r="P55" s="101" t="str">
        <f>_xll.qlZeroCouponBond(,,"EUR",3,"target",100,$B55,"f",100,,,Trigger)</f>
        <v>obj_00866#0000</v>
      </c>
      <c r="Q55" s="101" t="str">
        <f>_xll.qlZeroCouponBond(,,"EUR",3,"target",100,$B55,"f",100,,,Trigger)</f>
        <v>obj_00946#0000</v>
      </c>
      <c r="R55" s="117">
        <f t="shared" si="12"/>
        <v>94.44</v>
      </c>
      <c r="S55" s="122">
        <f t="shared" ref="S55" si="61">R55</f>
        <v>94.44</v>
      </c>
      <c r="T55" s="138" t="str">
        <f>IF(UPPER(U$1)="ABCD",_xll.RtContribute($E$3,$E55,$R$3:$S$3,$R55:$S55,"SCOPE:SERVER"),"--")</f>
        <v>Success: Insert Ack on DTSIMI2 for STRIP.IT0004869324 at 10:34:46</v>
      </c>
      <c r="U55" s="142" t="str">
        <f t="shared" si="4"/>
        <v>OK</v>
      </c>
      <c r="V55" s="126" t="str">
        <f t="shared" si="42"/>
        <v>EUR.PRICING.XLS_STRIPS.IT0004869324</v>
      </c>
      <c r="W55" s="126" t="str">
        <f>IF(UPPER($X$1)="ABCD",_xll.MKV_PUBLISHRECORD(V55, "XLS_STRIPS"),"--")</f>
        <v>Not connected</v>
      </c>
      <c r="X55" s="127" t="str">
        <f>IF(UPPER(X$1)="ABCD",_xll.MKV_SUPPLYRECORD(V55, "Bid",F55, "Ask",H55, "Id",A55, "Mid",G55, "Name",D55,"DV01",N55,"MidYield",J55,"BidYield",I55,"AskYield",K55),"--")</f>
        <v>Not connected</v>
      </c>
      <c r="Z55" s="27" t="str">
        <f t="shared" si="18"/>
        <v>IT0004869324@rbsm Corp</v>
      </c>
      <c r="AA55" s="27">
        <f>_xll.BDP(Z55,"bid")</f>
        <v>94.406000000000006</v>
      </c>
      <c r="AB55" s="27">
        <f>_xll.BDP(Z55,"ask")</f>
        <v>94.768000000000001</v>
      </c>
      <c r="AC55" s="27">
        <f t="shared" si="19"/>
        <v>94.587000000000003</v>
      </c>
      <c r="AD55" s="114">
        <f t="shared" si="20"/>
        <v>-0.17700000000000671</v>
      </c>
      <c r="AE55" s="27" t="str">
        <f t="shared" si="22"/>
        <v>0</v>
      </c>
      <c r="AF55" s="152">
        <f t="shared" si="23"/>
        <v>0</v>
      </c>
      <c r="AM55" s="27" t="s">
        <v>161</v>
      </c>
      <c r="AN55" s="27">
        <v>0.85499999999999998</v>
      </c>
    </row>
    <row r="56" spans="1:40" x14ac:dyDescent="0.2">
      <c r="A56" s="66" t="s">
        <v>49</v>
      </c>
      <c r="B56" s="83">
        <v>44958</v>
      </c>
      <c r="C56" s="131">
        <f>_xll.BDP(A56&amp;" Corp", "days to mty")</f>
        <v>2442</v>
      </c>
      <c r="D56" s="41" t="s">
        <v>381</v>
      </c>
      <c r="E56" s="41" t="s">
        <v>382</v>
      </c>
      <c r="F56" s="130">
        <v>93.81</v>
      </c>
      <c r="G56" s="130">
        <v>93.84</v>
      </c>
      <c r="H56" s="130">
        <f t="shared" si="1"/>
        <v>93.87</v>
      </c>
      <c r="I56" s="26">
        <f>ROUND(_xll.qlBondYieldFromCleanPrice(O56,F56,YieldDayCounter,YieldCompounding,YieldFrequency)*100,3)</f>
        <v>0.96099999999999997</v>
      </c>
      <c r="J56" s="26">
        <f>ROUND(_xll.qlBondYieldFromCleanPrice(P56,G56,YieldDayCounter,YieldCompounding,YieldFrequency)*100,3)</f>
        <v>0.95599999999999996</v>
      </c>
      <c r="K56" s="26">
        <f>ROUND(_xll.qlBondYieldFromCleanPrice(Q56,H56,YieldDayCounter,YieldCompounding,YieldFrequency)*100,3)</f>
        <v>0.95099999999999996</v>
      </c>
      <c r="L56" s="114">
        <f>_xll.qlBondDurationFromYield(P56,J56,YieldDayCounter,YieldCompounding,YieldFrequency,L$2)</f>
        <v>3.4166973973873302</v>
      </c>
      <c r="M56" s="114">
        <f>_xll.qlBondConvexityFromYield(P56,J56/100,YieldDayCounter,YieldCompounding,YieldFrequency)</f>
        <v>50.378511127416985</v>
      </c>
      <c r="N56" s="115">
        <f>_xll.BDP(A56&amp;" Corp","risk mid")</f>
        <v>6.173994450839615</v>
      </c>
      <c r="O56" s="101" t="str">
        <f>_xll.qlZeroCouponBond(,,"EUR",3,"target",100,$B56,"f",100,,,Trigger)</f>
        <v>obj_00856#0000</v>
      </c>
      <c r="P56" s="101" t="str">
        <f>_xll.qlZeroCouponBond(,,"EUR",3,"target",100,$B56,"f",100,,,Trigger)</f>
        <v>obj_008bb#0000</v>
      </c>
      <c r="Q56" s="101" t="str">
        <f>_xll.qlZeroCouponBond(,,"EUR",3,"target",100,$B56,"f",100,,,Trigger)</f>
        <v>obj_0092d#0000</v>
      </c>
      <c r="R56" s="117">
        <f t="shared" si="12"/>
        <v>93.87</v>
      </c>
      <c r="S56" s="122">
        <f t="shared" ref="S56" si="62">R56</f>
        <v>93.87</v>
      </c>
      <c r="T56" s="138" t="str">
        <f>IF(UPPER(U$1)="ABCD",_xll.RtContribute($E$3,$E56,$R$3:$S$3,$R56:$S56,"SCOPE:SERVER"),"--")</f>
        <v>Success: Insert Ack on DTSIMI2 for STRIP.IT0003268775 at 10:35:11</v>
      </c>
      <c r="U56" s="142" t="str">
        <f t="shared" si="4"/>
        <v>OK</v>
      </c>
      <c r="V56" s="126" t="str">
        <f t="shared" si="42"/>
        <v>EUR.PRICING.XLS_STRIPS.IT0003268775</v>
      </c>
      <c r="W56" s="126" t="str">
        <f>IF(UPPER($X$1)="ABCD",_xll.MKV_PUBLISHRECORD(V56, "XLS_STRIPS"),"--")</f>
        <v>Not connected</v>
      </c>
      <c r="X56" s="127" t="str">
        <f>IF(UPPER(X$1)="ABCD",_xll.MKV_SUPPLYRECORD(V56, "Bid",F56, "Ask",H56, "Id",A56, "Mid",G56, "Name",D56,"DV01",N56,"MidYield",J56,"BidYield",I56,"AskYield",K56),"--")</f>
        <v>Not connected</v>
      </c>
      <c r="Z56" s="27" t="str">
        <f t="shared" si="18"/>
        <v>IT0003268775@rbsm Corp</v>
      </c>
      <c r="AA56" s="27">
        <f>_xll.BDP(Z56,"bid")</f>
        <v>92.813999999999993</v>
      </c>
      <c r="AB56" s="27">
        <f>_xll.BDP(Z56,"ask")</f>
        <v>93.739000000000004</v>
      </c>
      <c r="AC56" s="27">
        <f t="shared" si="19"/>
        <v>93.276499999999999</v>
      </c>
      <c r="AD56" s="114">
        <f t="shared" si="20"/>
        <v>0.56350000000000477</v>
      </c>
      <c r="AE56" s="27" t="str">
        <f t="shared" si="22"/>
        <v>0</v>
      </c>
      <c r="AF56" s="152">
        <f t="shared" si="23"/>
        <v>0</v>
      </c>
      <c r="AM56" s="27" t="s">
        <v>164</v>
      </c>
      <c r="AN56" s="27">
        <v>0.85499999999999998</v>
      </c>
    </row>
    <row r="57" spans="1:40" x14ac:dyDescent="0.2">
      <c r="A57" s="66" t="s">
        <v>164</v>
      </c>
      <c r="B57" s="83">
        <v>44986</v>
      </c>
      <c r="C57" s="131">
        <f>_xll.BDP(A57&amp;" Corp", "days to mty")</f>
        <v>2470</v>
      </c>
      <c r="D57" s="41" t="s">
        <v>165</v>
      </c>
      <c r="E57" s="41" t="s">
        <v>166</v>
      </c>
      <c r="F57" s="130">
        <v>93.69</v>
      </c>
      <c r="G57" s="130">
        <v>93.72</v>
      </c>
      <c r="H57" s="130">
        <f t="shared" si="1"/>
        <v>93.75</v>
      </c>
      <c r="I57" s="26">
        <f>ROUND(_xll.qlBondYieldFromCleanPrice(O57,F57,YieldDayCounter,YieldCompounding,YieldFrequency)*100,3)</f>
        <v>0.96899999999999997</v>
      </c>
      <c r="J57" s="26">
        <f>ROUND(_xll.qlBondYieldFromCleanPrice(P57,G57,YieldDayCounter,YieldCompounding,YieldFrequency)*100,3)</f>
        <v>0.96399999999999997</v>
      </c>
      <c r="K57" s="26">
        <f>ROUND(_xll.qlBondYieldFromCleanPrice(Q57,H57,YieldDayCounter,YieldCompounding,YieldFrequency)*100,3)</f>
        <v>0.95899999999999996</v>
      </c>
      <c r="L57" s="114">
        <f>_xll.qlBondDurationFromYield(P57,J57,YieldDayCounter,YieldCompounding,YieldFrequency,L$2)</f>
        <v>3.442792176994113</v>
      </c>
      <c r="M57" s="114">
        <f>_xll.qlBondConvexityFromYield(P57,J57/100,YieldDayCounter,YieldCompounding,YieldFrequency)</f>
        <v>51.484073856993469</v>
      </c>
      <c r="N57" s="115">
        <f>_xll.BDP(A57&amp;" Corp","risk mid")</f>
        <v>6.2240737952166114</v>
      </c>
      <c r="O57" s="101" t="str">
        <f>_xll.qlZeroCouponBond(,,"EUR",3,"target",100,$B57,"f",100,,,Trigger)</f>
        <v>obj_00863#0000</v>
      </c>
      <c r="P57" s="101" t="str">
        <f>_xll.qlZeroCouponBond(,,"EUR",3,"target",100,$B57,"f",100,,,Trigger)</f>
        <v>obj_008f0#0000</v>
      </c>
      <c r="Q57" s="101" t="str">
        <f>_xll.qlZeroCouponBond(,,"EUR",3,"target",100,$B57,"f",100,,,Trigger)</f>
        <v>obj_008ba#0000</v>
      </c>
      <c r="R57" s="117">
        <f t="shared" si="12"/>
        <v>93.75</v>
      </c>
      <c r="S57" s="122">
        <f t="shared" ref="S57" si="63">R57</f>
        <v>93.75</v>
      </c>
      <c r="T57" s="138" t="str">
        <f>IF(UPPER(U$1)="ABCD",_xll.RtContribute($E$3,$E57,$R$3:$S$3,$R57:$S57,"SCOPE:SERVER"),"--")</f>
        <v>Success: Insert Ack on DTSIMI2 for STRIP.IT0004957921 at 10:34:46</v>
      </c>
      <c r="U57" s="142" t="str">
        <f t="shared" si="4"/>
        <v>OK</v>
      </c>
      <c r="V57" s="126" t="str">
        <f t="shared" si="42"/>
        <v>EUR.PRICING.XLS_STRIPS.IT0004957921</v>
      </c>
      <c r="W57" s="126" t="str">
        <f>IF(UPPER($X$1)="ABCD",_xll.MKV_PUBLISHRECORD(V57, "XLS_STRIPS"),"--")</f>
        <v>Not connected</v>
      </c>
      <c r="X57" s="127" t="str">
        <f>IF(UPPER(X$1)="ABCD",_xll.MKV_SUPPLYRECORD(V57, "Bid",F57, "Ask",H57, "Id",A57, "Mid",G57, "Name",D57,"DV01",N57,"MidYield",J57,"BidYield",I57,"AskYield",K57),"--")</f>
        <v>Not connected</v>
      </c>
      <c r="Z57" s="27" t="str">
        <f t="shared" si="18"/>
        <v>IT0004957921@rbsm Corp</v>
      </c>
      <c r="AA57" s="27">
        <f>_xll.BDP(Z57,"bid")</f>
        <v>92.036000000000001</v>
      </c>
      <c r="AB57" s="27">
        <f>_xll.BDP(Z57,"ask")</f>
        <v>93.275999999999996</v>
      </c>
      <c r="AC57" s="27">
        <f t="shared" si="19"/>
        <v>92.656000000000006</v>
      </c>
      <c r="AD57" s="114">
        <f t="shared" si="20"/>
        <v>1.063999999999993</v>
      </c>
      <c r="AE57" s="27">
        <f t="shared" si="22"/>
        <v>0.85499999999999998</v>
      </c>
      <c r="AF57" s="152">
        <f t="shared" si="23"/>
        <v>9097.1999999999389</v>
      </c>
      <c r="AM57" s="27" t="s">
        <v>540</v>
      </c>
      <c r="AN57" s="27">
        <v>-5</v>
      </c>
    </row>
    <row r="58" spans="1:40" x14ac:dyDescent="0.2">
      <c r="A58" s="66" t="s">
        <v>50</v>
      </c>
      <c r="B58" s="83">
        <v>45047</v>
      </c>
      <c r="C58" s="131">
        <f>_xll.BDP(A58&amp;" Corp", "days to mty")</f>
        <v>2531</v>
      </c>
      <c r="D58" s="41" t="s">
        <v>383</v>
      </c>
      <c r="E58" s="41" t="s">
        <v>384</v>
      </c>
      <c r="F58" s="130">
        <v>93.47</v>
      </c>
      <c r="G58" s="151">
        <v>93.5</v>
      </c>
      <c r="H58" s="130">
        <f t="shared" si="1"/>
        <v>93.53</v>
      </c>
      <c r="I58" s="26">
        <f>ROUND(_xll.qlBondYieldFromCleanPrice(O58,F58,YieldDayCounter,YieldCompounding,YieldFrequency)*100,3)</f>
        <v>0.97899999999999998</v>
      </c>
      <c r="J58" s="26">
        <f>ROUND(_xll.qlBondYieldFromCleanPrice(P58,G58,YieldDayCounter,YieldCompounding,YieldFrequency)*100,3)</f>
        <v>0.97399999999999998</v>
      </c>
      <c r="K58" s="26">
        <f>ROUND(_xll.qlBondYieldFromCleanPrice(Q58,H58,YieldDayCounter,YieldCompounding,YieldFrequency)*100,3)</f>
        <v>0.97</v>
      </c>
      <c r="L58" s="114">
        <f>_xll.qlBondDurationFromYield(P58,J58,YieldDayCounter,YieldCompounding,YieldFrequency,L$2)</f>
        <v>3.5114016460562656</v>
      </c>
      <c r="M58" s="114">
        <f>_xll.qlBondConvexityFromYield(P58,J58/100,YieldDayCounter,YieldCompounding,YieldFrequency)</f>
        <v>53.921782302097192</v>
      </c>
      <c r="N58" s="115">
        <f>_xll.BDP(A58&amp;" Corp","risk mid")</f>
        <v>6.3957565512581027</v>
      </c>
      <c r="O58" s="101" t="str">
        <f>_xll.qlZeroCouponBond(,,"EUR",3,"target",100,$B58,"f",100,,,Trigger)</f>
        <v>obj_00857#0000</v>
      </c>
      <c r="P58" s="101" t="str">
        <f>_xll.qlZeroCouponBond(,,"EUR",3,"target",100,$B58,"f",100,,,Trigger)</f>
        <v>obj_00956#0000</v>
      </c>
      <c r="Q58" s="101" t="str">
        <f>_xll.qlZeroCouponBond(,,"EUR",3,"target",100,$B58,"f",100,,,Trigger)</f>
        <v>obj_0095f#0000</v>
      </c>
      <c r="R58" s="117">
        <f t="shared" si="12"/>
        <v>93.53</v>
      </c>
      <c r="S58" s="122">
        <f t="shared" ref="S58" si="64">R58</f>
        <v>93.53</v>
      </c>
      <c r="T58" s="138" t="str">
        <f>IF(UPPER(U$1)="ABCD",_xll.RtContribute($E$3,$E58,$R$3:$S$3,$R58:$S58,"SCOPE:SERVER"),"--")</f>
        <v>Success: Insert Ack on DTSIMI2 for STRIP.IT0001247318 at 10:36:15</v>
      </c>
      <c r="U58" s="142" t="str">
        <f t="shared" si="4"/>
        <v>OK</v>
      </c>
      <c r="V58" s="126" t="str">
        <f t="shared" si="42"/>
        <v>EUR.PRICING.XLS_STRIPS.IT0001247318</v>
      </c>
      <c r="W58" s="126" t="str">
        <f>IF(UPPER($X$1)="ABCD",_xll.MKV_PUBLISHRECORD(V58, "XLS_STRIPS"),"--")</f>
        <v>Not connected</v>
      </c>
      <c r="X58" s="127" t="str">
        <f>IF(UPPER(X$1)="ABCD",_xll.MKV_SUPPLYRECORD(V58, "Bid",F58, "Ask",H58, "Id",A58, "Mid",G58, "Name",D58,"DV01",N58,"MidYield",J58,"BidYield",I58,"AskYield",K58),"--")</f>
        <v>Not connected</v>
      </c>
      <c r="Z58" s="27" t="str">
        <f t="shared" si="18"/>
        <v>IT0001247318@rbsm Corp</v>
      </c>
      <c r="AA58" s="27">
        <f>_xll.BDP(Z58,"bid")</f>
        <v>92.923000000000002</v>
      </c>
      <c r="AB58" s="27">
        <f>_xll.BDP(Z58,"ask")</f>
        <v>93.242999999999995</v>
      </c>
      <c r="AC58" s="27">
        <f t="shared" si="19"/>
        <v>93.082999999999998</v>
      </c>
      <c r="AD58" s="114">
        <f t="shared" si="20"/>
        <v>0.41700000000000159</v>
      </c>
      <c r="AE58" s="27" t="str">
        <f t="shared" si="22"/>
        <v>0</v>
      </c>
      <c r="AF58" s="152">
        <f t="shared" si="23"/>
        <v>0</v>
      </c>
      <c r="AN58" s="27">
        <v>5.8193763199999999</v>
      </c>
    </row>
    <row r="59" spans="1:40" x14ac:dyDescent="0.2">
      <c r="A59" s="66" t="s">
        <v>385</v>
      </c>
      <c r="B59" s="83">
        <v>45139</v>
      </c>
      <c r="C59" s="131">
        <f>_xll.BDP(A59&amp;" Corp", "days to mty")</f>
        <v>2623</v>
      </c>
      <c r="D59" s="41" t="s">
        <v>386</v>
      </c>
      <c r="E59" s="41" t="s">
        <v>387</v>
      </c>
      <c r="F59" s="130">
        <v>92.9</v>
      </c>
      <c r="G59" s="130">
        <v>92.93</v>
      </c>
      <c r="H59" s="130">
        <f t="shared" si="1"/>
        <v>92.96</v>
      </c>
      <c r="I59" s="26">
        <f>ROUND(_xll.qlBondYieldFromCleanPrice(O59,F59,YieldDayCounter,YieldCompounding,YieldFrequency)*100,3)</f>
        <v>1.0309999999999999</v>
      </c>
      <c r="J59" s="26">
        <f>ROUND(_xll.qlBondYieldFromCleanPrice(P59,G59,YieldDayCounter,YieldCompounding,YieldFrequency)*100,3)</f>
        <v>1.026</v>
      </c>
      <c r="K59" s="26">
        <f>ROUND(_xll.qlBondYieldFromCleanPrice(Q59,H59,YieldDayCounter,YieldCompounding,YieldFrequency)*100,3)</f>
        <v>1.022</v>
      </c>
      <c r="L59" s="114">
        <f>_xll.qlBondDurationFromYield(P59,J59,YieldDayCounter,YieldCompounding,YieldFrequency,L$2)</f>
        <v>3.5440907546162186</v>
      </c>
      <c r="M59" s="114">
        <f>_xll.qlBondConvexityFromYield(P59,J59/100,YieldDayCounter,YieldCompounding,YieldFrequency)</f>
        <v>57.550442888008078</v>
      </c>
      <c r="N59" s="115">
        <f>_xll.BDP(A59&amp;" Corp","risk mid")</f>
        <v>6.6057274050230319</v>
      </c>
      <c r="O59" s="101" t="str">
        <f>_xll.qlZeroCouponBond(,,"EUR",3,"target",100,$B59,"f",100,,,Trigger)</f>
        <v>obj_00864#0000</v>
      </c>
      <c r="P59" s="101" t="str">
        <f>_xll.qlZeroCouponBond(,,"EUR",3,"target",100,$B59,"f",100,,,Trigger)</f>
        <v>obj_009ab#0000</v>
      </c>
      <c r="Q59" s="101" t="str">
        <f>_xll.qlZeroCouponBond(,,"EUR",3,"target",100,$B59,"f",100,,,Trigger)</f>
        <v>obj_008cd#0000</v>
      </c>
      <c r="R59" s="117">
        <f t="shared" si="12"/>
        <v>92.96</v>
      </c>
      <c r="S59" s="122">
        <f t="shared" ref="S59" si="65">R59</f>
        <v>92.96</v>
      </c>
      <c r="T59" s="138" t="str">
        <f>IF(UPPER(U$1)="ABCD",_xll.RtContribute($E$3,$E59,$R$3:$S$3,$R59:$S59,"SCOPE:SERVER"),"--")</f>
        <v>Success: Insert Ack on DTSIMI2 for STRIP.IT0004848708 at 10:34:49</v>
      </c>
      <c r="U59" s="142" t="str">
        <f t="shared" si="4"/>
        <v>OK</v>
      </c>
      <c r="V59" s="126" t="str">
        <f t="shared" si="42"/>
        <v>EUR.PRICING.XLS_STRIPS.IT0004848708</v>
      </c>
      <c r="W59" s="126" t="str">
        <f>IF(UPPER($X$1)="ABCD",_xll.MKV_PUBLISHRECORD(V59, "XLS_STRIPS"),"--")</f>
        <v>Not connected</v>
      </c>
      <c r="X59" s="127" t="str">
        <f>IF(UPPER(X$1)="ABCD",_xll.MKV_SUPPLYRECORD(V59, "Bid",F59, "Ask",H59, "Id",A59, "Mid",G59, "Name",D59,"DV01",N59,"MidYield",J59,"BidYield",I59,"AskYield",K59),"--")</f>
        <v>Not connected</v>
      </c>
      <c r="Z59" s="27" t="str">
        <f t="shared" si="18"/>
        <v>IT0004848708@rbsm Corp</v>
      </c>
      <c r="AA59" s="27">
        <f>_xll.BDP(Z59,"bid")</f>
        <v>92.337000000000003</v>
      </c>
      <c r="AB59" s="27">
        <f>_xll.BDP(Z59,"ask")</f>
        <v>93.128</v>
      </c>
      <c r="AC59" s="27">
        <f t="shared" si="19"/>
        <v>92.732500000000002</v>
      </c>
      <c r="AD59" s="114">
        <f t="shared" si="20"/>
        <v>0.19750000000000512</v>
      </c>
      <c r="AE59" s="27" t="str">
        <f t="shared" si="22"/>
        <v>0</v>
      </c>
      <c r="AF59" s="152">
        <f t="shared" si="23"/>
        <v>0</v>
      </c>
      <c r="AM59" s="27" t="s">
        <v>167</v>
      </c>
      <c r="AN59" s="27">
        <v>0.85499999999999998</v>
      </c>
    </row>
    <row r="60" spans="1:40" x14ac:dyDescent="0.2">
      <c r="A60" s="66" t="s">
        <v>167</v>
      </c>
      <c r="B60" s="83">
        <v>45170</v>
      </c>
      <c r="C60" s="131">
        <f>_xll.BDP(A60&amp;" Corp", "days to mty")</f>
        <v>2654</v>
      </c>
      <c r="D60" s="41" t="s">
        <v>168</v>
      </c>
      <c r="E60" s="41" t="s">
        <v>169</v>
      </c>
      <c r="F60" s="130">
        <v>92.41</v>
      </c>
      <c r="G60" s="130">
        <v>92.44</v>
      </c>
      <c r="H60" s="130">
        <f t="shared" si="1"/>
        <v>92.47</v>
      </c>
      <c r="I60" s="26">
        <f>ROUND(_xll.qlBondYieldFromCleanPrice(O60,F60,YieldDayCounter,YieldCompounding,YieldFrequency)*100,3)</f>
        <v>1.0920000000000001</v>
      </c>
      <c r="J60" s="26">
        <f>ROUND(_xll.qlBondYieldFromCleanPrice(P60,G60,YieldDayCounter,YieldCompounding,YieldFrequency)*100,3)</f>
        <v>1.0880000000000001</v>
      </c>
      <c r="K60" s="26">
        <f>ROUND(_xll.qlBondYieldFromCleanPrice(Q60,H60,YieldDayCounter,YieldCompounding,YieldFrequency)*100,3)</f>
        <v>1.083</v>
      </c>
      <c r="L60" s="114">
        <f>_xll.qlBondDurationFromYield(P60,J60,YieldDayCounter,YieldCompounding,YieldFrequency,L$2)</f>
        <v>3.4794192157109052</v>
      </c>
      <c r="M60" s="114">
        <f>_xll.qlBondConvexityFromYield(P60,J60/100,YieldDayCounter,YieldCompounding,YieldFrequency)</f>
        <v>58.760074409973157</v>
      </c>
      <c r="N60" s="115">
        <f>_xll.BDP(A60&amp;" Corp","risk mid")</f>
        <v>6.5705375192756321</v>
      </c>
      <c r="O60" s="101" t="str">
        <f>_xll.qlZeroCouponBond(,,"EUR",3,"target",100,$B60,"f",100,,,Trigger)</f>
        <v>obj_008ed#0000</v>
      </c>
      <c r="P60" s="101" t="str">
        <f>_xll.qlZeroCouponBond(,,"EUR",3,"target",100,$B60,"f",100,,,Trigger)</f>
        <v>obj_00932#0000</v>
      </c>
      <c r="Q60" s="101" t="str">
        <f>_xll.qlZeroCouponBond(,,"EUR",3,"target",100,$B60,"f",100,,,Trigger)</f>
        <v>obj_008f8#0000</v>
      </c>
      <c r="R60" s="117">
        <f t="shared" si="12"/>
        <v>92.47</v>
      </c>
      <c r="S60" s="122">
        <f t="shared" ref="S60" si="66">R60</f>
        <v>92.47</v>
      </c>
      <c r="T60" s="138" t="str">
        <f>IF(UPPER(U$1)="ABCD",_xll.RtContribute($E$3,$E60,$R$3:$S$3,$R60:$S60,"SCOPE:SERVER"),"--")</f>
        <v>Success: Insert Ack on DTSIMI2 for STRIP.IT0004957939 at 10:34:54</v>
      </c>
      <c r="U60" s="142" t="str">
        <f t="shared" si="4"/>
        <v>OK</v>
      </c>
      <c r="V60" s="126" t="str">
        <f t="shared" si="42"/>
        <v>EUR.PRICING.XLS_STRIPS.IT0004957939</v>
      </c>
      <c r="W60" s="126" t="str">
        <f>IF(UPPER($X$1)="ABCD",_xll.MKV_PUBLISHRECORD(V60, "XLS_STRIPS"),"--")</f>
        <v>Not connected</v>
      </c>
      <c r="X60" s="127" t="str">
        <f>IF(UPPER(X$1)="ABCD",_xll.MKV_SUPPLYRECORD(V60, "Bid",F60, "Ask",H60, "Id",A60, "Mid",G60, "Name",D60,"DV01",N60,"MidYield",J60,"BidYield",I60,"AskYield",K60),"--")</f>
        <v>Not connected</v>
      </c>
      <c r="Z60" s="27" t="str">
        <f t="shared" si="18"/>
        <v>IT0004957939@rbsm Corp</v>
      </c>
      <c r="AA60" s="27">
        <f>_xll.BDP(Z60,"bid")</f>
        <v>90.599000000000004</v>
      </c>
      <c r="AB60" s="27">
        <f>_xll.BDP(Z60,"ask")</f>
        <v>91.908000000000001</v>
      </c>
      <c r="AC60" s="27">
        <f t="shared" si="19"/>
        <v>91.253500000000003</v>
      </c>
      <c r="AD60" s="114">
        <f t="shared" si="20"/>
        <v>1.1864999999999952</v>
      </c>
      <c r="AE60" s="27">
        <f t="shared" si="22"/>
        <v>0.85499999999999998</v>
      </c>
      <c r="AF60" s="152">
        <f t="shared" si="23"/>
        <v>10144.574999999957</v>
      </c>
      <c r="AM60" s="27" t="s">
        <v>170</v>
      </c>
      <c r="AN60" s="27">
        <v>0.85499999999999998</v>
      </c>
    </row>
    <row r="61" spans="1:40" x14ac:dyDescent="0.2">
      <c r="A61" s="66" t="s">
        <v>388</v>
      </c>
      <c r="B61" s="83">
        <v>45231</v>
      </c>
      <c r="C61" s="131">
        <f>_xll.BDP(A61&amp;" Corp", "days to mty")</f>
        <v>2715</v>
      </c>
      <c r="D61" s="41" t="s">
        <v>389</v>
      </c>
      <c r="E61" s="41" t="s">
        <v>390</v>
      </c>
      <c r="F61" s="130">
        <v>91.41</v>
      </c>
      <c r="G61" s="130">
        <v>91.44</v>
      </c>
      <c r="H61" s="130">
        <f t="shared" si="1"/>
        <v>91.47</v>
      </c>
      <c r="I61" s="26">
        <f>ROUND(_xll.qlBondYieldFromCleanPrice(O61,F61,YieldDayCounter,YieldCompounding,YieldFrequency)*100,3)</f>
        <v>1.216</v>
      </c>
      <c r="J61" s="26">
        <f>ROUND(_xll.qlBondYieldFromCleanPrice(P61,G61,YieldDayCounter,YieldCompounding,YieldFrequency)*100,3)</f>
        <v>1.2110000000000001</v>
      </c>
      <c r="K61" s="26">
        <f>ROUND(_xll.qlBondYieldFromCleanPrice(Q61,H61,YieldDayCounter,YieldCompounding,YieldFrequency)*100,3)</f>
        <v>1.2070000000000001</v>
      </c>
      <c r="L61" s="114">
        <f>_xll.qlBondDurationFromYield(P61,J61,YieldDayCounter,YieldCompounding,YieldFrequency,L$2)</f>
        <v>3.3612365396069825</v>
      </c>
      <c r="M61" s="114">
        <f>_xll.qlBondConvexityFromYield(P61,J61/100,YieldDayCounter,YieldCompounding,YieldFrequency)</f>
        <v>61.171231421684865</v>
      </c>
      <c r="N61" s="115">
        <f>_xll.BDP(A61&amp;" Corp","risk mid")</f>
        <v>6.7310429677242212</v>
      </c>
      <c r="O61" s="101" t="str">
        <f>_xll.qlZeroCouponBond(,,"EUR",3,"target",100,$B61,"f",100,,,Trigger)</f>
        <v>obj_00997#0000</v>
      </c>
      <c r="P61" s="101" t="str">
        <f>_xll.qlZeroCouponBond(,,"EUR",3,"target",100,$B61,"f",100,,,Trigger)</f>
        <v>obj_0096c#0000</v>
      </c>
      <c r="Q61" s="101" t="str">
        <f>_xll.qlZeroCouponBond(,,"EUR",3,"target",100,$B61,"f",100,,,Trigger)</f>
        <v>obj_009da#0000</v>
      </c>
      <c r="R61" s="117">
        <f t="shared" si="12"/>
        <v>91.47</v>
      </c>
      <c r="S61" s="122">
        <f t="shared" ref="S61" si="67">R61</f>
        <v>91.47</v>
      </c>
      <c r="T61" s="138" t="str">
        <f>IF(UPPER(U$1)="ABCD",_xll.RtContribute($E$3,$E61,$R$3:$S$3,$R61:$S61,"SCOPE:SERVER"),"--")</f>
        <v>Success: Insert Ack on DTSIMI2 for STRIP.IT0004848435 at 10:34:46</v>
      </c>
      <c r="U61" s="142" t="str">
        <f t="shared" si="4"/>
        <v>OK</v>
      </c>
      <c r="V61" s="126" t="str">
        <f t="shared" si="42"/>
        <v>EUR.PRICING.XLS_STRIPS.IT0004848435</v>
      </c>
      <c r="W61" s="126" t="str">
        <f>IF(UPPER($X$1)="ABCD",_xll.MKV_PUBLISHRECORD(V61, "XLS_STRIPS"),"--")</f>
        <v>Not connected</v>
      </c>
      <c r="X61" s="127" t="str">
        <f>IF(UPPER(X$1)="ABCD",_xll.MKV_SUPPLYRECORD(V61, "Bid",F61, "Ask",H61, "Id",A61, "Mid",G61, "Name",D61,"DV01",N61,"MidYield",J61,"BidYield",I61,"AskYield",K61),"--")</f>
        <v>Not connected</v>
      </c>
      <c r="Z61" s="27" t="str">
        <f t="shared" si="18"/>
        <v>IT0004848435@rbsm Corp</v>
      </c>
      <c r="AA61" s="27">
        <f>_xll.BDP(Z61,"bid")</f>
        <v>91.421999999999997</v>
      </c>
      <c r="AB61" s="27">
        <f>_xll.BDP(Z61,"ask")</f>
        <v>91.825999999999993</v>
      </c>
      <c r="AC61" s="27">
        <f t="shared" si="19"/>
        <v>91.623999999999995</v>
      </c>
      <c r="AD61" s="114">
        <f t="shared" si="20"/>
        <v>-0.1839999999999975</v>
      </c>
      <c r="AE61" s="27" t="str">
        <f t="shared" si="22"/>
        <v>0</v>
      </c>
      <c r="AF61" s="152">
        <f t="shared" si="23"/>
        <v>0</v>
      </c>
      <c r="AM61" s="27" t="s">
        <v>173</v>
      </c>
      <c r="AN61" s="27">
        <v>0.85499999999999998</v>
      </c>
    </row>
    <row r="62" spans="1:40" x14ac:dyDescent="0.2">
      <c r="A62" s="66" t="s">
        <v>51</v>
      </c>
      <c r="B62" s="83">
        <v>45323</v>
      </c>
      <c r="C62" s="131">
        <f>_xll.BDP(A62&amp;" Corp", "days to mty")</f>
        <v>2807</v>
      </c>
      <c r="D62" s="41" t="s">
        <v>391</v>
      </c>
      <c r="E62" s="41" t="s">
        <v>392</v>
      </c>
      <c r="F62" s="130">
        <v>90.91</v>
      </c>
      <c r="G62" s="130">
        <v>90.94</v>
      </c>
      <c r="H62" s="130">
        <f t="shared" si="1"/>
        <v>90.97</v>
      </c>
      <c r="I62" s="26">
        <f>ROUND(_xll.qlBondYieldFromCleanPrice(O62,F62,YieldDayCounter,YieldCompounding,YieldFrequency)*100,3)</f>
        <v>1.248</v>
      </c>
      <c r="J62" s="26">
        <f>ROUND(_xll.qlBondYieldFromCleanPrice(P62,G62,YieldDayCounter,YieldCompounding,YieldFrequency)*100,3)</f>
        <v>1.244</v>
      </c>
      <c r="K62" s="26">
        <f>ROUND(_xll.qlBondYieldFromCleanPrice(Q62,H62,YieldDayCounter,YieldCompounding,YieldFrequency)*100,3)</f>
        <v>1.2390000000000001</v>
      </c>
      <c r="L62" s="114">
        <f>_xll.qlBondDurationFromYield(P62,J62,YieldDayCounter,YieldCompounding,YieldFrequency,L$2)</f>
        <v>3.4238235781148032</v>
      </c>
      <c r="M62" s="114">
        <f>_xll.qlBondConvexityFromYield(P62,J62/100,YieldDayCounter,YieldCompounding,YieldFrequency)</f>
        <v>65.083132564966917</v>
      </c>
      <c r="N62" s="115">
        <f>_xll.BDP(A62&amp;" Corp","risk mid")</f>
        <v>6.8508280900161367</v>
      </c>
      <c r="O62" s="101" t="str">
        <f>_xll.qlZeroCouponBond(,,"EUR",3,"target",100,$B62,"f",100,,,Trigger)</f>
        <v>obj_008a5#0000</v>
      </c>
      <c r="P62" s="101" t="str">
        <f>_xll.qlZeroCouponBond(,,"EUR",3,"target",100,$B62,"f",100,,,Trigger)</f>
        <v>obj_00915#0000</v>
      </c>
      <c r="Q62" s="101" t="str">
        <f>_xll.qlZeroCouponBond(,,"EUR",3,"target",100,$B62,"f",100,,,Trigger)</f>
        <v>obj_00929#0000</v>
      </c>
      <c r="R62" s="117">
        <f t="shared" si="12"/>
        <v>90.97</v>
      </c>
      <c r="S62" s="122">
        <f t="shared" ref="S62" si="68">R62</f>
        <v>90.97</v>
      </c>
      <c r="T62" s="138" t="str">
        <f>IF(UPPER(U$1)="ABCD",_xll.RtContribute($E$3,$E62,$R$3:$S$3,$R62:$S62,"SCOPE:SERVER"),"--")</f>
        <v>Success: Insert Ack on DTSIMI2 for STRIP.IT0003268809 at 10:35:01</v>
      </c>
      <c r="U62" s="142" t="str">
        <f t="shared" si="4"/>
        <v>OK</v>
      </c>
      <c r="V62" s="126" t="str">
        <f t="shared" si="42"/>
        <v>EUR.PRICING.XLS_STRIPS.IT0003268809</v>
      </c>
      <c r="W62" s="126" t="str">
        <f>IF(UPPER($X$1)="ABCD",_xll.MKV_PUBLISHRECORD(V62, "XLS_STRIPS"),"--")</f>
        <v>Not connected</v>
      </c>
      <c r="X62" s="127" t="str">
        <f>IF(UPPER(X$1)="ABCD",_xll.MKV_SUPPLYRECORD(V62, "Bid",F62, "Ask",H62, "Id",A62, "Mid",G62, "Name",D62,"DV01",N62,"MidYield",J62,"BidYield",I62,"AskYield",K62),"--")</f>
        <v>Not connected</v>
      </c>
      <c r="Z62" s="27" t="str">
        <f t="shared" si="18"/>
        <v>IT0003268809@rbsm Corp</v>
      </c>
      <c r="AA62" s="27">
        <f>_xll.BDP(Z62,"bid")</f>
        <v>89.861000000000004</v>
      </c>
      <c r="AB62" s="27">
        <f>_xll.BDP(Z62,"ask")</f>
        <v>91.027000000000001</v>
      </c>
      <c r="AC62" s="27">
        <f t="shared" si="19"/>
        <v>90.444000000000003</v>
      </c>
      <c r="AD62" s="114">
        <f t="shared" si="20"/>
        <v>0.49599999999999511</v>
      </c>
      <c r="AE62" s="27" t="str">
        <f t="shared" si="22"/>
        <v>0</v>
      </c>
      <c r="AF62" s="152">
        <f t="shared" si="23"/>
        <v>0</v>
      </c>
      <c r="AM62" s="27" t="s">
        <v>54</v>
      </c>
      <c r="AN62" s="27">
        <v>0.17062632</v>
      </c>
    </row>
    <row r="63" spans="1:40" x14ac:dyDescent="0.2">
      <c r="A63" s="66" t="s">
        <v>170</v>
      </c>
      <c r="B63" s="83">
        <v>45352</v>
      </c>
      <c r="C63" s="131">
        <f>_xll.BDP(A63&amp;" Corp", "days to mty")</f>
        <v>2836</v>
      </c>
      <c r="D63" s="41" t="s">
        <v>171</v>
      </c>
      <c r="E63" s="41" t="s">
        <v>172</v>
      </c>
      <c r="F63" s="130">
        <v>90.81</v>
      </c>
      <c r="G63" s="130">
        <v>90.84</v>
      </c>
      <c r="H63" s="130">
        <f t="shared" si="1"/>
        <v>90.87</v>
      </c>
      <c r="I63" s="26">
        <f>ROUND(_xll.qlBondYieldFromCleanPrice(O63,F63,YieldDayCounter,YieldCompounding,YieldFrequency)*100,3)</f>
        <v>1.25</v>
      </c>
      <c r="J63" s="26">
        <f>ROUND(_xll.qlBondYieldFromCleanPrice(P63,G63,YieldDayCounter,YieldCompounding,YieldFrequency)*100,3)</f>
        <v>1.2450000000000001</v>
      </c>
      <c r="K63" s="26">
        <f>ROUND(_xll.qlBondYieldFromCleanPrice(Q63,H63,YieldDayCounter,YieldCompounding,YieldFrequency)*100,3)</f>
        <v>1.2410000000000001</v>
      </c>
      <c r="L63" s="114">
        <f>_xll.qlBondDurationFromYield(P63,J63,YieldDayCounter,YieldCompounding,YieldFrequency,L$2)</f>
        <v>3.4573023766665649</v>
      </c>
      <c r="M63" s="114">
        <f>_xll.qlBondConvexityFromYield(P63,J63/100,YieldDayCounter,YieldCompounding,YieldFrequency)</f>
        <v>66.342546205542845</v>
      </c>
      <c r="N63" s="115">
        <f>_xll.BDP(A63&amp;" Corp","risk mid")</f>
        <v>6.9872307221579888</v>
      </c>
      <c r="O63" s="101" t="str">
        <f>_xll.qlZeroCouponBond(,,"EUR",3,"target",100,$B63,"f",100,,,Trigger)</f>
        <v>obj_00991#0000</v>
      </c>
      <c r="P63" s="101" t="str">
        <f>_xll.qlZeroCouponBond(,,"EUR",3,"target",100,$B63,"f",100,,,Trigger)</f>
        <v>obj_008db#0000</v>
      </c>
      <c r="Q63" s="101" t="str">
        <f>_xll.qlZeroCouponBond(,,"EUR",3,"target",100,$B63,"f",100,,,Trigger)</f>
        <v>obj_00971#0000</v>
      </c>
      <c r="R63" s="117">
        <f t="shared" si="12"/>
        <v>90.87</v>
      </c>
      <c r="S63" s="122">
        <f t="shared" ref="S63" si="69">R63</f>
        <v>90.87</v>
      </c>
      <c r="T63" s="138" t="str">
        <f>IF(UPPER(U$1)="ABCD",_xll.RtContribute($E$3,$E63,$R$3:$S$3,$R63:$S63,"SCOPE:SERVER"),"--")</f>
        <v>Success: Insert Ack on DTSIMI2 for STRIP.IT0004957947 at 10:35:01</v>
      </c>
      <c r="U63" s="142" t="str">
        <f t="shared" si="4"/>
        <v>OK</v>
      </c>
      <c r="V63" s="126" t="str">
        <f t="shared" si="42"/>
        <v>EUR.PRICING.XLS_STRIPS.IT0004957947</v>
      </c>
      <c r="W63" s="126" t="str">
        <f>IF(UPPER($X$1)="ABCD",_xll.MKV_PUBLISHRECORD(V63, "XLS_STRIPS"),"--")</f>
        <v>Not connected</v>
      </c>
      <c r="X63" s="127" t="str">
        <f>IF(UPPER(X$1)="ABCD",_xll.MKV_SUPPLYRECORD(V63, "Bid",F63, "Ask",H63, "Id",A63, "Mid",G63, "Name",D63,"DV01",N63,"MidYield",J63,"BidYield",I63,"AskYield",K63),"--")</f>
        <v>Not connected</v>
      </c>
      <c r="Z63" s="27" t="str">
        <f t="shared" si="18"/>
        <v>IT0004957947@rbsm Corp</v>
      </c>
      <c r="AA63" s="27">
        <f>_xll.BDP(Z63,"bid")</f>
        <v>90.323999999999998</v>
      </c>
      <c r="AB63" s="27">
        <f>_xll.BDP(Z63,"ask")</f>
        <v>91.721000000000004</v>
      </c>
      <c r="AC63" s="27">
        <f t="shared" si="19"/>
        <v>91.022500000000008</v>
      </c>
      <c r="AD63" s="114">
        <f t="shared" si="20"/>
        <v>-0.18250000000000455</v>
      </c>
      <c r="AE63" s="27">
        <f t="shared" si="22"/>
        <v>0.85499999999999998</v>
      </c>
      <c r="AF63" s="152">
        <f t="shared" si="23"/>
        <v>-1560.3750000000389</v>
      </c>
      <c r="AM63" s="27" t="s">
        <v>176</v>
      </c>
      <c r="AN63" s="27">
        <v>0.85499999999999998</v>
      </c>
    </row>
    <row r="64" spans="1:40" x14ac:dyDescent="0.2">
      <c r="A64" s="66" t="s">
        <v>52</v>
      </c>
      <c r="B64" s="83">
        <v>45413</v>
      </c>
      <c r="C64" s="131">
        <f>_xll.BDP(A64&amp;" Corp", "days to mty")</f>
        <v>2897</v>
      </c>
      <c r="D64" s="41" t="s">
        <v>393</v>
      </c>
      <c r="E64" s="41" t="s">
        <v>394</v>
      </c>
      <c r="F64" s="130">
        <v>90.38</v>
      </c>
      <c r="G64" s="130">
        <v>90.41</v>
      </c>
      <c r="H64" s="130">
        <f t="shared" si="1"/>
        <v>90.44</v>
      </c>
      <c r="I64" s="26">
        <f>ROUND(_xll.qlBondYieldFromCleanPrice(O64,F64,YieldDayCounter,YieldCompounding,YieldFrequency)*100,3)</f>
        <v>1.2829999999999999</v>
      </c>
      <c r="J64" s="26">
        <f>ROUND(_xll.qlBondYieldFromCleanPrice(P64,G64,YieldDayCounter,YieldCompounding,YieldFrequency)*100,3)</f>
        <v>1.2789999999999999</v>
      </c>
      <c r="K64" s="26">
        <f>ROUND(_xll.qlBondYieldFromCleanPrice(Q64,H64,YieldDayCounter,YieldCompounding,YieldFrequency)*100,3)</f>
        <v>1.2749999999999999</v>
      </c>
      <c r="L64" s="114">
        <f>_xll.qlBondDurationFromYield(P64,J64,YieldDayCounter,YieldCompounding,YieldFrequency,L$2)</f>
        <v>3.4802575029903773</v>
      </c>
      <c r="M64" s="114">
        <f>_xll.qlBondConvexityFromYield(P64,J64/100,YieldDayCounter,YieldCompounding,YieldFrequency)</f>
        <v>69.062394196891873</v>
      </c>
      <c r="N64" s="115">
        <f>_xll.BDP(A64&amp;" Corp","risk mid")</f>
        <v>7.0216319102179625</v>
      </c>
      <c r="O64" s="101" t="str">
        <f>_xll.qlZeroCouponBond(,,"EUR",3,"target",100,$B64,"f",100,,,Trigger)</f>
        <v>obj_00914#0000</v>
      </c>
      <c r="P64" s="101" t="str">
        <f>_xll.qlZeroCouponBond(,,"EUR",3,"target",100,$B64,"f",100,,,Trigger)</f>
        <v>obj_009c3#0000</v>
      </c>
      <c r="Q64" s="101" t="str">
        <f>_xll.qlZeroCouponBond(,,"EUR",3,"target",100,$B64,"f",100,,,Trigger)</f>
        <v>obj_00959#0000</v>
      </c>
      <c r="R64" s="117">
        <f t="shared" si="12"/>
        <v>90.44</v>
      </c>
      <c r="S64" s="122">
        <f t="shared" ref="S64" si="70">R64</f>
        <v>90.44</v>
      </c>
      <c r="T64" s="138" t="str">
        <f>IF(UPPER(U$1)="ABCD",_xll.RtContribute($E$3,$E64,$R$3:$S$3,$R64:$S64,"SCOPE:SERVER"),"--")</f>
        <v>Success: Insert Ack on DTSIMI2 for STRIP.IT0001247334 at 10:35:10</v>
      </c>
      <c r="U64" s="142" t="str">
        <f t="shared" si="4"/>
        <v>OK</v>
      </c>
      <c r="V64" s="126" t="str">
        <f t="shared" si="42"/>
        <v>EUR.PRICING.XLS_STRIPS.IT0001247334</v>
      </c>
      <c r="W64" s="126" t="str">
        <f>IF(UPPER($X$1)="ABCD",_xll.MKV_PUBLISHRECORD(V64, "XLS_STRIPS"),"--")</f>
        <v>Not connected</v>
      </c>
      <c r="X64" s="127" t="str">
        <f>IF(UPPER(X$1)="ABCD",_xll.MKV_SUPPLYRECORD(V64, "Bid",F64, "Ask",H64, "Id",A64, "Mid",G64, "Name",D64,"DV01",N64,"MidYield",J64,"BidYield",I64,"AskYield",K64),"--")</f>
        <v>Not connected</v>
      </c>
      <c r="Z64" s="27" t="str">
        <f t="shared" si="18"/>
        <v>IT0001247334@rbsm Corp</v>
      </c>
      <c r="AA64" s="27">
        <f>_xll.BDP(Z64,"bid")</f>
        <v>88.974999999999994</v>
      </c>
      <c r="AB64" s="27">
        <f>_xll.BDP(Z64,"ask")</f>
        <v>89.674000000000007</v>
      </c>
      <c r="AC64" s="27">
        <f t="shared" si="19"/>
        <v>89.3245</v>
      </c>
      <c r="AD64" s="114">
        <f t="shared" si="20"/>
        <v>1.0854999999999961</v>
      </c>
      <c r="AE64" s="27" t="str">
        <f t="shared" si="22"/>
        <v>0</v>
      </c>
      <c r="AF64" s="152">
        <f t="shared" si="23"/>
        <v>0</v>
      </c>
      <c r="AM64" s="27" t="s">
        <v>56</v>
      </c>
      <c r="AN64" s="27">
        <v>1.34375</v>
      </c>
    </row>
    <row r="65" spans="1:40" x14ac:dyDescent="0.2">
      <c r="A65" s="66" t="s">
        <v>53</v>
      </c>
      <c r="B65" s="83">
        <v>45505</v>
      </c>
      <c r="C65" s="131">
        <f>_xll.BDP(A65&amp;" Corp", "days to mty")</f>
        <v>2989</v>
      </c>
      <c r="D65" s="41" t="s">
        <v>395</v>
      </c>
      <c r="E65" s="41" t="s">
        <v>396</v>
      </c>
      <c r="F65" s="130">
        <v>89.59</v>
      </c>
      <c r="G65" s="130">
        <v>89.63</v>
      </c>
      <c r="H65" s="130">
        <f t="shared" si="1"/>
        <v>89.67</v>
      </c>
      <c r="I65" s="26">
        <f>ROUND(_xll.qlBondYieldFromCleanPrice(O65,F65,YieldDayCounter,YieldCompounding,YieldFrequency)*100,3)</f>
        <v>1.353</v>
      </c>
      <c r="J65" s="26">
        <f>ROUND(_xll.qlBondYieldFromCleanPrice(P65,G65,YieldDayCounter,YieldCompounding,YieldFrequency)*100,3)</f>
        <v>1.347</v>
      </c>
      <c r="K65" s="26">
        <f>ROUND(_xll.qlBondYieldFromCleanPrice(Q65,H65,YieldDayCounter,YieldCompounding,YieldFrequency)*100,3)</f>
        <v>1.3420000000000001</v>
      </c>
      <c r="L65" s="114">
        <f>_xll.qlBondDurationFromYield(P65,J65,YieldDayCounter,YieldCompounding,YieldFrequency,L$2)</f>
        <v>3.4854400804654708</v>
      </c>
      <c r="M65" s="114">
        <f>_xll.qlBondConvexityFromYield(P65,J65/100,YieldDayCounter,YieldCompounding,YieldFrequency)</f>
        <v>73.115104913955506</v>
      </c>
      <c r="N65" s="115">
        <f>_xll.BDP(A65&amp;" Corp","risk mid")</f>
        <v>7.190528313463318</v>
      </c>
      <c r="O65" s="101" t="str">
        <f>_xll.qlZeroCouponBond(,,"EUR",3,"target",100,$B65,"f",100,,,Trigger)</f>
        <v>obj_00906#0000</v>
      </c>
      <c r="P65" s="101" t="str">
        <f>_xll.qlZeroCouponBond(,,"EUR",3,"target",100,$B65,"f",100,,,Trigger)</f>
        <v>obj_0097b#0000</v>
      </c>
      <c r="Q65" s="101" t="str">
        <f>_xll.qlZeroCouponBond(,,"EUR",3,"target",100,$B65,"f",100,,,Trigger)</f>
        <v>obj_00852#0000</v>
      </c>
      <c r="R65" s="117">
        <f t="shared" si="12"/>
        <v>89.67</v>
      </c>
      <c r="S65" s="122">
        <f t="shared" ref="S65" si="71">R65</f>
        <v>89.67</v>
      </c>
      <c r="T65" s="138" t="str">
        <f>IF(UPPER(U$1)="ABCD",_xll.RtContribute($E$3,$E65,$R$3:$S$3,$R65:$S65,"SCOPE:SERVER"),"--")</f>
        <v>Success: Insert Ack on DTSIMI2 for STRIP.IT0003268817 at 10:35:10</v>
      </c>
      <c r="U65" s="142" t="str">
        <f t="shared" si="4"/>
        <v>OK</v>
      </c>
      <c r="V65" s="126" t="str">
        <f t="shared" si="42"/>
        <v>EUR.PRICING.XLS_STRIPS.IT0003268817</v>
      </c>
      <c r="W65" s="126" t="str">
        <f>IF(UPPER($X$1)="ABCD",_xll.MKV_PUBLISHRECORD(V65, "XLS_STRIPS"),"--")</f>
        <v>Not connected</v>
      </c>
      <c r="X65" s="127" t="str">
        <f>IF(UPPER(X$1)="ABCD",_xll.MKV_SUPPLYRECORD(V65, "Bid",F65, "Ask",H65, "Id",A65, "Mid",G65, "Name",D65,"DV01",N65,"MidYield",J65,"BidYield",I65,"AskYield",K65),"--")</f>
        <v>Not connected</v>
      </c>
      <c r="Z65" s="27" t="str">
        <f t="shared" si="18"/>
        <v>IT0003268817@rbsm Corp</v>
      </c>
      <c r="AA65" s="27">
        <f>_xll.BDP(Z65,"bid")</f>
        <v>88.364000000000004</v>
      </c>
      <c r="AB65" s="27">
        <f>_xll.BDP(Z65,"ask")</f>
        <v>89.224000000000004</v>
      </c>
      <c r="AC65" s="27">
        <f t="shared" si="19"/>
        <v>88.794000000000011</v>
      </c>
      <c r="AD65" s="114">
        <f t="shared" si="20"/>
        <v>0.83599999999998431</v>
      </c>
      <c r="AE65" s="27" t="str">
        <f t="shared" si="22"/>
        <v>0</v>
      </c>
      <c r="AF65" s="152">
        <f t="shared" si="23"/>
        <v>0</v>
      </c>
      <c r="AM65" s="27" t="s">
        <v>179</v>
      </c>
      <c r="AN65" s="27">
        <v>0.85499999999999998</v>
      </c>
    </row>
    <row r="66" spans="1:40" x14ac:dyDescent="0.2">
      <c r="A66" s="66" t="s">
        <v>173</v>
      </c>
      <c r="B66" s="83">
        <v>45536</v>
      </c>
      <c r="C66" s="131">
        <f>_xll.BDP(A66&amp;" Corp", "days to mty")</f>
        <v>3020</v>
      </c>
      <c r="D66" s="41" t="s">
        <v>174</v>
      </c>
      <c r="E66" s="41" t="s">
        <v>175</v>
      </c>
      <c r="F66" s="130">
        <v>89.43</v>
      </c>
      <c r="G66" s="130">
        <v>89.47</v>
      </c>
      <c r="H66" s="130">
        <f t="shared" si="1"/>
        <v>89.51</v>
      </c>
      <c r="I66" s="26">
        <f>ROUND(_xll.qlBondYieldFromCleanPrice(O66,F66,YieldDayCounter,YieldCompounding,YieldFrequency)*100,3)</f>
        <v>1.36</v>
      </c>
      <c r="J66" s="26">
        <f>ROUND(_xll.qlBondYieldFromCleanPrice(P66,G66,YieldDayCounter,YieldCompounding,YieldFrequency)*100,3)</f>
        <v>1.355</v>
      </c>
      <c r="K66" s="26">
        <f>ROUND(_xll.qlBondYieldFromCleanPrice(Q66,H66,YieldDayCounter,YieldCompounding,YieldFrequency)*100,3)</f>
        <v>1.349</v>
      </c>
      <c r="L66" s="114">
        <f>_xll.qlBondDurationFromYield(P66,J66,YieldDayCounter,YieldCompounding,YieldFrequency,L$2)</f>
        <v>3.5107259290197579</v>
      </c>
      <c r="M66" s="114">
        <f>_xll.qlBondConvexityFromYield(P66,J66/100,YieldDayCounter,YieldCompounding,YieldFrequency)</f>
        <v>74.588563046589755</v>
      </c>
      <c r="N66" s="115">
        <f>_xll.BDP(A66&amp;" Corp","risk mid")</f>
        <v>7.3180645284864454</v>
      </c>
      <c r="O66" s="101" t="str">
        <f>_xll.qlZeroCouponBond(,,"EUR",3,"target",100,$B66,"f",100,,,Trigger)</f>
        <v>obj_00845#0000</v>
      </c>
      <c r="P66" s="101" t="str">
        <f>_xll.qlZeroCouponBond(,,"EUR",3,"target",100,$B66,"f",100,,,Trigger)</f>
        <v>obj_00984#0000</v>
      </c>
      <c r="Q66" s="101" t="str">
        <f>_xll.qlZeroCouponBond(,,"EUR",3,"target",100,$B66,"f",100,,,Trigger)</f>
        <v>obj_009d4#0000</v>
      </c>
      <c r="R66" s="117">
        <f t="shared" si="12"/>
        <v>89.51</v>
      </c>
      <c r="S66" s="122">
        <f t="shared" ref="S66" si="72">R66</f>
        <v>89.51</v>
      </c>
      <c r="T66" s="138" t="str">
        <f>IF(UPPER(U$1)="ABCD",_xll.RtContribute($E$3,$E66,$R$3:$S$3,$R66:$S66,"SCOPE:SERVER"),"--")</f>
        <v>Success: Insert Ack on DTSIMI2 for STRIP.IT0004976442 at 10:35:10</v>
      </c>
      <c r="U66" s="142" t="str">
        <f t="shared" si="4"/>
        <v>OK</v>
      </c>
      <c r="V66" s="126" t="str">
        <f t="shared" si="42"/>
        <v>EUR.PRICING.XLS_STRIPS.IT0004976442</v>
      </c>
      <c r="W66" s="126" t="str">
        <f>IF(UPPER($X$1)="ABCD",_xll.MKV_PUBLISHRECORD(V66, "XLS_STRIPS"),"--")</f>
        <v>Not connected</v>
      </c>
      <c r="X66" s="127" t="str">
        <f>IF(UPPER(X$1)="ABCD",_xll.MKV_SUPPLYRECORD(V66, "Bid",F66, "Ask",H66, "Id",A66, "Mid",G66, "Name",D66,"DV01",N66,"MidYield",J66,"BidYield",I66,"AskYield",K66),"--")</f>
        <v>Not connected</v>
      </c>
      <c r="Z66" s="27" t="str">
        <f t="shared" si="18"/>
        <v>IT0004976442@rbsm Corp</v>
      </c>
      <c r="AA66" s="27">
        <f>_xll.BDP(Z66,"bid")</f>
        <v>88.9</v>
      </c>
      <c r="AB66" s="27">
        <f>_xll.BDP(Z66,"ask")</f>
        <v>90.363</v>
      </c>
      <c r="AC66" s="27">
        <f t="shared" si="19"/>
        <v>89.631500000000003</v>
      </c>
      <c r="AD66" s="114">
        <f t="shared" si="20"/>
        <v>-0.16150000000000375</v>
      </c>
      <c r="AE66" s="27">
        <f t="shared" si="22"/>
        <v>0.85499999999999998</v>
      </c>
      <c r="AF66" s="152">
        <f t="shared" si="23"/>
        <v>-1380.8250000000321</v>
      </c>
      <c r="AM66" s="27" t="s">
        <v>541</v>
      </c>
      <c r="AN66" s="27">
        <v>-2</v>
      </c>
    </row>
    <row r="67" spans="1:40" x14ac:dyDescent="0.2">
      <c r="A67" s="66" t="s">
        <v>54</v>
      </c>
      <c r="B67" s="83">
        <v>45597</v>
      </c>
      <c r="C67" s="131">
        <f>_xll.BDP(A67&amp;" Corp", "days to mty")</f>
        <v>3081</v>
      </c>
      <c r="D67" s="41" t="s">
        <v>397</v>
      </c>
      <c r="E67" s="41" t="s">
        <v>398</v>
      </c>
      <c r="F67" s="130">
        <v>89.28</v>
      </c>
      <c r="G67" s="130">
        <v>89.31</v>
      </c>
      <c r="H67" s="130">
        <f t="shared" si="1"/>
        <v>89.34</v>
      </c>
      <c r="I67" s="26">
        <f>ROUND(_xll.qlBondYieldFromCleanPrice(O67,F67,YieldDayCounter,YieldCompounding,YieldFrequency)*100,3)</f>
        <v>1.3540000000000001</v>
      </c>
      <c r="J67" s="26">
        <f>ROUND(_xll.qlBondYieldFromCleanPrice(P67,G67,YieldDayCounter,YieldCompounding,YieldFrequency)*100,3)</f>
        <v>1.35</v>
      </c>
      <c r="K67" s="26">
        <f>ROUND(_xll.qlBondYieldFromCleanPrice(Q67,H67,YieldDayCounter,YieldCompounding,YieldFrequency)*100,3)</f>
        <v>1.3460000000000001</v>
      </c>
      <c r="L67" s="114">
        <f>_xll.qlBondDurationFromYield(P67,J67,YieldDayCounter,YieldCompounding,YieldFrequency,L$2)</f>
        <v>3.5879548889663995</v>
      </c>
      <c r="M67" s="114">
        <f>_xll.qlBondConvexityFromYield(P67,J67/100,YieldDayCounter,YieldCompounding,YieldFrequency)</f>
        <v>77.420688991079942</v>
      </c>
      <c r="N67" s="115">
        <f>_xll.BDP(A67&amp;" Corp","risk mid")</f>
        <v>7.3355667834277938</v>
      </c>
      <c r="O67" s="101" t="str">
        <f>_xll.qlZeroCouponBond(,,"EUR",3,"target",100,$B67,"f",100,,,Trigger)</f>
        <v>obj_009cb#0000</v>
      </c>
      <c r="P67" s="101" t="str">
        <f>_xll.qlZeroCouponBond(,,"EUR",3,"target",100,$B67,"f",100,,,Trigger)</f>
        <v>obj_00994#0000</v>
      </c>
      <c r="Q67" s="101" t="str">
        <f>_xll.qlZeroCouponBond(,,"EUR",3,"target",100,$B67,"f",100,,,Trigger)</f>
        <v>obj_00905#0000</v>
      </c>
      <c r="R67" s="117">
        <f t="shared" si="12"/>
        <v>89.34</v>
      </c>
      <c r="S67" s="122">
        <f t="shared" ref="S67" si="73">R67</f>
        <v>89.34</v>
      </c>
      <c r="T67" s="138" t="str">
        <f>IF(UPPER(U$1)="ABCD",_xll.RtContribute($E$3,$E67,$R$3:$S$3,$R67:$S67,"SCOPE:SERVER"),"--")</f>
        <v>Success: Insert Ack on DTSIMI2 for STRIP.IT0001247342 at 10:35:08</v>
      </c>
      <c r="U67" s="142" t="str">
        <f t="shared" si="4"/>
        <v>OK</v>
      </c>
      <c r="V67" s="126" t="str">
        <f t="shared" si="42"/>
        <v>EUR.PRICING.XLS_STRIPS.IT0001247342</v>
      </c>
      <c r="W67" s="126" t="str">
        <f>IF(UPPER($X$1)="ABCD",_xll.MKV_PUBLISHRECORD(V67, "XLS_STRIPS"),"--")</f>
        <v>Not connected</v>
      </c>
      <c r="X67" s="127" t="str">
        <f>IF(UPPER(X$1)="ABCD",_xll.MKV_SUPPLYRECORD(V67, "Bid",F67, "Ask",H67, "Id",A67, "Mid",G67, "Name",D67,"DV01",N67,"MidYield",J67,"BidYield",I67,"AskYield",K67),"--")</f>
        <v>Not connected</v>
      </c>
      <c r="Z67" s="27" t="str">
        <f t="shared" si="18"/>
        <v>IT0001247342@rbsm Corp</v>
      </c>
      <c r="AA67" s="27">
        <f>_xll.BDP(Z67,"bid")</f>
        <v>87.472999999999999</v>
      </c>
      <c r="AB67" s="27">
        <f>_xll.BDP(Z67,"ask")</f>
        <v>88.201999999999998</v>
      </c>
      <c r="AC67" s="27">
        <f t="shared" si="19"/>
        <v>87.837500000000006</v>
      </c>
      <c r="AD67" s="114">
        <f t="shared" si="20"/>
        <v>1.4724999999999966</v>
      </c>
      <c r="AE67" s="27">
        <f t="shared" si="22"/>
        <v>0.17062632</v>
      </c>
      <c r="AF67" s="152">
        <f t="shared" si="23"/>
        <v>2512.4725619999945</v>
      </c>
      <c r="AM67" s="27" t="s">
        <v>182</v>
      </c>
      <c r="AN67" s="27">
        <v>0.85499999999999998</v>
      </c>
    </row>
    <row r="68" spans="1:40" x14ac:dyDescent="0.2">
      <c r="A68" s="66" t="s">
        <v>55</v>
      </c>
      <c r="B68" s="83">
        <v>45689</v>
      </c>
      <c r="C68" s="131">
        <f>_xll.BDP(A68&amp;" Corp", "days to mty")</f>
        <v>3173</v>
      </c>
      <c r="D68" s="41" t="s">
        <v>399</v>
      </c>
      <c r="E68" s="41" t="s">
        <v>400</v>
      </c>
      <c r="F68" s="130">
        <v>88.24</v>
      </c>
      <c r="G68" s="130">
        <v>88.27</v>
      </c>
      <c r="H68" s="130">
        <f t="shared" si="1"/>
        <v>88.3</v>
      </c>
      <c r="I68" s="26">
        <f>ROUND(_xll.qlBondYieldFromCleanPrice(O68,F68,YieldDayCounter,YieldCompounding,YieldFrequency)*100,3)</f>
        <v>1.45</v>
      </c>
      <c r="J68" s="26">
        <f>ROUND(_xll.qlBondYieldFromCleanPrice(P68,G68,YieldDayCounter,YieldCompounding,YieldFrequency)*100,3)</f>
        <v>1.446</v>
      </c>
      <c r="K68" s="26">
        <f>ROUND(_xll.qlBondYieldFromCleanPrice(Q68,H68,YieldDayCounter,YieldCompounding,YieldFrequency)*100,3)</f>
        <v>1.4419999999999999</v>
      </c>
      <c r="L68" s="114">
        <f>_xll.qlBondDurationFromYield(P68,J68,YieldDayCounter,YieldCompounding,YieldFrequency,L$2)</f>
        <v>3.552135973084193</v>
      </c>
      <c r="M68" s="114">
        <f>_xll.qlBondConvexityFromYield(P68,J68/100,YieldDayCounter,YieldCompounding,YieldFrequency)</f>
        <v>81.796331316582638</v>
      </c>
      <c r="N68" s="115">
        <f>_xll.BDP(A68&amp;" Corp","risk mid")</f>
        <v>7.5065802740873266</v>
      </c>
      <c r="O68" s="101" t="str">
        <f>_xll.qlZeroCouponBond(,,"EUR",3,"target",100,$B68,"f",100,,,Trigger)</f>
        <v>obj_008f5#0000</v>
      </c>
      <c r="P68" s="101" t="str">
        <f>_xll.qlZeroCouponBond(,,"EUR",3,"target",100,$B68,"f",100,,,Trigger)</f>
        <v>obj_0093d#0000</v>
      </c>
      <c r="Q68" s="101" t="str">
        <f>_xll.qlZeroCouponBond(,,"EUR",3,"target",100,$B68,"f",100,,,Trigger)</f>
        <v>obj_00909#0000</v>
      </c>
      <c r="R68" s="117">
        <f t="shared" si="12"/>
        <v>88.3</v>
      </c>
      <c r="S68" s="122">
        <f t="shared" ref="S68" si="74">R68</f>
        <v>88.3</v>
      </c>
      <c r="T68" s="138" t="str">
        <f>IF(UPPER(U$1)="ABCD",_xll.RtContribute($E$3,$E68,$R$3:$S$3,$R68:$S68,"SCOPE:SERVER"),"--")</f>
        <v>Success: Insert Ack on DTSIMI2 for STRIP.IT0003268825 at 10:36:50</v>
      </c>
      <c r="U68" s="142" t="str">
        <f t="shared" si="4"/>
        <v>OK</v>
      </c>
      <c r="V68" s="126" t="str">
        <f t="shared" ref="V68:V99" si="75">V$3&amp;A68</f>
        <v>EUR.PRICING.XLS_STRIPS.IT0003268825</v>
      </c>
      <c r="W68" s="126" t="str">
        <f>IF(UPPER($X$1)="ABCD",_xll.MKV_PUBLISHRECORD(V68, "XLS_STRIPS"),"--")</f>
        <v>Not connected</v>
      </c>
      <c r="X68" s="127" t="str">
        <f>IF(UPPER(X$1)="ABCD",_xll.MKV_SUPPLYRECORD(V68, "Bid",F68, "Ask",H68, "Id",A68, "Mid",G68, "Name",D68,"DV01",N68,"MidYield",J68,"BidYield",I68,"AskYield",K68),"--")</f>
        <v>Not connected</v>
      </c>
      <c r="Z68" s="27" t="str">
        <f t="shared" si="18"/>
        <v>IT0003268825@rbsm Corp</v>
      </c>
      <c r="AA68" s="27">
        <f>_xll.BDP(Z68,"bid")</f>
        <v>86.885000000000005</v>
      </c>
      <c r="AB68" s="27">
        <f>_xll.BDP(Z68,"ask")</f>
        <v>87.781999999999996</v>
      </c>
      <c r="AC68" s="27">
        <f t="shared" si="19"/>
        <v>87.333500000000001</v>
      </c>
      <c r="AD68" s="114">
        <f t="shared" si="20"/>
        <v>0.93649999999999523</v>
      </c>
      <c r="AE68" s="27" t="str">
        <f t="shared" si="22"/>
        <v>0</v>
      </c>
      <c r="AF68" s="152">
        <f t="shared" si="23"/>
        <v>0</v>
      </c>
      <c r="AM68" s="27" t="s">
        <v>60</v>
      </c>
      <c r="AN68" s="27">
        <v>1.08375</v>
      </c>
    </row>
    <row r="69" spans="1:40" x14ac:dyDescent="0.2">
      <c r="A69" s="66" t="s">
        <v>176</v>
      </c>
      <c r="B69" s="83">
        <v>45717</v>
      </c>
      <c r="C69" s="131">
        <f>_xll.BDP(A69&amp;" Corp", "days to mty")</f>
        <v>3201</v>
      </c>
      <c r="D69" s="41" t="s">
        <v>177</v>
      </c>
      <c r="E69" s="41" t="s">
        <v>178</v>
      </c>
      <c r="F69" s="130">
        <v>87.96</v>
      </c>
      <c r="G69" s="130">
        <v>87.99</v>
      </c>
      <c r="H69" s="130">
        <f t="shared" ref="H69:H132" si="76">ROUNDUP(2*G69-F69,2)</f>
        <v>88.02</v>
      </c>
      <c r="I69" s="26">
        <f>ROUND(_xll.qlBondYieldFromCleanPrice(O69,F69,YieldDayCounter,YieldCompounding,YieldFrequency)*100,3)</f>
        <v>1.474</v>
      </c>
      <c r="J69" s="26">
        <f>ROUND(_xll.qlBondYieldFromCleanPrice(P69,G69,YieldDayCounter,YieldCompounding,YieldFrequency)*100,3)</f>
        <v>1.47</v>
      </c>
      <c r="K69" s="26">
        <f>ROUND(_xll.qlBondYieldFromCleanPrice(Q69,H69,YieldDayCounter,YieldCompounding,YieldFrequency)*100,3)</f>
        <v>1.466</v>
      </c>
      <c r="L69" s="114">
        <f>_xll.qlBondDurationFromYield(P69,J69,YieldDayCounter,YieldCompounding,YieldFrequency,L$2)</f>
        <v>3.5494426265875436</v>
      </c>
      <c r="M69" s="114">
        <f>_xll.qlBondConvexityFromYield(P69,J69/100,YieldDayCounter,YieldCompounding,YieldFrequency)</f>
        <v>83.166507264759716</v>
      </c>
      <c r="N69" s="115">
        <f>_xll.BDP(A69&amp;" Corp","risk mid")</f>
        <v>7.5168877539901757</v>
      </c>
      <c r="O69" s="101" t="str">
        <f>_xll.qlZeroCouponBond(,,"EUR",3,"target",100,$B69,"f",100,,,Trigger)</f>
        <v>obj_00988#0000</v>
      </c>
      <c r="P69" s="101" t="str">
        <f>_xll.qlZeroCouponBond(,,"EUR",3,"target",100,$B69,"f",100,,,Trigger)</f>
        <v>obj_008b8#0000</v>
      </c>
      <c r="Q69" s="101" t="str">
        <f>_xll.qlZeroCouponBond(,,"EUR",3,"target",100,$B69,"f",100,,,Trigger)</f>
        <v>obj_00933#0000</v>
      </c>
      <c r="R69" s="117">
        <f t="shared" si="12"/>
        <v>88.02</v>
      </c>
      <c r="S69" s="122">
        <f t="shared" ref="S69" si="77">R69</f>
        <v>88.02</v>
      </c>
      <c r="T69" s="138" t="str">
        <f>IF(UPPER(U$1)="ABCD",_xll.RtContribute($E$3,$E69,$R$3:$S$3,$R69:$S69,"SCOPE:SERVER"),"--")</f>
        <v>Success: Insert Ack on DTSIMI2 for STRIP.IT0004976459 at 10:36:50</v>
      </c>
      <c r="U69" s="142" t="str">
        <f t="shared" ref="U69:U132" si="78">IF(OR(LEFT(T69,3)="Suc",LEFT(T69,3)="Sen"),"OK","")</f>
        <v>OK</v>
      </c>
      <c r="V69" s="126" t="str">
        <f t="shared" si="75"/>
        <v>EUR.PRICING.XLS_STRIPS.IT0004976459</v>
      </c>
      <c r="W69" s="126" t="str">
        <f>IF(UPPER($X$1)="ABCD",_xll.MKV_PUBLISHRECORD(V69, "XLS_STRIPS"),"--")</f>
        <v>Not connected</v>
      </c>
      <c r="X69" s="127" t="str">
        <f>IF(UPPER(X$1)="ABCD",_xll.MKV_SUPPLYRECORD(V69, "Bid",F69, "Ask",H69, "Id",A69, "Mid",G69, "Name",D69,"DV01",N69,"MidYield",J69,"BidYield",I69,"AskYield",K69),"--")</f>
        <v>Not connected</v>
      </c>
      <c r="Z69" s="27" t="str">
        <f t="shared" si="18"/>
        <v>IT0004976459@rbsm Corp</v>
      </c>
      <c r="AA69" s="27">
        <f>_xll.BDP(Z69,"bid")</f>
        <v>86.188000000000002</v>
      </c>
      <c r="AB69" s="27">
        <f>_xll.BDP(Z69,"ask")</f>
        <v>87.688999999999993</v>
      </c>
      <c r="AC69" s="27">
        <f t="shared" si="19"/>
        <v>86.938500000000005</v>
      </c>
      <c r="AD69" s="114">
        <f t="shared" si="20"/>
        <v>1.0514999999999901</v>
      </c>
      <c r="AE69" s="27">
        <f t="shared" si="22"/>
        <v>0.85499999999999998</v>
      </c>
      <c r="AF69" s="152">
        <f t="shared" si="23"/>
        <v>8990.3249999999152</v>
      </c>
      <c r="AN69" s="27">
        <v>2.5065298600000001</v>
      </c>
    </row>
    <row r="70" spans="1:40" x14ac:dyDescent="0.2">
      <c r="A70" s="66" t="s">
        <v>56</v>
      </c>
      <c r="B70" s="83">
        <v>45778</v>
      </c>
      <c r="C70" s="131">
        <f>_xll.BDP(A70&amp;" Corp", "days to mty")</f>
        <v>3262</v>
      </c>
      <c r="D70" s="41" t="s">
        <v>401</v>
      </c>
      <c r="E70" s="41" t="s">
        <v>402</v>
      </c>
      <c r="F70" s="130">
        <v>88.1</v>
      </c>
      <c r="G70" s="151">
        <v>88.13</v>
      </c>
      <c r="H70" s="130">
        <f t="shared" si="76"/>
        <v>88.16</v>
      </c>
      <c r="I70" s="26">
        <f>ROUND(_xll.qlBondYieldFromCleanPrice(O70,F70,YieldDayCounter,YieldCompounding,YieldFrequency)*100,3)</f>
        <v>1.429</v>
      </c>
      <c r="J70" s="26">
        <f>ROUND(_xll.qlBondYieldFromCleanPrice(P70,G70,YieldDayCounter,YieldCompounding,YieldFrequency)*100,3)</f>
        <v>1.425</v>
      </c>
      <c r="K70" s="26">
        <f>ROUND(_xll.qlBondYieldFromCleanPrice(Q70,H70,YieldDayCounter,YieldCompounding,YieldFrequency)*100,3)</f>
        <v>1.421</v>
      </c>
      <c r="L70" s="114">
        <f>_xll.qlBondDurationFromYield(P70,J70,YieldDayCounter,YieldCompounding,YieldFrequency,L$2)</f>
        <v>3.6830956079649773</v>
      </c>
      <c r="M70" s="114">
        <f>_xll.qlBondConvexityFromYield(P70,J70/100,YieldDayCounter,YieldCompounding,YieldFrequency)</f>
        <v>86.22830502040722</v>
      </c>
      <c r="N70" s="115">
        <f>_xll.BDP(A70&amp;" Corp","risk mid")</f>
        <v>7.6465882647255512</v>
      </c>
      <c r="O70" s="101" t="str">
        <f>_xll.qlZeroCouponBond(,,"EUR",3,"target",100,$B70,"f",100,,,Trigger)</f>
        <v>obj_0094c#0000</v>
      </c>
      <c r="P70" s="101" t="str">
        <f>_xll.qlZeroCouponBond(,,"EUR",3,"target",100,$B70,"f",100,,,Trigger)</f>
        <v>obj_00850#0000</v>
      </c>
      <c r="Q70" s="101" t="str">
        <f>_xll.qlZeroCouponBond(,,"EUR",3,"target",100,$B70,"f",100,,,Trigger)</f>
        <v>obj_00884#0000</v>
      </c>
      <c r="R70" s="117">
        <f t="shared" si="12"/>
        <v>88.16</v>
      </c>
      <c r="S70" s="122">
        <f t="shared" ref="S70" si="79">R70</f>
        <v>88.16</v>
      </c>
      <c r="T70" s="138" t="str">
        <f>IF(UPPER(U$1)="ABCD",_xll.RtContribute($E$3,$E70,$R$3:$S$3,$R70:$S70,"SCOPE:SERVER"),"--")</f>
        <v>Success: Insert Ack on DTSIMI2 for STRIP.IT0001247359 at 10:36:50</v>
      </c>
      <c r="U70" s="142" t="str">
        <f t="shared" si="78"/>
        <v>OK</v>
      </c>
      <c r="V70" s="126" t="str">
        <f t="shared" si="75"/>
        <v>EUR.PRICING.XLS_STRIPS.IT0001247359</v>
      </c>
      <c r="W70" s="126" t="str">
        <f>IF(UPPER($X$1)="ABCD",_xll.MKV_PUBLISHRECORD(V70, "XLS_STRIPS"),"--")</f>
        <v>Not connected</v>
      </c>
      <c r="X70" s="127" t="str">
        <f>IF(UPPER(X$1)="ABCD",_xll.MKV_SUPPLYRECORD(V70, "Bid",F70, "Ask",H70, "Id",A70, "Mid",G70, "Name",D70,"DV01",N70,"MidYield",J70,"BidYield",I70,"AskYield",K70),"--")</f>
        <v>Not connected</v>
      </c>
      <c r="Z70" s="27" t="str">
        <f t="shared" si="18"/>
        <v>IT0001247359@rbsm Corp</v>
      </c>
      <c r="AA70" s="27">
        <f>_xll.BDP(Z70,"bid")</f>
        <v>86.251999999999995</v>
      </c>
      <c r="AB70" s="27">
        <f>_xll.BDP(Z70,"ask")</f>
        <v>87.013999999999996</v>
      </c>
      <c r="AC70" s="27">
        <f t="shared" si="19"/>
        <v>86.632999999999996</v>
      </c>
      <c r="AD70" s="114">
        <f t="shared" si="20"/>
        <v>1.4969999999999999</v>
      </c>
      <c r="AE70" s="27">
        <f t="shared" si="22"/>
        <v>1.34375</v>
      </c>
      <c r="AF70" s="152">
        <f t="shared" si="23"/>
        <v>20115.9375</v>
      </c>
      <c r="AM70" s="27" t="s">
        <v>185</v>
      </c>
      <c r="AN70" s="27">
        <v>0.85499999999999998</v>
      </c>
    </row>
    <row r="71" spans="1:40" x14ac:dyDescent="0.2">
      <c r="A71" s="66" t="s">
        <v>57</v>
      </c>
      <c r="B71" s="83">
        <v>45870</v>
      </c>
      <c r="C71" s="131">
        <f>_xll.BDP(A71&amp;" Corp", "days to mty")</f>
        <v>3354</v>
      </c>
      <c r="D71" s="41" t="s">
        <v>403</v>
      </c>
      <c r="E71" s="41" t="s">
        <v>404</v>
      </c>
      <c r="F71" s="130">
        <v>88</v>
      </c>
      <c r="G71" s="130">
        <v>88.04</v>
      </c>
      <c r="H71" s="130">
        <f t="shared" si="76"/>
        <v>88.08</v>
      </c>
      <c r="I71" s="26">
        <f>ROUND(_xll.qlBondYieldFromCleanPrice(O71,F71,YieldDayCounter,YieldCompounding,YieldFrequency)*100,3)</f>
        <v>1.4019999999999999</v>
      </c>
      <c r="J71" s="26">
        <f>ROUND(_xll.qlBondYieldFromCleanPrice(P71,G71,YieldDayCounter,YieldCompounding,YieldFrequency)*100,3)</f>
        <v>1.397</v>
      </c>
      <c r="K71" s="26">
        <f>ROUND(_xll.qlBondYieldFromCleanPrice(Q71,H71,YieldDayCounter,YieldCompounding,YieldFrequency)*100,3)</f>
        <v>1.3919999999999999</v>
      </c>
      <c r="L71" s="114">
        <f>_xll.qlBondDurationFromYield(P71,J71,YieldDayCounter,YieldCompounding,YieldFrequency,L$2)</f>
        <v>3.8299240170431617</v>
      </c>
      <c r="M71" s="114">
        <f>_xll.qlBondConvexityFromYield(P71,J71/100,YieldDayCounter,YieldCompounding,YieldFrequency)</f>
        <v>90.901227000806472</v>
      </c>
      <c r="N71" s="115">
        <f>_xll.BDP(A71&amp;" Corp","risk mid")</f>
        <v>7.8063748511091546</v>
      </c>
      <c r="O71" s="101" t="str">
        <f>_xll.qlZeroCouponBond(,,"EUR",3,"target",100,$B71,"f",100,,,Trigger)</f>
        <v>obj_00862#0000</v>
      </c>
      <c r="P71" s="101" t="str">
        <f>_xll.qlZeroCouponBond(,,"EUR",3,"target",100,$B71,"f",100,,,Trigger)</f>
        <v>obj_0093a#0000</v>
      </c>
      <c r="Q71" s="101" t="str">
        <f>_xll.qlZeroCouponBond(,,"EUR",3,"target",100,$B71,"f",100,,,Trigger)</f>
        <v>obj_009bf#0000</v>
      </c>
      <c r="R71" s="117">
        <f t="shared" si="12"/>
        <v>88.08</v>
      </c>
      <c r="S71" s="122">
        <f t="shared" ref="S71" si="80">R71</f>
        <v>88.08</v>
      </c>
      <c r="T71" s="138" t="str">
        <f>IF(UPPER(U$1)="ABCD",_xll.RtContribute($E$3,$E71,$R$3:$S$3,$R71:$S71,"SCOPE:SERVER"),"--")</f>
        <v>Success: Insert Ack on DTSIMI2 for STRIP.IT0003268833 at 10:36:50</v>
      </c>
      <c r="U71" s="142" t="str">
        <f t="shared" si="78"/>
        <v>OK</v>
      </c>
      <c r="V71" s="126" t="str">
        <f t="shared" si="75"/>
        <v>EUR.PRICING.XLS_STRIPS.IT0003268833</v>
      </c>
      <c r="W71" s="126" t="str">
        <f>IF(UPPER($X$1)="ABCD",_xll.MKV_PUBLISHRECORD(V71, "XLS_STRIPS"),"--")</f>
        <v>Not connected</v>
      </c>
      <c r="X71" s="127" t="str">
        <f>IF(UPPER(X$1)="ABCD",_xll.MKV_SUPPLYRECORD(V71, "Bid",F71, "Ask",H71, "Id",A71, "Mid",G71, "Name",D71,"DV01",N71,"MidYield",J71,"BidYield",I71,"AskYield",K71),"--")</f>
        <v>Not connected</v>
      </c>
      <c r="Z71" s="27" t="str">
        <f t="shared" si="18"/>
        <v>IT0003268833@rbsm Corp</v>
      </c>
      <c r="AA71" s="27">
        <f>_xll.BDP(Z71,"bid")</f>
        <v>85.448999999999998</v>
      </c>
      <c r="AB71" s="27">
        <f>_xll.BDP(Z71,"ask")</f>
        <v>86.38</v>
      </c>
      <c r="AC71" s="27">
        <f t="shared" si="19"/>
        <v>85.914500000000004</v>
      </c>
      <c r="AD71" s="114">
        <f t="shared" si="20"/>
        <v>2.1255000000000024</v>
      </c>
      <c r="AE71" s="27" t="str">
        <f t="shared" si="22"/>
        <v>0</v>
      </c>
      <c r="AF71" s="152">
        <f t="shared" si="23"/>
        <v>0</v>
      </c>
      <c r="AM71" s="27" t="s">
        <v>413</v>
      </c>
      <c r="AN71" s="27">
        <v>0.93872537</v>
      </c>
    </row>
    <row r="72" spans="1:40" x14ac:dyDescent="0.2">
      <c r="A72" s="66" t="s">
        <v>179</v>
      </c>
      <c r="B72" s="83">
        <v>45901</v>
      </c>
      <c r="C72" s="131">
        <f>_xll.BDP(A72&amp;" Corp", "days to mty")</f>
        <v>3385</v>
      </c>
      <c r="D72" s="41" t="s">
        <v>180</v>
      </c>
      <c r="E72" s="41" t="s">
        <v>181</v>
      </c>
      <c r="F72" s="130">
        <v>87.76</v>
      </c>
      <c r="G72" s="130">
        <v>87.8</v>
      </c>
      <c r="H72" s="130">
        <f t="shared" si="76"/>
        <v>87.84</v>
      </c>
      <c r="I72" s="26">
        <f>ROUND(_xll.qlBondYieldFromCleanPrice(O72,F72,YieldDayCounter,YieldCompounding,YieldFrequency)*100,3)</f>
        <v>1.419</v>
      </c>
      <c r="J72" s="26">
        <f>ROUND(_xll.qlBondYieldFromCleanPrice(P72,G72,YieldDayCounter,YieldCompounding,YieldFrequency)*100,3)</f>
        <v>1.4139999999999999</v>
      </c>
      <c r="K72" s="26">
        <f>ROUND(_xll.qlBondYieldFromCleanPrice(Q72,H72,YieldDayCounter,YieldCompounding,YieldFrequency)*100,3)</f>
        <v>1.409</v>
      </c>
      <c r="L72" s="114">
        <f>_xll.qlBondDurationFromYield(P72,J72,YieldDayCounter,YieldCompounding,YieldFrequency,L$2)</f>
        <v>3.8380394873257551</v>
      </c>
      <c r="M72" s="114">
        <f>_xll.qlBondConvexityFromYield(P72,J72/100,YieldDayCounter,YieldCompounding,YieldFrequency)</f>
        <v>92.472157156796612</v>
      </c>
      <c r="N72" s="115">
        <f>_xll.BDP(A72&amp;" Corp","risk mid")</f>
        <v>7.765958789193661</v>
      </c>
      <c r="O72" s="101" t="str">
        <f>_xll.qlZeroCouponBond(,,"EUR",3,"target",100,$B72,"f",100,,,Trigger)</f>
        <v>obj_0098a#0000</v>
      </c>
      <c r="P72" s="101" t="str">
        <f>_xll.qlZeroCouponBond(,,"EUR",3,"target",100,$B72,"f",100,,,Trigger)</f>
        <v>obj_009ea#0000</v>
      </c>
      <c r="Q72" s="101" t="str">
        <f>_xll.qlZeroCouponBond(,,"EUR",3,"target",100,$B72,"f",100,,,Trigger)</f>
        <v>obj_0090a#0000</v>
      </c>
      <c r="R72" s="117">
        <f t="shared" si="12"/>
        <v>87.84</v>
      </c>
      <c r="S72" s="122">
        <f t="shared" ref="S72" si="81">R72</f>
        <v>87.84</v>
      </c>
      <c r="T72" s="138" t="str">
        <f>IF(UPPER(U$1)="ABCD",_xll.RtContribute($E$3,$E72,$R$3:$S$3,$R72:$S72,"SCOPE:SERVER"),"--")</f>
        <v>Success: Insert Ack on DTSIMI2 for STRIP.IT0004976467 at 10:34:57</v>
      </c>
      <c r="U72" s="142" t="str">
        <f t="shared" si="78"/>
        <v>OK</v>
      </c>
      <c r="V72" s="126" t="str">
        <f t="shared" si="75"/>
        <v>EUR.PRICING.XLS_STRIPS.IT0004976467</v>
      </c>
      <c r="W72" s="126" t="str">
        <f>IF(UPPER($X$1)="ABCD",_xll.MKV_PUBLISHRECORD(V72, "XLS_STRIPS"),"--")</f>
        <v>Not connected</v>
      </c>
      <c r="X72" s="127" t="str">
        <f>IF(UPPER(X$1)="ABCD",_xll.MKV_SUPPLYRECORD(V72, "Bid",F72, "Ask",H72, "Id",A72, "Mid",G72, "Name",D72,"DV01",N72,"MidYield",J72,"BidYield",I72,"AskYield",K72),"--")</f>
        <v>Not connected</v>
      </c>
      <c r="Z72" s="27" t="str">
        <f t="shared" si="18"/>
        <v>IT0004976467@rbsm Corp</v>
      </c>
      <c r="AA72" s="27">
        <f>_xll.BDP(Z72,"bid")</f>
        <v>84.84</v>
      </c>
      <c r="AB72" s="27">
        <f>_xll.BDP(Z72,"ask")</f>
        <v>86.400999999999996</v>
      </c>
      <c r="AC72" s="27">
        <f t="shared" si="19"/>
        <v>85.620499999999993</v>
      </c>
      <c r="AD72" s="114">
        <f t="shared" si="20"/>
        <v>2.1795000000000044</v>
      </c>
      <c r="AE72" s="27">
        <f t="shared" si="22"/>
        <v>0.85499999999999998</v>
      </c>
      <c r="AF72" s="152">
        <f t="shared" si="23"/>
        <v>18634.725000000039</v>
      </c>
      <c r="AM72" s="27" t="s">
        <v>542</v>
      </c>
      <c r="AN72" s="27">
        <v>-2</v>
      </c>
    </row>
    <row r="73" spans="1:40" x14ac:dyDescent="0.2">
      <c r="A73" s="66" t="s">
        <v>58</v>
      </c>
      <c r="B73" s="83">
        <v>45962</v>
      </c>
      <c r="C73" s="131">
        <f>_xll.BDP(A73&amp;" Corp", "days to mty")</f>
        <v>3446</v>
      </c>
      <c r="D73" s="41" t="s">
        <v>405</v>
      </c>
      <c r="E73" s="41" t="s">
        <v>406</v>
      </c>
      <c r="F73" s="130">
        <v>87.09</v>
      </c>
      <c r="G73" s="130">
        <v>87.12</v>
      </c>
      <c r="H73" s="130">
        <f t="shared" si="76"/>
        <v>87.15</v>
      </c>
      <c r="I73" s="26">
        <f>ROUND(_xll.qlBondYieldFromCleanPrice(O73,F73,YieldDayCounter,YieldCompounding,YieldFrequency)*100,3)</f>
        <v>1.476</v>
      </c>
      <c r="J73" s="26">
        <f>ROUND(_xll.qlBondYieldFromCleanPrice(P73,G73,YieldDayCounter,YieldCompounding,YieldFrequency)*100,3)</f>
        <v>1.472</v>
      </c>
      <c r="K73" s="26">
        <f>ROUND(_xll.qlBondYieldFromCleanPrice(Q73,H73,YieldDayCounter,YieldCompounding,YieldFrequency)*100,3)</f>
        <v>1.468</v>
      </c>
      <c r="L73" s="114">
        <f>_xll.qlBondDurationFromYield(P73,J73,YieldDayCounter,YieldCompounding,YieldFrequency,L$2)</f>
        <v>3.8176207402691564</v>
      </c>
      <c r="M73" s="114">
        <f>_xll.qlBondConvexityFromYield(P73,J73/100,YieldDayCounter,YieldCompounding,YieldFrequency)</f>
        <v>95.66015597535187</v>
      </c>
      <c r="N73" s="115">
        <f>_xll.BDP(A73&amp;" Corp","risk mid")</f>
        <v>7.9335871458539486</v>
      </c>
      <c r="O73" s="101" t="str">
        <f>_xll.qlZeroCouponBond(,,"EUR",3,"target",100,$B73,"f",100,,,Trigger)</f>
        <v>obj_00860#0000</v>
      </c>
      <c r="P73" s="101" t="str">
        <f>_xll.qlZeroCouponBond(,,"EUR",3,"target",100,$B73,"f",100,,,Trigger)</f>
        <v>obj_0089f#0000</v>
      </c>
      <c r="Q73" s="101" t="str">
        <f>_xll.qlZeroCouponBond(,,"EUR",3,"target",100,$B73,"f",100,,,Trigger)</f>
        <v>obj_0094b#0000</v>
      </c>
      <c r="R73" s="117">
        <f t="shared" si="12"/>
        <v>87.15</v>
      </c>
      <c r="S73" s="122">
        <f t="shared" ref="S73" si="82">R73</f>
        <v>87.15</v>
      </c>
      <c r="T73" s="138" t="str">
        <f>IF(UPPER(U$1)="ABCD",_xll.RtContribute($E$3,$E73,$R$3:$S$3,$R73:$S73,"SCOPE:SERVER"),"--")</f>
        <v>Success: Insert Ack on DTSIMI2 for STRIP.IT0001247367 at 10:36:50</v>
      </c>
      <c r="U73" s="142" t="str">
        <f t="shared" si="78"/>
        <v>OK</v>
      </c>
      <c r="V73" s="126" t="str">
        <f t="shared" si="75"/>
        <v>EUR.PRICING.XLS_STRIPS.IT0001247367</v>
      </c>
      <c r="W73" s="126" t="str">
        <f>IF(UPPER($X$1)="ABCD",_xll.MKV_PUBLISHRECORD(V73, "XLS_STRIPS"),"--")</f>
        <v>Not connected</v>
      </c>
      <c r="X73" s="127" t="str">
        <f>IF(UPPER(X$1)="ABCD",_xll.MKV_SUPPLYRECORD(V73, "Bid",F73, "Ask",H73, "Id",A73, "Mid",G73, "Name",D73,"DV01",N73,"MidYield",J73,"BidYield",I73,"AskYield",K73),"--")</f>
        <v>Not connected</v>
      </c>
      <c r="Z73" s="27" t="str">
        <f t="shared" si="18"/>
        <v>IT0001247367@rbsm Corp</v>
      </c>
      <c r="AA73" s="27">
        <f>_xll.BDP(Z73,"bid")</f>
        <v>84.811000000000007</v>
      </c>
      <c r="AB73" s="27">
        <f>_xll.BDP(Z73,"ask")</f>
        <v>85.600999999999999</v>
      </c>
      <c r="AC73" s="27">
        <f t="shared" si="19"/>
        <v>85.206000000000003</v>
      </c>
      <c r="AD73" s="114">
        <f t="shared" si="20"/>
        <v>1.9140000000000015</v>
      </c>
      <c r="AE73" s="27" t="str">
        <f t="shared" si="22"/>
        <v>0</v>
      </c>
      <c r="AF73" s="152">
        <f t="shared" si="23"/>
        <v>0</v>
      </c>
      <c r="AM73" s="27" t="s">
        <v>188</v>
      </c>
      <c r="AN73" s="27">
        <v>0.85499999999999998</v>
      </c>
    </row>
    <row r="74" spans="1:40" x14ac:dyDescent="0.2">
      <c r="A74" s="66" t="s">
        <v>59</v>
      </c>
      <c r="B74" s="83">
        <v>46054</v>
      </c>
      <c r="C74" s="131">
        <f>_xll.BDP(A74&amp;" Corp", "days to mty")</f>
        <v>3538</v>
      </c>
      <c r="D74" s="41" t="s">
        <v>407</v>
      </c>
      <c r="E74" s="41" t="s">
        <v>408</v>
      </c>
      <c r="F74" s="130">
        <v>85.82</v>
      </c>
      <c r="G74" s="130">
        <v>85.86</v>
      </c>
      <c r="H74" s="130">
        <f t="shared" si="76"/>
        <v>85.9</v>
      </c>
      <c r="I74" s="26">
        <f>ROUND(_xll.qlBondYieldFromCleanPrice(O74,F74,YieldDayCounter,YieldCompounding,YieldFrequency)*100,3)</f>
        <v>1.591</v>
      </c>
      <c r="J74" s="26">
        <f>ROUND(_xll.qlBondYieldFromCleanPrice(P74,G74,YieldDayCounter,YieldCompounding,YieldFrequency)*100,3)</f>
        <v>1.5860000000000001</v>
      </c>
      <c r="K74" s="26">
        <f>ROUND(_xll.qlBondYieldFromCleanPrice(Q74,H74,YieldDayCounter,YieldCompounding,YieldFrequency)*100,3)</f>
        <v>1.5820000000000001</v>
      </c>
      <c r="L74" s="114">
        <f>_xll.qlBondDurationFromYield(P74,J74,YieldDayCounter,YieldCompounding,YieldFrequency,L$2)</f>
        <v>3.7454726797087288</v>
      </c>
      <c r="M74" s="114">
        <f>_xll.qlBondConvexityFromYield(P74,J74/100,YieldDayCounter,YieldCompounding,YieldFrequency)</f>
        <v>100.29381801737483</v>
      </c>
      <c r="N74" s="115">
        <f>_xll.BDP(A74&amp;" Corp","risk mid")</f>
        <v>8.0941897903429094</v>
      </c>
      <c r="O74" s="101" t="str">
        <f>_xll.qlZeroCouponBond(,,"EUR",3,"target",100,$B74,"f",100,,,Trigger)</f>
        <v>obj_00911#0000</v>
      </c>
      <c r="P74" s="101" t="str">
        <f>_xll.qlZeroCouponBond(,,"EUR",3,"target",100,$B74,"f",100,,,Trigger)</f>
        <v>obj_0088c#0000</v>
      </c>
      <c r="Q74" s="101" t="str">
        <f>_xll.qlZeroCouponBond(,,"EUR",3,"target",100,$B74,"f",100,,,Trigger)</f>
        <v>obj_008b2#0000</v>
      </c>
      <c r="R74" s="117">
        <f t="shared" si="12"/>
        <v>85.9</v>
      </c>
      <c r="S74" s="122">
        <f t="shared" ref="S74" si="83">R74</f>
        <v>85.9</v>
      </c>
      <c r="T74" s="138" t="str">
        <f>IF(UPPER(U$1)="ABCD",_xll.RtContribute($E$3,$E74,$R$3:$S$3,$R74:$S74,"SCOPE:SERVER"),"--")</f>
        <v>Success: Insert Ack on DTSIMI2 for STRIP.IT0003268841 at 10:36:50</v>
      </c>
      <c r="U74" s="142" t="str">
        <f t="shared" si="78"/>
        <v>OK</v>
      </c>
      <c r="V74" s="126" t="str">
        <f t="shared" si="75"/>
        <v>EUR.PRICING.XLS_STRIPS.IT0003268841</v>
      </c>
      <c r="W74" s="126" t="str">
        <f>IF(UPPER($X$1)="ABCD",_xll.MKV_PUBLISHRECORD(V74, "XLS_STRIPS"),"--")</f>
        <v>Not connected</v>
      </c>
      <c r="X74" s="127" t="str">
        <f>IF(UPPER(X$1)="ABCD",_xll.MKV_SUPPLYRECORD(V74, "Bid",F74, "Ask",H74, "Id",A74, "Mid",G74, "Name",D74,"DV01",N74,"MidYield",J74,"BidYield",I74,"AskYield",K74),"--")</f>
        <v>Not connected</v>
      </c>
      <c r="Z74" s="27" t="str">
        <f t="shared" si="18"/>
        <v>IT0003268841@rbsm Corp</v>
      </c>
      <c r="AA74" s="27">
        <f>_xll.BDP(Z74,"bid")</f>
        <v>84.018000000000001</v>
      </c>
      <c r="AB74" s="27">
        <f>_xll.BDP(Z74,"ask")</f>
        <v>84.983000000000004</v>
      </c>
      <c r="AC74" s="27">
        <f t="shared" si="19"/>
        <v>84.500500000000002</v>
      </c>
      <c r="AD74" s="114">
        <f t="shared" si="20"/>
        <v>1.359499999999997</v>
      </c>
      <c r="AE74" s="27" t="str">
        <f t="shared" si="22"/>
        <v>0</v>
      </c>
      <c r="AF74" s="152">
        <f t="shared" si="23"/>
        <v>0</v>
      </c>
      <c r="AM74" s="27" t="s">
        <v>191</v>
      </c>
      <c r="AN74" s="27">
        <v>0.85499999999999998</v>
      </c>
    </row>
    <row r="75" spans="1:40" x14ac:dyDescent="0.2">
      <c r="A75" s="66" t="s">
        <v>182</v>
      </c>
      <c r="B75" s="83">
        <v>46082</v>
      </c>
      <c r="C75" s="131">
        <f>_xll.BDP(A75&amp;" Corp", "days to mty")</f>
        <v>3566</v>
      </c>
      <c r="D75" s="41" t="s">
        <v>183</v>
      </c>
      <c r="E75" s="41" t="s">
        <v>184</v>
      </c>
      <c r="F75" s="130">
        <v>85.43</v>
      </c>
      <c r="G75" s="130">
        <v>85.47</v>
      </c>
      <c r="H75" s="130">
        <f t="shared" si="76"/>
        <v>85.51</v>
      </c>
      <c r="I75" s="26">
        <f>ROUND(_xll.qlBondYieldFromCleanPrice(O75,F75,YieldDayCounter,YieldCompounding,YieldFrequency)*100,3)</f>
        <v>1.6259999999999999</v>
      </c>
      <c r="J75" s="26">
        <f>ROUND(_xll.qlBondYieldFromCleanPrice(P75,G75,YieldDayCounter,YieldCompounding,YieldFrequency)*100,3)</f>
        <v>1.621</v>
      </c>
      <c r="K75" s="26">
        <f>ROUND(_xll.qlBondYieldFromCleanPrice(Q75,H75,YieldDayCounter,YieldCompounding,YieldFrequency)*100,3)</f>
        <v>1.6160000000000001</v>
      </c>
      <c r="L75" s="114">
        <f>_xll.qlBondDurationFromYield(P75,J75,YieldDayCounter,YieldCompounding,YieldFrequency,L$2)</f>
        <v>3.7254420303868119</v>
      </c>
      <c r="M75" s="114">
        <f>_xll.qlBondConvexityFromYield(P75,J75/100,YieldDayCounter,YieldCompounding,YieldFrequency)</f>
        <v>101.78108278213318</v>
      </c>
      <c r="N75" s="115">
        <f>_xll.BDP(A75&amp;" Corp","risk mid")</f>
        <v>8.1029879187695997</v>
      </c>
      <c r="O75" s="101" t="str">
        <f>_xll.qlZeroCouponBond(,,"EUR",3,"target",100,$B75,"f",100,,,Trigger)</f>
        <v>obj_00987#0000</v>
      </c>
      <c r="P75" s="101" t="str">
        <f>_xll.qlZeroCouponBond(,,"EUR",3,"target",100,$B75,"f",100,,,Trigger)</f>
        <v>obj_009a8#0000</v>
      </c>
      <c r="Q75" s="101" t="str">
        <f>_xll.qlZeroCouponBond(,,"EUR",3,"target",100,$B75,"f",100,,,Trigger)</f>
        <v>obj_0092f#0000</v>
      </c>
      <c r="R75" s="117">
        <f t="shared" si="12"/>
        <v>85.51</v>
      </c>
      <c r="S75" s="122">
        <f t="shared" ref="S75" si="84">R75</f>
        <v>85.51</v>
      </c>
      <c r="T75" s="138" t="str">
        <f>IF(UPPER(U$1)="ABCD",_xll.RtContribute($E$3,$E75,$R$3:$S$3,$R75:$S75,"SCOPE:SERVER"),"--")</f>
        <v>Success: Insert Ack on DTSIMI2 for STRIP.IT0004976475 at 10:36:50</v>
      </c>
      <c r="U75" s="142" t="str">
        <f t="shared" si="78"/>
        <v>OK</v>
      </c>
      <c r="V75" s="126" t="str">
        <f t="shared" si="75"/>
        <v>EUR.PRICING.XLS_STRIPS.IT0004976475</v>
      </c>
      <c r="W75" s="126" t="str">
        <f>IF(UPPER($X$1)="ABCD",_xll.MKV_PUBLISHRECORD(V75, "XLS_STRIPS"),"--")</f>
        <v>Not connected</v>
      </c>
      <c r="X75" s="127" t="str">
        <f>IF(UPPER(X$1)="ABCD",_xll.MKV_SUPPLYRECORD(V75, "Bid",F75, "Ask",H75, "Id",A75, "Mid",G75, "Name",D75,"DV01",N75,"MidYield",J75,"BidYield",I75,"AskYield",K75),"--")</f>
        <v>Not connected</v>
      </c>
      <c r="Z75" s="27" t="str">
        <f t="shared" si="18"/>
        <v>IT0004976475@rbsm Corp</v>
      </c>
      <c r="AA75" s="27">
        <f>_xll.BDP(Z75,"bid")</f>
        <v>83.475999999999999</v>
      </c>
      <c r="AB75" s="27">
        <f>_xll.BDP(Z75,"ask")</f>
        <v>85.093999999999994</v>
      </c>
      <c r="AC75" s="27">
        <f t="shared" si="19"/>
        <v>84.284999999999997</v>
      </c>
      <c r="AD75" s="114">
        <f t="shared" si="20"/>
        <v>1.1850000000000023</v>
      </c>
      <c r="AE75" s="27">
        <f t="shared" si="22"/>
        <v>0.85499999999999998</v>
      </c>
      <c r="AF75" s="152">
        <f t="shared" si="23"/>
        <v>10131.75000000002</v>
      </c>
      <c r="AM75" s="27" t="s">
        <v>194</v>
      </c>
      <c r="AN75" s="27">
        <v>0.85499999999999998</v>
      </c>
    </row>
    <row r="76" spans="1:40" x14ac:dyDescent="0.2">
      <c r="A76" s="66" t="s">
        <v>60</v>
      </c>
      <c r="B76" s="83">
        <v>46143</v>
      </c>
      <c r="C76" s="131">
        <f>_xll.BDP(A76&amp;" Corp", "days to mty")</f>
        <v>3627</v>
      </c>
      <c r="D76" s="41" t="s">
        <v>409</v>
      </c>
      <c r="E76" s="41" t="s">
        <v>410</v>
      </c>
      <c r="F76" s="130">
        <v>84.68</v>
      </c>
      <c r="G76" s="130">
        <v>84.72</v>
      </c>
      <c r="H76" s="130">
        <f t="shared" si="76"/>
        <v>84.76</v>
      </c>
      <c r="I76" s="26">
        <f>ROUND(_xll.qlBondYieldFromCleanPrice(O76,F76,YieldDayCounter,YieldCompounding,YieldFrequency)*100,3)</f>
        <v>1.6879999999999999</v>
      </c>
      <c r="J76" s="26">
        <f>ROUND(_xll.qlBondYieldFromCleanPrice(P76,G76,YieldDayCounter,YieldCompounding,YieldFrequency)*100,3)</f>
        <v>1.6830000000000001</v>
      </c>
      <c r="K76" s="26">
        <f>ROUND(_xll.qlBondYieldFromCleanPrice(Q76,H76,YieldDayCounter,YieldCompounding,YieldFrequency)*100,3)</f>
        <v>1.6779999999999999</v>
      </c>
      <c r="L76" s="114">
        <f>_xll.qlBondDurationFromYield(P76,J76,YieldDayCounter,YieldCompounding,YieldFrequency,L$2)</f>
        <v>3.7036847936525774</v>
      </c>
      <c r="M76" s="114">
        <f>_xll.qlBondConvexityFromYield(P76,J76/100,YieldDayCounter,YieldCompounding,YieldFrequency)</f>
        <v>105.11281269122487</v>
      </c>
      <c r="N76" s="115">
        <f>_xll.BDP(A76&amp;" Corp","risk mid")</f>
        <v>8.2068619724601888</v>
      </c>
      <c r="O76" s="101" t="str">
        <f>_xll.qlZeroCouponBond(,,"EUR",3,"target",100,$B76,"f",100,,,Trigger)</f>
        <v>obj_009b5#0000</v>
      </c>
      <c r="P76" s="101" t="str">
        <f>_xll.qlZeroCouponBond(,,"EUR",3,"target",100,$B76,"f",100,,,Trigger)</f>
        <v>obj_00871#0000</v>
      </c>
      <c r="Q76" s="101" t="str">
        <f>_xll.qlZeroCouponBond(,,"EUR",3,"target",100,$B76,"f",100,,,Trigger)</f>
        <v>obj_008ea#0000</v>
      </c>
      <c r="R76" s="117">
        <f t="shared" si="12"/>
        <v>84.76</v>
      </c>
      <c r="S76" s="122">
        <f t="shared" ref="S76" si="85">R76</f>
        <v>84.76</v>
      </c>
      <c r="T76" s="138" t="str">
        <f>IF(UPPER(U$1)="ABCD",_xll.RtContribute($E$3,$E76,$R$3:$S$3,$R76:$S76,"SCOPE:SERVER"),"--")</f>
        <v>Success: Insert Ack on DTSIMI2 for STRIP.IT0001247375 at 10:36:50</v>
      </c>
      <c r="U76" s="142" t="str">
        <f t="shared" si="78"/>
        <v>OK</v>
      </c>
      <c r="V76" s="126" t="str">
        <f t="shared" si="75"/>
        <v>EUR.PRICING.XLS_STRIPS.IT0001247375</v>
      </c>
      <c r="W76" s="126" t="str">
        <f>IF(UPPER($X$1)="ABCD",_xll.MKV_PUBLISHRECORD(V76, "XLS_STRIPS"),"--")</f>
        <v>Not connected</v>
      </c>
      <c r="X76" s="127" t="str">
        <f>IF(UPPER(X$1)="ABCD",_xll.MKV_SUPPLYRECORD(V76, "Bid",F76, "Ask",H76, "Id",A76, "Mid",G76, "Name",D76,"DV01",N76,"MidYield",J76,"BidYield",I76,"AskYield",K76),"--")</f>
        <v>Not connected</v>
      </c>
      <c r="Z76" s="27" t="str">
        <f t="shared" si="18"/>
        <v>IT0001247375@rbsm Corp</v>
      </c>
      <c r="AA76" s="27">
        <f>_xll.BDP(Z76,"bid")</f>
        <v>83.171000000000006</v>
      </c>
      <c r="AB76" s="27">
        <f>_xll.BDP(Z76,"ask")</f>
        <v>83.986999999999995</v>
      </c>
      <c r="AC76" s="27">
        <f t="shared" si="19"/>
        <v>83.579000000000008</v>
      </c>
      <c r="AD76" s="114">
        <f t="shared" si="20"/>
        <v>1.1409999999999911</v>
      </c>
      <c r="AE76" s="27">
        <f t="shared" si="22"/>
        <v>1.08375</v>
      </c>
      <c r="AF76" s="152">
        <f t="shared" si="23"/>
        <v>12365.587499999903</v>
      </c>
      <c r="AM76" s="27" t="s">
        <v>543</v>
      </c>
      <c r="AN76" s="27">
        <v>-5.0999999999999996</v>
      </c>
    </row>
    <row r="77" spans="1:40" x14ac:dyDescent="0.2">
      <c r="A77" s="66" t="s">
        <v>61</v>
      </c>
      <c r="B77" s="83">
        <v>46235</v>
      </c>
      <c r="C77" s="131">
        <f>_xll.BDP(A77&amp;" Corp", "days to mty")</f>
        <v>3719</v>
      </c>
      <c r="D77" s="41" t="s">
        <v>411</v>
      </c>
      <c r="E77" s="41" t="s">
        <v>412</v>
      </c>
      <c r="F77" s="130">
        <v>83.74</v>
      </c>
      <c r="G77" s="130">
        <v>83.78</v>
      </c>
      <c r="H77" s="130">
        <f t="shared" si="76"/>
        <v>83.82</v>
      </c>
      <c r="I77" s="26">
        <f>ROUND(_xll.qlBondYieldFromCleanPrice(O77,F77,YieldDayCounter,YieldCompounding,YieldFrequency)*100,3)</f>
        <v>1.7569999999999999</v>
      </c>
      <c r="J77" s="26">
        <f>ROUND(_xll.qlBondYieldFromCleanPrice(P77,G77,YieldDayCounter,YieldCompounding,YieldFrequency)*100,3)</f>
        <v>1.7529999999999999</v>
      </c>
      <c r="K77" s="26">
        <f>ROUND(_xll.qlBondYieldFromCleanPrice(Q77,H77,YieldDayCounter,YieldCompounding,YieldFrequency)*100,3)</f>
        <v>1.748</v>
      </c>
      <c r="L77" s="114">
        <f>_xll.qlBondDurationFromYield(P77,J77,YieldDayCounter,YieldCompounding,YieldFrequency,L$2)</f>
        <v>3.6998882490834633</v>
      </c>
      <c r="M77" s="114">
        <f>_xll.qlBondConvexityFromYield(P77,J77/100,YieldDayCounter,YieldCompounding,YieldFrequency)</f>
        <v>110.04419208761902</v>
      </c>
      <c r="N77" s="115">
        <f>_xll.BDP(A77&amp;" Corp","risk mid")</f>
        <v>8.342006258651935</v>
      </c>
      <c r="O77" s="101" t="str">
        <f>_xll.qlZeroCouponBond(,,"EUR",3,"target",100,$B77,"f",100,,,Trigger)</f>
        <v>obj_008aa#0000</v>
      </c>
      <c r="P77" s="101" t="str">
        <f>_xll.qlZeroCouponBond(,,"EUR",3,"target",100,$B77,"f",100,,,Trigger)</f>
        <v>obj_009fa#0000</v>
      </c>
      <c r="Q77" s="101" t="str">
        <f>_xll.qlZeroCouponBond(,,"EUR",3,"target",100,$B77,"f",100,,,Trigger)</f>
        <v>obj_009f7#0000</v>
      </c>
      <c r="R77" s="117">
        <f t="shared" ref="R77:R140" si="86">H77</f>
        <v>83.82</v>
      </c>
      <c r="S77" s="122">
        <f t="shared" ref="S77" si="87">R77</f>
        <v>83.82</v>
      </c>
      <c r="T77" s="138" t="str">
        <f>IF(UPPER(U$1)="ABCD",_xll.RtContribute($E$3,$E77,$R$3:$S$3,$R77:$S77,"SCOPE:SERVER"),"--")</f>
        <v>Success: Insert Ack on DTSIMI2 for STRIP.IT0003268858 at 10:36:50</v>
      </c>
      <c r="U77" s="142" t="str">
        <f t="shared" si="78"/>
        <v>OK</v>
      </c>
      <c r="V77" s="126" t="str">
        <f t="shared" si="75"/>
        <v>EUR.PRICING.XLS_STRIPS.IT0003268858</v>
      </c>
      <c r="W77" s="126" t="str">
        <f>IF(UPPER($X$1)="ABCD",_xll.MKV_PUBLISHRECORD(V77, "XLS_STRIPS"),"--")</f>
        <v>Not connected</v>
      </c>
      <c r="X77" s="127" t="str">
        <f>IF(UPPER(X$1)="ABCD",_xll.MKV_SUPPLYRECORD(V77, "Bid",F77, "Ask",H77, "Id",A77, "Mid",G77, "Name",D77,"DV01",N77,"MidYield",J77,"BidYield",I77,"AskYield",K77),"--")</f>
        <v>Not connected</v>
      </c>
      <c r="Z77" s="27" t="str">
        <f t="shared" si="18"/>
        <v>IT0003268858@rbsm Corp</v>
      </c>
      <c r="AA77" s="27">
        <f>_xll.BDP(Z77,"bid")</f>
        <v>82.631</v>
      </c>
      <c r="AB77" s="27">
        <f>_xll.BDP(Z77,"ask")</f>
        <v>83.462000000000003</v>
      </c>
      <c r="AC77" s="27">
        <f t="shared" si="19"/>
        <v>83.046500000000009</v>
      </c>
      <c r="AD77" s="114">
        <f t="shared" si="20"/>
        <v>0.73349999999999227</v>
      </c>
      <c r="AE77" s="27" t="str">
        <f t="shared" si="22"/>
        <v>0</v>
      </c>
      <c r="AF77" s="152">
        <f t="shared" si="23"/>
        <v>0</v>
      </c>
      <c r="AM77" s="27" t="s">
        <v>197</v>
      </c>
      <c r="AN77" s="27">
        <v>0.85499999999999998</v>
      </c>
    </row>
    <row r="78" spans="1:40" x14ac:dyDescent="0.2">
      <c r="A78" s="66" t="s">
        <v>185</v>
      </c>
      <c r="B78" s="83">
        <v>46266</v>
      </c>
      <c r="C78" s="131">
        <f>_xll.BDP(A78&amp;" Corp", "days to mty")</f>
        <v>3750</v>
      </c>
      <c r="D78" s="41" t="s">
        <v>186</v>
      </c>
      <c r="E78" s="41" t="s">
        <v>187</v>
      </c>
      <c r="F78" s="130">
        <v>83.46</v>
      </c>
      <c r="G78" s="130">
        <v>83.5</v>
      </c>
      <c r="H78" s="130">
        <f t="shared" si="76"/>
        <v>83.54</v>
      </c>
      <c r="I78" s="26">
        <f>ROUND(_xll.qlBondYieldFromCleanPrice(O78,F78,YieldDayCounter,YieldCompounding,YieldFrequency)*100,3)</f>
        <v>1.7769999999999999</v>
      </c>
      <c r="J78" s="26">
        <f>ROUND(_xll.qlBondYieldFromCleanPrice(P78,G78,YieldDayCounter,YieldCompounding,YieldFrequency)*100,3)</f>
        <v>1.772</v>
      </c>
      <c r="K78" s="26">
        <f>ROUND(_xll.qlBondYieldFromCleanPrice(Q78,H78,YieldDayCounter,YieldCompounding,YieldFrequency)*100,3)</f>
        <v>1.7669999999999999</v>
      </c>
      <c r="L78" s="114">
        <f>_xll.qlBondDurationFromYield(P78,J78,YieldDayCounter,YieldCompounding,YieldFrequency,L$2)</f>
        <v>3.7031123096696863</v>
      </c>
      <c r="M78" s="114">
        <f>_xll.qlBondConvexityFromYield(P78,J78/100,YieldDayCounter,YieldCompounding,YieldFrequency)</f>
        <v>111.6440906148981</v>
      </c>
      <c r="N78" s="115">
        <f>_xll.BDP(A78&amp;" Corp","risk mid")</f>
        <v>8.3375216234415461</v>
      </c>
      <c r="O78" s="101" t="str">
        <f>_xll.qlZeroCouponBond(,,"EUR",3,"target",100,$B78,"f",100,,,Trigger)</f>
        <v>obj_008a8#0000</v>
      </c>
      <c r="P78" s="101" t="str">
        <f>_xll.qlZeroCouponBond(,,"EUR",3,"target",100,$B78,"f",100,,,Trigger)</f>
        <v>obj_00972#0000</v>
      </c>
      <c r="Q78" s="101" t="str">
        <f>_xll.qlZeroCouponBond(,,"EUR",3,"target",100,$B78,"f",100,,,Trigger)</f>
        <v>obj_00919#0000</v>
      </c>
      <c r="R78" s="117">
        <f t="shared" si="86"/>
        <v>83.54</v>
      </c>
      <c r="S78" s="122">
        <f t="shared" ref="S78" si="88">R78</f>
        <v>83.54</v>
      </c>
      <c r="T78" s="138" t="str">
        <f>IF(UPPER(U$1)="ABCD",_xll.RtContribute($E$3,$E78,$R$3:$S$3,$R78:$S78,"SCOPE:SERVER"),"--")</f>
        <v>Success: Insert Ack on DTSIMI2 for STRIP.IT0004976483 at 10:36:50</v>
      </c>
      <c r="U78" s="142" t="str">
        <f t="shared" si="78"/>
        <v>OK</v>
      </c>
      <c r="V78" s="126" t="str">
        <f t="shared" si="75"/>
        <v>EUR.PRICING.XLS_STRIPS.IT0004976483</v>
      </c>
      <c r="W78" s="126" t="str">
        <f>IF(UPPER($X$1)="ABCD",_xll.MKV_PUBLISHRECORD(V78, "XLS_STRIPS"),"--")</f>
        <v>Not connected</v>
      </c>
      <c r="X78" s="127" t="str">
        <f>IF(UPPER(X$1)="ABCD",_xll.MKV_SUPPLYRECORD(V78, "Bid",F78, "Ask",H78, "Id",A78, "Mid",G78, "Name",D78,"DV01",N78,"MidYield",J78,"BidYield",I78,"AskYield",K78),"--")</f>
        <v>Not connected</v>
      </c>
      <c r="Z78" s="27" t="str">
        <f t="shared" si="18"/>
        <v>IT0004976483@rbsm Corp</v>
      </c>
      <c r="AA78" s="27">
        <f>_xll.BDP(Z78,"bid")</f>
        <v>82.055999999999997</v>
      </c>
      <c r="AB78" s="27">
        <f>_xll.BDP(Z78,"ask")</f>
        <v>83.727999999999994</v>
      </c>
      <c r="AC78" s="27">
        <f t="shared" si="19"/>
        <v>82.891999999999996</v>
      </c>
      <c r="AD78" s="114">
        <f t="shared" si="20"/>
        <v>0.60800000000000409</v>
      </c>
      <c r="AE78" s="27">
        <f t="shared" si="22"/>
        <v>0.85499999999999998</v>
      </c>
      <c r="AF78" s="152">
        <f t="shared" si="23"/>
        <v>5198.4000000000351</v>
      </c>
      <c r="AM78" s="27" t="s">
        <v>200</v>
      </c>
      <c r="AN78" s="27">
        <v>0.85499999999999998</v>
      </c>
    </row>
    <row r="79" spans="1:40" x14ac:dyDescent="0.2">
      <c r="A79" s="66" t="s">
        <v>413</v>
      </c>
      <c r="B79" s="83">
        <v>46327</v>
      </c>
      <c r="C79" s="131">
        <f>_xll.BDP(A79&amp;" Corp", "days to mty")</f>
        <v>3811</v>
      </c>
      <c r="D79" s="41" t="s">
        <v>414</v>
      </c>
      <c r="E79" s="41" t="s">
        <v>415</v>
      </c>
      <c r="F79" s="130">
        <v>82.9</v>
      </c>
      <c r="G79" s="130">
        <v>82.94</v>
      </c>
      <c r="H79" s="130">
        <f t="shared" si="76"/>
        <v>82.98</v>
      </c>
      <c r="I79" s="26">
        <f>ROUND(_xll.qlBondYieldFromCleanPrice(O79,F79,YieldDayCounter,YieldCompounding,YieldFrequency)*100,3)</f>
        <v>1.8140000000000001</v>
      </c>
      <c r="J79" s="26">
        <f>ROUND(_xll.qlBondYieldFromCleanPrice(P79,G79,YieldDayCounter,YieldCompounding,YieldFrequency)*100,3)</f>
        <v>1.8089999999999999</v>
      </c>
      <c r="K79" s="26">
        <f>ROUND(_xll.qlBondYieldFromCleanPrice(Q79,H79,YieldDayCounter,YieldCompounding,YieldFrequency)*100,3)</f>
        <v>1.804</v>
      </c>
      <c r="L79" s="114">
        <f>_xll.qlBondDurationFromYield(P79,J79,YieldDayCounter,YieldCompounding,YieldFrequency,L$2)</f>
        <v>3.7146408791414007</v>
      </c>
      <c r="M79" s="114">
        <f>_xll.qlBondConvexityFromYield(P79,J79/100,YieldDayCounter,YieldCompounding,YieldFrequency)</f>
        <v>115.10935132124222</v>
      </c>
      <c r="N79" s="115">
        <f>_xll.BDP(A79&amp;" Corp","risk mid")</f>
        <v>8.5308257112878039</v>
      </c>
      <c r="O79" s="101" t="str">
        <f>_xll.qlZeroCouponBond(,,"EUR",3,"target",100,$B79,"f",100,,,Trigger)</f>
        <v>obj_00870#0000</v>
      </c>
      <c r="P79" s="101" t="str">
        <f>_xll.qlZeroCouponBond(,,"EUR",3,"target",100,$B79,"f",100,,,Trigger)</f>
        <v>obj_00958#0000</v>
      </c>
      <c r="Q79" s="101" t="str">
        <f>_xll.qlZeroCouponBond(,,"EUR",3,"target",100,$B79,"f",100,,,Trigger)</f>
        <v>obj_00925#0000</v>
      </c>
      <c r="R79" s="117">
        <f t="shared" si="86"/>
        <v>82.98</v>
      </c>
      <c r="S79" s="122">
        <f t="shared" ref="S79" si="89">R79</f>
        <v>82.98</v>
      </c>
      <c r="T79" s="138" t="str">
        <f>IF(UPPER(U$1)="ABCD",_xll.RtContribute($E$3,$E79,$R$3:$S$3,$R79:$S79,"SCOPE:SERVER"),"--")</f>
        <v>Success: Insert Ack on DTSIMI2 for STRIP.IT0004848443 at 10:35:05</v>
      </c>
      <c r="U79" s="142" t="str">
        <f t="shared" si="78"/>
        <v>OK</v>
      </c>
      <c r="V79" s="126" t="str">
        <f t="shared" si="75"/>
        <v>EUR.PRICING.XLS_STRIPS.IT0004848443</v>
      </c>
      <c r="W79" s="126" t="str">
        <f>IF(UPPER($X$1)="ABCD",_xll.MKV_PUBLISHRECORD(V79, "XLS_STRIPS"),"--")</f>
        <v>Not connected</v>
      </c>
      <c r="X79" s="127" t="str">
        <f>IF(UPPER(X$1)="ABCD",_xll.MKV_SUPPLYRECORD(V79, "Bid",F79, "Ask",H79, "Id",A79, "Mid",G79, "Name",D79,"DV01",N79,"MidYield",J79,"BidYield",I79,"AskYield",K79),"--")</f>
        <v>Not connected</v>
      </c>
      <c r="Z79" s="27" t="str">
        <f t="shared" ref="Z79:Z142" si="90">RIGHT(E79,12)&amp;"@"&amp;$Z$13&amp;" Corp"</f>
        <v>IT0004848443@rbsm Corp</v>
      </c>
      <c r="AA79" s="27">
        <f>_xll.BDP(Z79,"bid")</f>
        <v>83.031000000000006</v>
      </c>
      <c r="AB79" s="27">
        <f>_xll.BDP(Z79,"ask")</f>
        <v>83.373000000000005</v>
      </c>
      <c r="AC79" s="27">
        <f t="shared" si="19"/>
        <v>83.201999999999998</v>
      </c>
      <c r="AD79" s="114">
        <f t="shared" si="20"/>
        <v>-0.26200000000000045</v>
      </c>
      <c r="AE79" s="27">
        <f t="shared" si="22"/>
        <v>0.93872537</v>
      </c>
      <c r="AF79" s="152">
        <f t="shared" si="23"/>
        <v>-2459.4604694000045</v>
      </c>
      <c r="AM79" s="27" t="s">
        <v>203</v>
      </c>
      <c r="AN79" s="27">
        <v>0.85499999999999998</v>
      </c>
    </row>
    <row r="80" spans="1:40" x14ac:dyDescent="0.2">
      <c r="A80" s="66" t="s">
        <v>62</v>
      </c>
      <c r="B80" s="83">
        <v>46419</v>
      </c>
      <c r="C80" s="131">
        <f>_xll.BDP(A80&amp;" Corp", "days to mty")</f>
        <v>3903</v>
      </c>
      <c r="D80" s="41" t="s">
        <v>416</v>
      </c>
      <c r="E80" s="41" t="s">
        <v>417</v>
      </c>
      <c r="F80" s="130">
        <v>82.03</v>
      </c>
      <c r="G80" s="130">
        <v>82.07</v>
      </c>
      <c r="H80" s="130">
        <f t="shared" si="76"/>
        <v>82.11</v>
      </c>
      <c r="I80" s="26">
        <f>ROUND(_xll.qlBondYieldFromCleanPrice(O80,F80,YieldDayCounter,YieldCompounding,YieldFrequency)*100,3)</f>
        <v>1.871</v>
      </c>
      <c r="J80" s="26">
        <f>ROUND(_xll.qlBondYieldFromCleanPrice(P80,G80,YieldDayCounter,YieldCompounding,YieldFrequency)*100,3)</f>
        <v>1.867</v>
      </c>
      <c r="K80" s="26">
        <f>ROUND(_xll.qlBondYieldFromCleanPrice(Q80,H80,YieldDayCounter,YieldCompounding,YieldFrequency)*100,3)</f>
        <v>1.8620000000000001</v>
      </c>
      <c r="L80" s="114">
        <f>_xll.qlBondDurationFromYield(P80,J80,YieldDayCounter,YieldCompounding,YieldFrequency,L$2)</f>
        <v>3.7262155944505122</v>
      </c>
      <c r="M80" s="114">
        <f>_xll.qlBondConvexityFromYield(P80,J80/100,YieldDayCounter,YieldCompounding,YieldFrequency)</f>
        <v>120.27773760704545</v>
      </c>
      <c r="N80" s="115">
        <f>_xll.BDP(A80&amp;" Corp","risk mid")</f>
        <v>8.602002150319521</v>
      </c>
      <c r="O80" s="101" t="str">
        <f>_xll.qlZeroCouponBond(,,"EUR",3,"target",100,$B80,"f",100,,,Trigger)</f>
        <v>obj_0091a#0000</v>
      </c>
      <c r="P80" s="101" t="str">
        <f>_xll.qlZeroCouponBond(,,"EUR",3,"target",100,$B80,"f",100,,,Trigger)</f>
        <v>obj_00935#0000</v>
      </c>
      <c r="Q80" s="101" t="str">
        <f>_xll.qlZeroCouponBond(,,"EUR",3,"target",100,$B80,"f",100,,,Trigger)</f>
        <v>obj_00934#0000</v>
      </c>
      <c r="R80" s="117">
        <f t="shared" si="86"/>
        <v>82.11</v>
      </c>
      <c r="S80" s="122">
        <f t="shared" ref="S80" si="91">R80</f>
        <v>82.11</v>
      </c>
      <c r="T80" s="138" t="str">
        <f>IF(UPPER(U$1)="ABCD",_xll.RtContribute($E$3,$E80,$R$3:$S$3,$R80:$S80,"SCOPE:SERVER"),"--")</f>
        <v>Success: Insert Ack on DTSIMI2 for STRIP.IT0003268874 at 10:36:50</v>
      </c>
      <c r="U80" s="142" t="str">
        <f t="shared" si="78"/>
        <v>OK</v>
      </c>
      <c r="V80" s="126" t="str">
        <f t="shared" si="75"/>
        <v>EUR.PRICING.XLS_STRIPS.IT0003268874</v>
      </c>
      <c r="W80" s="126" t="str">
        <f>IF(UPPER($X$1)="ABCD",_xll.MKV_PUBLISHRECORD(V80, "XLS_STRIPS"),"--")</f>
        <v>Not connected</v>
      </c>
      <c r="X80" s="127" t="str">
        <f>IF(UPPER(X$1)="ABCD",_xll.MKV_SUPPLYRECORD(V80, "Bid",F80, "Ask",H80, "Id",A80, "Mid",G80, "Name",D80,"DV01",N80,"MidYield",J80,"BidYield",I80,"AskYield",K80),"--")</f>
        <v>Not connected</v>
      </c>
      <c r="Z80" s="27" t="str">
        <f t="shared" si="90"/>
        <v>IT0003268874@rbsm Corp</v>
      </c>
      <c r="AA80" s="27">
        <f>_xll.BDP(Z80,"bid")</f>
        <v>81.16</v>
      </c>
      <c r="AB80" s="27">
        <f>_xll.BDP(Z80,"ask")</f>
        <v>82.188000000000002</v>
      </c>
      <c r="AC80" s="27">
        <f t="shared" si="19"/>
        <v>81.674000000000007</v>
      </c>
      <c r="AD80" s="114">
        <f t="shared" si="20"/>
        <v>0.39599999999998658</v>
      </c>
      <c r="AE80" s="27" t="str">
        <f t="shared" si="22"/>
        <v>0</v>
      </c>
      <c r="AF80" s="152">
        <f t="shared" si="23"/>
        <v>0</v>
      </c>
      <c r="AM80" s="27" t="s">
        <v>206</v>
      </c>
      <c r="AN80" s="27">
        <v>0.85499999999999998</v>
      </c>
    </row>
    <row r="81" spans="1:40" x14ac:dyDescent="0.2">
      <c r="A81" s="66" t="s">
        <v>188</v>
      </c>
      <c r="B81" s="83">
        <v>46447</v>
      </c>
      <c r="C81" s="131">
        <f>_xll.BDP(A81&amp;" Corp", "days to mty")</f>
        <v>3931</v>
      </c>
      <c r="D81" s="41" t="s">
        <v>189</v>
      </c>
      <c r="E81" s="41" t="s">
        <v>190</v>
      </c>
      <c r="F81" s="130">
        <v>81.760000000000005</v>
      </c>
      <c r="G81" s="130">
        <v>81.8</v>
      </c>
      <c r="H81" s="130">
        <f t="shared" si="76"/>
        <v>81.84</v>
      </c>
      <c r="I81" s="26">
        <f>ROUND(_xll.qlBondYieldFromCleanPrice(O81,F81,YieldDayCounter,YieldCompounding,YieldFrequency)*100,3)</f>
        <v>1.889</v>
      </c>
      <c r="J81" s="26">
        <f>ROUND(_xll.qlBondYieldFromCleanPrice(P81,G81,YieldDayCounter,YieldCompounding,YieldFrequency)*100,3)</f>
        <v>1.8839999999999999</v>
      </c>
      <c r="K81" s="26">
        <f>ROUND(_xll.qlBondYieldFromCleanPrice(Q81,H81,YieldDayCounter,YieldCompounding,YieldFrequency)*100,3)</f>
        <v>1.88</v>
      </c>
      <c r="L81" s="114">
        <f>_xll.qlBondDurationFromYield(P81,J81,YieldDayCounter,YieldCompounding,YieldFrequency,L$2)</f>
        <v>3.7314992495202635</v>
      </c>
      <c r="M81" s="114">
        <f>_xll.qlBondConvexityFromYield(P81,J81/100,YieldDayCounter,YieldCompounding,YieldFrequency)</f>
        <v>121.93676370607706</v>
      </c>
      <c r="N81" s="115">
        <f>_xll.BDP(A81&amp;" Corp","risk mid")</f>
        <v>8.578225497561931</v>
      </c>
      <c r="O81" s="101" t="str">
        <f>_xll.qlZeroCouponBond(,,"EUR",3,"target",100,$B81,"f",100,,,Trigger)</f>
        <v>obj_009b1#0000</v>
      </c>
      <c r="P81" s="101" t="str">
        <f>_xll.qlZeroCouponBond(,,"EUR",3,"target",100,$B81,"f",100,,,Trigger)</f>
        <v>obj_009e6#0000</v>
      </c>
      <c r="Q81" s="101" t="str">
        <f>_xll.qlZeroCouponBond(,,"EUR",3,"target",100,$B81,"f",100,,,Trigger)</f>
        <v>obj_008f3#0000</v>
      </c>
      <c r="R81" s="117">
        <f t="shared" si="86"/>
        <v>81.84</v>
      </c>
      <c r="S81" s="122">
        <f t="shared" ref="S81" si="92">R81</f>
        <v>81.84</v>
      </c>
      <c r="T81" s="138" t="str">
        <f>IF(UPPER(U$1)="ABCD",_xll.RtContribute($E$3,$E81,$R$3:$S$3,$R81:$S81,"SCOPE:SERVER"),"--")</f>
        <v>Success: Insert Ack on DTSIMI2 for STRIP.IT0004976491 at 10:35:34</v>
      </c>
      <c r="U81" s="142" t="str">
        <f t="shared" si="78"/>
        <v>OK</v>
      </c>
      <c r="V81" s="126" t="str">
        <f t="shared" si="75"/>
        <v>EUR.PRICING.XLS_STRIPS.IT0004976491</v>
      </c>
      <c r="W81" s="126" t="str">
        <f>IF(UPPER($X$1)="ABCD",_xll.MKV_PUBLISHRECORD(V81, "XLS_STRIPS"),"--")</f>
        <v>Not connected</v>
      </c>
      <c r="X81" s="127" t="str">
        <f>IF(UPPER(X$1)="ABCD",_xll.MKV_SUPPLYRECORD(V81, "Bid",F81, "Ask",H81, "Id",A81, "Mid",G81, "Name",D81,"DV01",N81,"MidYield",J81,"BidYield",I81,"AskYield",K81),"--")</f>
        <v>Not connected</v>
      </c>
      <c r="Z81" s="27" t="str">
        <f t="shared" si="90"/>
        <v>IT0004976491@rbsm Corp</v>
      </c>
      <c r="AA81" s="27">
        <f>_xll.BDP(Z81,"bid")</f>
        <v>80.611999999999995</v>
      </c>
      <c r="AB81" s="27">
        <f>_xll.BDP(Z81,"ask")</f>
        <v>82.332999999999998</v>
      </c>
      <c r="AC81" s="27">
        <f t="shared" ref="AC81:AC144" si="93">AVERAGE(AA81:AB81)</f>
        <v>81.472499999999997</v>
      </c>
      <c r="AD81" s="114">
        <f t="shared" ref="AD81:AD144" si="94">+G81-AC81</f>
        <v>0.32750000000000057</v>
      </c>
      <c r="AE81" s="27">
        <f t="shared" si="22"/>
        <v>0.85499999999999998</v>
      </c>
      <c r="AF81" s="152">
        <f t="shared" si="23"/>
        <v>2800.125000000005</v>
      </c>
      <c r="AM81" s="27" t="s">
        <v>209</v>
      </c>
      <c r="AN81" s="27">
        <v>0.85499999999999998</v>
      </c>
    </row>
    <row r="82" spans="1:40" x14ac:dyDescent="0.2">
      <c r="A82" s="66" t="s">
        <v>63</v>
      </c>
      <c r="B82" s="83">
        <v>46508</v>
      </c>
      <c r="C82" s="131">
        <f>_xll.BDP(A82&amp;" Corp", "days to mty")</f>
        <v>3992</v>
      </c>
      <c r="D82" s="41" t="s">
        <v>418</v>
      </c>
      <c r="E82" s="41" t="s">
        <v>419</v>
      </c>
      <c r="F82" s="130">
        <v>81.2</v>
      </c>
      <c r="G82" s="130">
        <v>81.239999999999995</v>
      </c>
      <c r="H82" s="130">
        <f t="shared" si="76"/>
        <v>81.28</v>
      </c>
      <c r="I82" s="26">
        <f>ROUND(_xll.qlBondYieldFromCleanPrice(O82,F82,YieldDayCounter,YieldCompounding,YieldFrequency)*100,3)</f>
        <v>1.923</v>
      </c>
      <c r="J82" s="26">
        <f>ROUND(_xll.qlBondYieldFromCleanPrice(P82,G82,YieldDayCounter,YieldCompounding,YieldFrequency)*100,3)</f>
        <v>1.9179999999999999</v>
      </c>
      <c r="K82" s="26">
        <f>ROUND(_xll.qlBondYieldFromCleanPrice(Q82,H82,YieldDayCounter,YieldCompounding,YieldFrequency)*100,3)</f>
        <v>1.9139999999999999</v>
      </c>
      <c r="L82" s="114">
        <f>_xll.qlBondDurationFromYield(P82,J82,YieldDayCounter,YieldCompounding,YieldFrequency,L$2)</f>
        <v>3.7471715474100304</v>
      </c>
      <c r="M82" s="114">
        <f>_xll.qlBondConvexityFromYield(P82,J82/100,YieldDayCounter,YieldCompounding,YieldFrequency)</f>
        <v>125.62673844904802</v>
      </c>
      <c r="N82" s="115">
        <f>_xll.BDP(A82&amp;" Corp","risk mid")</f>
        <v>8.7300888659584075</v>
      </c>
      <c r="O82" s="101" t="str">
        <f>_xll.qlZeroCouponBond(,,"EUR",3,"target",100,$B82,"f",100,,,Trigger)</f>
        <v>obj_0098d#0000</v>
      </c>
      <c r="P82" s="101" t="str">
        <f>_xll.qlZeroCouponBond(,,"EUR",3,"target",100,$B82,"f",100,,,Trigger)</f>
        <v>obj_0093b#0000</v>
      </c>
      <c r="Q82" s="101" t="str">
        <f>_xll.qlZeroCouponBond(,,"EUR",3,"target",100,$B82,"f",100,,,Trigger)</f>
        <v>obj_0086f#0000</v>
      </c>
      <c r="R82" s="117">
        <f t="shared" si="86"/>
        <v>81.28</v>
      </c>
      <c r="S82" s="122">
        <f t="shared" ref="S82" si="95">R82</f>
        <v>81.28</v>
      </c>
      <c r="T82" s="138" t="str">
        <f>IF(UPPER(U$1)="ABCD",_xll.RtContribute($E$3,$E82,$R$3:$S$3,$R82:$S82,"SCOPE:SERVER"),"--")</f>
        <v>Success: Insert Ack on DTSIMI2 for STRIP.IT0001247391 at 10:36:50</v>
      </c>
      <c r="U82" s="142" t="str">
        <f t="shared" si="78"/>
        <v>OK</v>
      </c>
      <c r="V82" s="126" t="str">
        <f t="shared" si="75"/>
        <v>EUR.PRICING.XLS_STRIPS.IT0001247391</v>
      </c>
      <c r="W82" s="126" t="str">
        <f>IF(UPPER($X$1)="ABCD",_xll.MKV_PUBLISHRECORD(V82, "XLS_STRIPS"),"--")</f>
        <v>Not connected</v>
      </c>
      <c r="X82" s="127" t="str">
        <f>IF(UPPER(X$1)="ABCD",_xll.MKV_SUPPLYRECORD(V82, "Bid",F82, "Ask",H82, "Id",A82, "Mid",G82, "Name",D82,"DV01",N82,"MidYield",J82,"BidYield",I82,"AskYield",K82),"--")</f>
        <v>Not connected</v>
      </c>
      <c r="Z82" s="27" t="str">
        <f t="shared" si="90"/>
        <v>IT0001247391@rbsm Corp</v>
      </c>
      <c r="AA82" s="27">
        <f>_xll.BDP(Z82,"bid")</f>
        <v>80.759</v>
      </c>
      <c r="AB82" s="27">
        <f>_xll.BDP(Z82,"ask")</f>
        <v>81.894000000000005</v>
      </c>
      <c r="AC82" s="27">
        <f t="shared" si="93"/>
        <v>81.32650000000001</v>
      </c>
      <c r="AD82" s="114">
        <f t="shared" si="94"/>
        <v>-8.650000000001512E-2</v>
      </c>
      <c r="AE82" s="27" t="str">
        <f t="shared" ref="AE82:AE145" si="96">IF(ISNUMBER(VLOOKUP(LEFT(Z82,12),$AM$17:$AN$150,2,FALSE)),VLOOKUP(LEFT(Z82,12),$AM$17:$AN$150,2,FALSE),"0")</f>
        <v>0</v>
      </c>
      <c r="AF82" s="152">
        <f t="shared" ref="AF82:AF145" si="97">AE82*AD82*10000</f>
        <v>0</v>
      </c>
      <c r="AM82" s="27" t="s">
        <v>212</v>
      </c>
      <c r="AN82" s="27">
        <v>0.85499999999999998</v>
      </c>
    </row>
    <row r="83" spans="1:40" x14ac:dyDescent="0.2">
      <c r="A83" s="66" t="s">
        <v>64</v>
      </c>
      <c r="B83" s="83">
        <v>46600</v>
      </c>
      <c r="C83" s="131">
        <f>_xll.BDP(A83&amp;" Corp", "days to mty")</f>
        <v>4084</v>
      </c>
      <c r="D83" s="41" t="s">
        <v>420</v>
      </c>
      <c r="E83" s="41" t="s">
        <v>421</v>
      </c>
      <c r="F83" s="130">
        <v>80.44</v>
      </c>
      <c r="G83" s="130">
        <v>80.48</v>
      </c>
      <c r="H83" s="130">
        <f t="shared" si="76"/>
        <v>80.52</v>
      </c>
      <c r="I83" s="26">
        <f>ROUND(_xll.qlBondYieldFromCleanPrice(O83,F83,YieldDayCounter,YieldCompounding,YieldFrequency)*100,3)</f>
        <v>1.9650000000000001</v>
      </c>
      <c r="J83" s="26">
        <f>ROUND(_xll.qlBondYieldFromCleanPrice(P83,G83,YieldDayCounter,YieldCompounding,YieldFrequency)*100,3)</f>
        <v>1.9610000000000001</v>
      </c>
      <c r="K83" s="26">
        <f>ROUND(_xll.qlBondYieldFromCleanPrice(Q83,H83,YieldDayCounter,YieldCompounding,YieldFrequency)*100,3)</f>
        <v>1.956</v>
      </c>
      <c r="L83" s="114">
        <f>_xll.qlBondDurationFromYield(P83,J83,YieldDayCounter,YieldCompounding,YieldFrequency,L$2)</f>
        <v>3.7767849068860579</v>
      </c>
      <c r="M83" s="114">
        <f>_xll.qlBondConvexityFromYield(P83,J83/100,YieldDayCounter,YieldCompounding,YieldFrequency)</f>
        <v>131.05357536388411</v>
      </c>
      <c r="N83" s="115">
        <f>_xll.BDP(A83&amp;" Corp","risk mid")</f>
        <v>8.8294417072376064</v>
      </c>
      <c r="O83" s="101" t="str">
        <f>_xll.qlZeroCouponBond(,,"EUR",3,"target",100,$B83,"f",100,,,Trigger)</f>
        <v>obj_0098c#0000</v>
      </c>
      <c r="P83" s="101" t="str">
        <f>_xll.qlZeroCouponBond(,,"EUR",3,"target",100,$B83,"f",100,,,Trigger)</f>
        <v>obj_008a0#0000</v>
      </c>
      <c r="Q83" s="101" t="str">
        <f>_xll.qlZeroCouponBond(,,"EUR",3,"target",100,$B83,"f",100,,,Trigger)</f>
        <v>obj_00859#0000</v>
      </c>
      <c r="R83" s="117">
        <f t="shared" si="86"/>
        <v>80.52</v>
      </c>
      <c r="S83" s="122">
        <f t="shared" ref="S83" si="98">R83</f>
        <v>80.52</v>
      </c>
      <c r="T83" s="138" t="str">
        <f>IF(UPPER(U$1)="ABCD",_xll.RtContribute($E$3,$E83,$R$3:$S$3,$R83:$S83,"SCOPE:SERVER"),"--")</f>
        <v>Success: Insert Ack on DTSIMI2 for STRIP.IT0003268882 at 10:35:59</v>
      </c>
      <c r="U83" s="142" t="str">
        <f t="shared" si="78"/>
        <v>OK</v>
      </c>
      <c r="V83" s="126" t="str">
        <f t="shared" si="75"/>
        <v>EUR.PRICING.XLS_STRIPS.IT0003268882</v>
      </c>
      <c r="W83" s="126" t="str">
        <f>IF(UPPER($X$1)="ABCD",_xll.MKV_PUBLISHRECORD(V83, "XLS_STRIPS"),"--")</f>
        <v>Not connected</v>
      </c>
      <c r="X83" s="127" t="str">
        <f>IF(UPPER(X$1)="ABCD",_xll.MKV_SUPPLYRECORD(V83, "Bid",F83, "Ask",H83, "Id",A83, "Mid",G83, "Name",D83,"DV01",N83,"MidYield",J83,"BidYield",I83,"AskYield",K83),"--")</f>
        <v>Not connected</v>
      </c>
      <c r="Z83" s="27" t="str">
        <f t="shared" si="90"/>
        <v>IT0003268882@rbsm Corp</v>
      </c>
      <c r="AA83" s="27">
        <f>_xll.BDP(Z83,"bid")</f>
        <v>79.647999999999996</v>
      </c>
      <c r="AB83" s="27">
        <f>_xll.BDP(Z83,"ask")</f>
        <v>80.703000000000003</v>
      </c>
      <c r="AC83" s="27">
        <f t="shared" si="93"/>
        <v>80.1755</v>
      </c>
      <c r="AD83" s="114">
        <f t="shared" si="94"/>
        <v>0.30450000000000443</v>
      </c>
      <c r="AE83" s="27" t="str">
        <f t="shared" si="96"/>
        <v>0</v>
      </c>
      <c r="AF83" s="152">
        <f t="shared" si="97"/>
        <v>0</v>
      </c>
      <c r="AN83" s="27">
        <v>5.3680000000000003</v>
      </c>
    </row>
    <row r="84" spans="1:40" x14ac:dyDescent="0.2">
      <c r="A84" s="66" t="s">
        <v>191</v>
      </c>
      <c r="B84" s="83">
        <v>46631</v>
      </c>
      <c r="C84" s="131">
        <f>_xll.BDP(A84&amp;" Corp", "days to mty")</f>
        <v>4115</v>
      </c>
      <c r="D84" s="41" t="s">
        <v>192</v>
      </c>
      <c r="E84" s="41" t="s">
        <v>193</v>
      </c>
      <c r="F84" s="130">
        <v>80.22</v>
      </c>
      <c r="G84" s="130">
        <v>80.260000000000005</v>
      </c>
      <c r="H84" s="130">
        <f t="shared" si="76"/>
        <v>80.3</v>
      </c>
      <c r="I84" s="26">
        <f>ROUND(_xll.qlBondYieldFromCleanPrice(O84,F84,YieldDayCounter,YieldCompounding,YieldFrequency)*100,3)</f>
        <v>1.976</v>
      </c>
      <c r="J84" s="26">
        <f>ROUND(_xll.qlBondYieldFromCleanPrice(P84,G84,YieldDayCounter,YieldCompounding,YieldFrequency)*100,3)</f>
        <v>1.9710000000000001</v>
      </c>
      <c r="K84" s="26">
        <f>ROUND(_xll.qlBondYieldFromCleanPrice(Q84,H84,YieldDayCounter,YieldCompounding,YieldFrequency)*100,3)</f>
        <v>1.9670000000000001</v>
      </c>
      <c r="L84" s="114">
        <f>_xll.qlBondDurationFromYield(P84,J84,YieldDayCounter,YieldCompounding,YieldFrequency,L$2)</f>
        <v>3.7916618385743424</v>
      </c>
      <c r="M84" s="114">
        <f>_xll.qlBondConvexityFromYield(P84,J84/100,YieldDayCounter,YieldCompounding,YieldFrequency)</f>
        <v>132.8762652061933</v>
      </c>
      <c r="N84" s="115">
        <f>_xll.BDP(A84&amp;" Corp","risk mid")</f>
        <v>8.8025601789247787</v>
      </c>
      <c r="O84" s="101" t="str">
        <f>_xll.qlZeroCouponBond(,,"EUR",3,"target",100,$B84,"f",100,,,Trigger)</f>
        <v>obj_00890#0000</v>
      </c>
      <c r="P84" s="101" t="str">
        <f>_xll.qlZeroCouponBond(,,"EUR",3,"target",100,$B84,"f",100,,,Trigger)</f>
        <v>obj_00888#0000</v>
      </c>
      <c r="Q84" s="101" t="str">
        <f>_xll.qlZeroCouponBond(,,"EUR",3,"target",100,$B84,"f",100,,,Trigger)</f>
        <v>obj_00975#0000</v>
      </c>
      <c r="R84" s="117">
        <f t="shared" si="86"/>
        <v>80.3</v>
      </c>
      <c r="S84" s="122">
        <f t="shared" ref="S84" si="99">R84</f>
        <v>80.3</v>
      </c>
      <c r="T84" s="138" t="str">
        <f>IF(UPPER(U$1)="ABCD",_xll.RtContribute($E$3,$E84,$R$3:$S$3,$R84:$S84,"SCOPE:SERVER"),"--")</f>
        <v>Success: Insert Ack on DTSIMI2 for STRIP.IT0004976509 at 10:35:59</v>
      </c>
      <c r="U84" s="142" t="str">
        <f t="shared" si="78"/>
        <v>OK</v>
      </c>
      <c r="V84" s="126" t="str">
        <f t="shared" si="75"/>
        <v>EUR.PRICING.XLS_STRIPS.IT0004976509</v>
      </c>
      <c r="W84" s="126" t="str">
        <f>IF(UPPER($X$1)="ABCD",_xll.MKV_PUBLISHRECORD(V84, "XLS_STRIPS"),"--")</f>
        <v>Not connected</v>
      </c>
      <c r="X84" s="127" t="str">
        <f>IF(UPPER(X$1)="ABCD",_xll.MKV_SUPPLYRECORD(V84, "Bid",F84, "Ask",H84, "Id",A84, "Mid",G84, "Name",D84,"DV01",N84,"MidYield",J84,"BidYield",I84,"AskYield",K84),"--")</f>
        <v>Not connected</v>
      </c>
      <c r="Z84" s="27" t="str">
        <f t="shared" si="90"/>
        <v>IT0004976509@rbsm Corp</v>
      </c>
      <c r="AA84" s="27">
        <f>_xll.BDP(Z84,"bid")</f>
        <v>79.106999999999999</v>
      </c>
      <c r="AB84" s="27">
        <f>_xll.BDP(Z84,"ask")</f>
        <v>80.873999999999995</v>
      </c>
      <c r="AC84" s="27">
        <f t="shared" si="93"/>
        <v>79.990499999999997</v>
      </c>
      <c r="AD84" s="114">
        <f t="shared" si="94"/>
        <v>0.26950000000000784</v>
      </c>
      <c r="AE84" s="27">
        <f t="shared" si="96"/>
        <v>0.85499999999999998</v>
      </c>
      <c r="AF84" s="152">
        <f t="shared" si="97"/>
        <v>2304.2250000000668</v>
      </c>
      <c r="AM84" s="27" t="s">
        <v>215</v>
      </c>
      <c r="AN84" s="27">
        <v>0.85499999999999998</v>
      </c>
    </row>
    <row r="85" spans="1:40" x14ac:dyDescent="0.2">
      <c r="A85" s="66" t="s">
        <v>422</v>
      </c>
      <c r="B85" s="83">
        <v>46692</v>
      </c>
      <c r="C85" s="131">
        <f>_xll.BDP(A85&amp;" Corp", "days to mty")</f>
        <v>4176</v>
      </c>
      <c r="D85" s="41" t="s">
        <v>423</v>
      </c>
      <c r="E85" s="41" t="s">
        <v>424</v>
      </c>
      <c r="F85" s="130">
        <v>79.87</v>
      </c>
      <c r="G85" s="130">
        <v>79.92</v>
      </c>
      <c r="H85" s="130">
        <f t="shared" si="76"/>
        <v>79.97</v>
      </c>
      <c r="I85" s="26">
        <f>ROUND(_xll.qlBondYieldFromCleanPrice(O85,F85,YieldDayCounter,YieldCompounding,YieldFrequency)*100,3)</f>
        <v>1.986</v>
      </c>
      <c r="J85" s="26">
        <f>ROUND(_xll.qlBondYieldFromCleanPrice(P85,G85,YieldDayCounter,YieldCompounding,YieldFrequency)*100,3)</f>
        <v>1.98</v>
      </c>
      <c r="K85" s="26">
        <f>ROUND(_xll.qlBondYieldFromCleanPrice(Q85,H85,YieldDayCounter,YieldCompounding,YieldFrequency)*100,3)</f>
        <v>1.974</v>
      </c>
      <c r="L85" s="114">
        <f>_xll.qlBondDurationFromYield(P85,J85,YieldDayCounter,YieldCompounding,YieldFrequency,L$2)</f>
        <v>3.8361389225070601</v>
      </c>
      <c r="M85" s="114">
        <f>_xll.qlBondConvexityFromYield(P85,J85/100,YieldDayCounter,YieldCompounding,YieldFrequency)</f>
        <v>136.65039344804404</v>
      </c>
      <c r="N85" s="115">
        <f>_xll.BDP(A85&amp;" Corp","risk mid")</f>
        <v>8.9885620322462501</v>
      </c>
      <c r="O85" s="101" t="str">
        <f>_xll.qlZeroCouponBond(,,"EUR",3,"target",100,$B85,"f",100,,,Trigger)</f>
        <v>obj_0095a#0000</v>
      </c>
      <c r="P85" s="101" t="str">
        <f>_xll.qlZeroCouponBond(,,"EUR",3,"target",100,$B85,"f",100,,,Trigger)</f>
        <v>obj_0094d#0000</v>
      </c>
      <c r="Q85" s="101" t="str">
        <f>_xll.qlZeroCouponBond(,,"EUR",3,"target",100,$B85,"f",100,,,Trigger)</f>
        <v>obj_009f2#0000</v>
      </c>
      <c r="R85" s="117">
        <f t="shared" si="86"/>
        <v>79.97</v>
      </c>
      <c r="S85" s="122">
        <f t="shared" ref="S85" si="100">R85</f>
        <v>79.97</v>
      </c>
      <c r="T85" s="138" t="str">
        <f>IF(UPPER(U$1)="ABCD",_xll.RtContribute($E$3,$E85,$R$3:$S$3,$R85:$S85,"SCOPE:SERVER"),"--")</f>
        <v>Success: Insert Ack on DTSIMI2 for STRIP.IT0004848476 at 10:35:59</v>
      </c>
      <c r="U85" s="142" t="str">
        <f t="shared" si="78"/>
        <v>OK</v>
      </c>
      <c r="V85" s="126" t="str">
        <f t="shared" si="75"/>
        <v>EUR.PRICING.XLS_STRIPS.IT0004848476</v>
      </c>
      <c r="W85" s="126" t="str">
        <f>IF(UPPER($X$1)="ABCD",_xll.MKV_PUBLISHRECORD(V85, "XLS_STRIPS"),"--")</f>
        <v>Not connected</v>
      </c>
      <c r="X85" s="127" t="str">
        <f>IF(UPPER(X$1)="ABCD",_xll.MKV_SUPPLYRECORD(V85, "Bid",F85, "Ask",H85, "Id",A85, "Mid",G85, "Name",D85,"DV01",N85,"MidYield",J85,"BidYield",I85,"AskYield",K85),"--")</f>
        <v>Not connected</v>
      </c>
      <c r="Z85" s="27" t="str">
        <f t="shared" si="90"/>
        <v>IT0004848476@rbsm Corp</v>
      </c>
      <c r="AA85" s="27">
        <f>_xll.BDP(Z85,"bid")</f>
        <v>80.010000000000005</v>
      </c>
      <c r="AB85" s="27">
        <f>_xll.BDP(Z85,"ask")</f>
        <v>80.369</v>
      </c>
      <c r="AC85" s="27">
        <f t="shared" si="93"/>
        <v>80.18950000000001</v>
      </c>
      <c r="AD85" s="114">
        <f t="shared" si="94"/>
        <v>-0.26950000000000784</v>
      </c>
      <c r="AE85" s="27" t="str">
        <f t="shared" si="96"/>
        <v>0</v>
      </c>
      <c r="AF85" s="152">
        <f t="shared" si="97"/>
        <v>0</v>
      </c>
      <c r="AM85" s="27" t="s">
        <v>218</v>
      </c>
      <c r="AN85" s="27">
        <v>0.85499999999999998</v>
      </c>
    </row>
    <row r="86" spans="1:40" x14ac:dyDescent="0.2">
      <c r="A86" s="66" t="s">
        <v>65</v>
      </c>
      <c r="B86" s="83">
        <v>46784</v>
      </c>
      <c r="C86" s="131">
        <f>_xll.BDP(A86&amp;" Corp", "days to mty")</f>
        <v>4268</v>
      </c>
      <c r="D86" s="41" t="s">
        <v>425</v>
      </c>
      <c r="E86" s="41" t="s">
        <v>426</v>
      </c>
      <c r="F86" s="130">
        <v>79.540000000000006</v>
      </c>
      <c r="G86" s="130">
        <v>79.58</v>
      </c>
      <c r="H86" s="130">
        <f t="shared" si="76"/>
        <v>79.62</v>
      </c>
      <c r="I86" s="26">
        <f>ROUND(_xll.qlBondYieldFromCleanPrice(O86,F86,YieldDayCounter,YieldCompounding,YieldFrequency)*100,3)</f>
        <v>1.9790000000000001</v>
      </c>
      <c r="J86" s="26">
        <f>ROUND(_xll.qlBondYieldFromCleanPrice(P86,G86,YieldDayCounter,YieldCompounding,YieldFrequency)*100,3)</f>
        <v>1.974</v>
      </c>
      <c r="K86" s="26">
        <f>ROUND(_xll.qlBondYieldFromCleanPrice(Q86,H86,YieldDayCounter,YieldCompounding,YieldFrequency)*100,3)</f>
        <v>1.97</v>
      </c>
      <c r="L86" s="114">
        <f>_xll.qlBondDurationFromYield(P86,J86,YieldDayCounter,YieldCompounding,YieldFrequency,L$2)</f>
        <v>3.9283994987523934</v>
      </c>
      <c r="M86" s="114">
        <f>_xll.qlBondConvexityFromYield(P86,J86/100,YieldDayCounter,YieldCompounding,YieldFrequency)</f>
        <v>142.49569753155083</v>
      </c>
      <c r="N86" s="115">
        <f>_xll.BDP(A86&amp;" Corp","risk mid")</f>
        <v>9.0645830678894868</v>
      </c>
      <c r="O86" s="101" t="str">
        <f>_xll.qlZeroCouponBond(,,"EUR",3,"target",100,$B86,"f",100,,,Trigger)</f>
        <v>obj_009ad#0000</v>
      </c>
      <c r="P86" s="101" t="str">
        <f>_xll.qlZeroCouponBond(,,"EUR",3,"target",100,$B86,"f",100,,,Trigger)</f>
        <v>obj_008d7#0000</v>
      </c>
      <c r="Q86" s="101" t="str">
        <f>_xll.qlZeroCouponBond(,,"EUR",3,"target",100,$B86,"f",100,,,Trigger)</f>
        <v>obj_008ca#0000</v>
      </c>
      <c r="R86" s="117">
        <f t="shared" si="86"/>
        <v>79.62</v>
      </c>
      <c r="S86" s="122">
        <f t="shared" ref="S86" si="101">R86</f>
        <v>79.62</v>
      </c>
      <c r="T86" s="138" t="str">
        <f>IF(UPPER(U$1)="ABCD",_xll.RtContribute($E$3,$E86,$R$3:$S$3,$R86:$S86,"SCOPE:SERVER"),"--")</f>
        <v>Success: Insert Ack on DTSIMI2 for STRIP.IT0003268890 at 10:35:59</v>
      </c>
      <c r="U86" s="142" t="str">
        <f t="shared" si="78"/>
        <v>OK</v>
      </c>
      <c r="V86" s="126" t="str">
        <f t="shared" si="75"/>
        <v>EUR.PRICING.XLS_STRIPS.IT0003268890</v>
      </c>
      <c r="W86" s="126" t="str">
        <f>IF(UPPER($X$1)="ABCD",_xll.MKV_PUBLISHRECORD(V86, "XLS_STRIPS"),"--")</f>
        <v>Not connected</v>
      </c>
      <c r="X86" s="127" t="str">
        <f>IF(UPPER(X$1)="ABCD",_xll.MKV_SUPPLYRECORD(V86, "Bid",F86, "Ask",H86, "Id",A86, "Mid",G86, "Name",D86,"DV01",N86,"MidYield",J86,"BidYield",I86,"AskYield",K86),"--")</f>
        <v>Not connected</v>
      </c>
      <c r="Z86" s="27" t="str">
        <f t="shared" si="90"/>
        <v>IT0003268890@rbsm Corp</v>
      </c>
      <c r="AA86" s="27">
        <f>_xll.BDP(Z86,"bid")</f>
        <v>78.314999999999998</v>
      </c>
      <c r="AB86" s="27">
        <f>_xll.BDP(Z86,"ask")</f>
        <v>79.399000000000001</v>
      </c>
      <c r="AC86" s="27">
        <f t="shared" si="93"/>
        <v>78.856999999999999</v>
      </c>
      <c r="AD86" s="114">
        <f t="shared" si="94"/>
        <v>0.72299999999999898</v>
      </c>
      <c r="AE86" s="27" t="str">
        <f t="shared" si="96"/>
        <v>0</v>
      </c>
      <c r="AF86" s="152">
        <f t="shared" si="97"/>
        <v>0</v>
      </c>
      <c r="AM86" s="27" t="s">
        <v>221</v>
      </c>
      <c r="AN86" s="27">
        <v>0.85499999999999998</v>
      </c>
    </row>
    <row r="87" spans="1:40" x14ac:dyDescent="0.2">
      <c r="A87" s="66" t="s">
        <v>194</v>
      </c>
      <c r="B87" s="83">
        <v>46813</v>
      </c>
      <c r="C87" s="131">
        <f>_xll.BDP(A87&amp;" Corp", "days to mty")</f>
        <v>4297</v>
      </c>
      <c r="D87" s="41" t="s">
        <v>195</v>
      </c>
      <c r="E87" s="41" t="s">
        <v>196</v>
      </c>
      <c r="F87" s="130">
        <v>79.459999999999994</v>
      </c>
      <c r="G87" s="130">
        <v>79.5</v>
      </c>
      <c r="H87" s="130">
        <f t="shared" si="76"/>
        <v>79.540000000000006</v>
      </c>
      <c r="I87" s="26">
        <f>ROUND(_xll.qlBondYieldFromCleanPrice(O87,F87,YieldDayCounter,YieldCompounding,YieldFrequency)*100,3)</f>
        <v>1.974</v>
      </c>
      <c r="J87" s="26">
        <f>ROUND(_xll.qlBondYieldFromCleanPrice(P87,G87,YieldDayCounter,YieldCompounding,YieldFrequency)*100,3)</f>
        <v>1.97</v>
      </c>
      <c r="K87" s="26">
        <f>ROUND(_xll.qlBondYieldFromCleanPrice(Q87,H87,YieldDayCounter,YieldCompounding,YieldFrequency)*100,3)</f>
        <v>1.9650000000000001</v>
      </c>
      <c r="L87" s="114">
        <f>_xll.qlBondDurationFromYield(P87,J87,YieldDayCounter,YieldCompounding,YieldFrequency,L$2)</f>
        <v>3.9601494396014947</v>
      </c>
      <c r="M87" s="114">
        <f>_xll.qlBondConvexityFromYield(P87,J87/100,YieldDayCounter,YieldCompounding,YieldFrequency)</f>
        <v>144.35432661236831</v>
      </c>
      <c r="N87" s="115">
        <f>_xll.BDP(A87&amp;" Corp","risk mid")</f>
        <v>9.030646439760659</v>
      </c>
      <c r="O87" s="101" t="str">
        <f>_xll.qlZeroCouponBond(,,"EUR",3,"target",100,$B87,"f",100,,,Trigger)</f>
        <v>obj_00842#0000</v>
      </c>
      <c r="P87" s="101" t="str">
        <f>_xll.qlZeroCouponBond(,,"EUR",3,"target",100,$B87,"f",100,,,Trigger)</f>
        <v>obj_008c5#0000</v>
      </c>
      <c r="Q87" s="101" t="str">
        <f>_xll.qlZeroCouponBond(,,"EUR",3,"target",100,$B87,"f",100,,,Trigger)</f>
        <v>obj_0097a#0000</v>
      </c>
      <c r="R87" s="117">
        <f t="shared" si="86"/>
        <v>79.540000000000006</v>
      </c>
      <c r="S87" s="122">
        <f t="shared" ref="S87" si="102">R87</f>
        <v>79.540000000000006</v>
      </c>
      <c r="T87" s="138" t="str">
        <f>IF(UPPER(U$1)="ABCD",_xll.RtContribute($E$3,$E87,$R$3:$S$3,$R87:$S87,"SCOPE:SERVER"),"--")</f>
        <v>Success: Insert Ack on DTSIMI2 for STRIP.IT0004976517 at 10:36:19</v>
      </c>
      <c r="U87" s="142" t="str">
        <f t="shared" si="78"/>
        <v>OK</v>
      </c>
      <c r="V87" s="126" t="str">
        <f t="shared" si="75"/>
        <v>EUR.PRICING.XLS_STRIPS.IT0004976517</v>
      </c>
      <c r="W87" s="126" t="str">
        <f>IF(UPPER($X$1)="ABCD",_xll.MKV_PUBLISHRECORD(V87, "XLS_STRIPS"),"--")</f>
        <v>Not connected</v>
      </c>
      <c r="X87" s="127" t="str">
        <f>IF(UPPER(X$1)="ABCD",_xll.MKV_SUPPLYRECORD(V87, "Bid",F87, "Ask",H87, "Id",A87, "Mid",G87, "Name",D87,"DV01",N87,"MidYield",J87,"BidYield",I87,"AskYield",K87),"--")</f>
        <v>Not connected</v>
      </c>
      <c r="Z87" s="27" t="str">
        <f t="shared" si="90"/>
        <v>IT0004976517@rbsm Corp</v>
      </c>
      <c r="AA87" s="27">
        <f>_xll.BDP(Z87,"bid")</f>
        <v>77.597999999999999</v>
      </c>
      <c r="AB87" s="27">
        <f>_xll.BDP(Z87,"ask")</f>
        <v>79.406999999999996</v>
      </c>
      <c r="AC87" s="27">
        <f t="shared" si="93"/>
        <v>78.502499999999998</v>
      </c>
      <c r="AD87" s="114">
        <f t="shared" si="94"/>
        <v>0.99750000000000227</v>
      </c>
      <c r="AE87" s="27">
        <f t="shared" si="96"/>
        <v>0.85499999999999998</v>
      </c>
      <c r="AF87" s="152">
        <f t="shared" si="97"/>
        <v>8528.62500000002</v>
      </c>
      <c r="AM87" s="27" t="s">
        <v>224</v>
      </c>
      <c r="AN87" s="27">
        <v>0.85499999999999998</v>
      </c>
    </row>
    <row r="88" spans="1:40" x14ac:dyDescent="0.2">
      <c r="A88" s="66" t="s">
        <v>66</v>
      </c>
      <c r="B88" s="83">
        <v>46874</v>
      </c>
      <c r="C88" s="131">
        <f>_xll.BDP(A88&amp;" Corp", "days to mty")</f>
        <v>4358</v>
      </c>
      <c r="D88" s="41" t="s">
        <v>427</v>
      </c>
      <c r="E88" s="41" t="s">
        <v>428</v>
      </c>
      <c r="F88" s="130">
        <v>79.28</v>
      </c>
      <c r="G88" s="130">
        <v>79.319999999999993</v>
      </c>
      <c r="H88" s="130">
        <f t="shared" si="76"/>
        <v>79.36</v>
      </c>
      <c r="I88" s="26">
        <f>ROUND(_xll.qlBondYieldFromCleanPrice(O88,F88,YieldDayCounter,YieldCompounding,YieldFrequency)*100,3)</f>
        <v>1.9650000000000001</v>
      </c>
      <c r="J88" s="26">
        <f>ROUND(_xll.qlBondYieldFromCleanPrice(P88,G88,YieldDayCounter,YieldCompounding,YieldFrequency)*100,3)</f>
        <v>1.9610000000000001</v>
      </c>
      <c r="K88" s="26">
        <f>ROUND(_xll.qlBondYieldFromCleanPrice(Q88,H88,YieldDayCounter,YieldCompounding,YieldFrequency)*100,3)</f>
        <v>1.956</v>
      </c>
      <c r="L88" s="114">
        <f>_xll.qlBondDurationFromYield(P88,J88,YieldDayCounter,YieldCompounding,YieldFrequency,L$2)</f>
        <v>4.0295531405994822</v>
      </c>
      <c r="M88" s="114">
        <f>_xll.qlBondConvexityFromYield(P88,J88/100,YieldDayCounter,YieldCompounding,YieldFrequency)</f>
        <v>148.41447378514945</v>
      </c>
      <c r="N88" s="115">
        <f>_xll.BDP(A88&amp;" Corp","risk mid")</f>
        <v>9.1564246028568164</v>
      </c>
      <c r="O88" s="101" t="str">
        <f>_xll.qlZeroCouponBond(,,"EUR",3,"target",100,$B88,"f",100,,,Trigger)</f>
        <v>obj_00855#0000</v>
      </c>
      <c r="P88" s="101" t="str">
        <f>_xll.qlZeroCouponBond(,,"EUR",3,"target",100,$B88,"f",100,,,Trigger)</f>
        <v>obj_009cf#0000</v>
      </c>
      <c r="Q88" s="101" t="str">
        <f>_xll.qlZeroCouponBond(,,"EUR",3,"target",100,$B88,"f",100,,,Trigger)</f>
        <v>obj_009e1#0000</v>
      </c>
      <c r="R88" s="117">
        <f t="shared" si="86"/>
        <v>79.36</v>
      </c>
      <c r="S88" s="122">
        <f t="shared" ref="S88" si="103">R88</f>
        <v>79.36</v>
      </c>
      <c r="T88" s="138" t="str">
        <f>IF(UPPER(U$1)="ABCD",_xll.RtContribute($E$3,$E88,$R$3:$S$3,$R88:$S88,"SCOPE:SERVER"),"--")</f>
        <v>Success: Insert Ack on DTSIMI2 for STRIP.IT0001312781 at 10:35:59</v>
      </c>
      <c r="U88" s="142" t="str">
        <f t="shared" si="78"/>
        <v>OK</v>
      </c>
      <c r="V88" s="126" t="str">
        <f t="shared" si="75"/>
        <v>EUR.PRICING.XLS_STRIPS.IT0001312781</v>
      </c>
      <c r="W88" s="126" t="str">
        <f>IF(UPPER($X$1)="ABCD",_xll.MKV_PUBLISHRECORD(V88, "XLS_STRIPS"),"--")</f>
        <v>Not connected</v>
      </c>
      <c r="X88" s="127" t="str">
        <f>IF(UPPER(X$1)="ABCD",_xll.MKV_SUPPLYRECORD(V88, "Bid",F88, "Ask",H88, "Id",A88, "Mid",G88, "Name",D88,"DV01",N88,"MidYield",J88,"BidYield",I88,"AskYield",K88),"--")</f>
        <v>Not connected</v>
      </c>
      <c r="Z88" s="27" t="str">
        <f t="shared" si="90"/>
        <v>IT0001312781@rbsm Corp</v>
      </c>
      <c r="AA88" s="27">
        <f>_xll.BDP(Z88,"bid")</f>
        <v>78.114999999999995</v>
      </c>
      <c r="AB88" s="27">
        <f>_xll.BDP(Z88,"ask")</f>
        <v>78.849999999999994</v>
      </c>
      <c r="AC88" s="27">
        <f t="shared" si="93"/>
        <v>78.482499999999987</v>
      </c>
      <c r="AD88" s="114">
        <f t="shared" si="94"/>
        <v>0.83750000000000568</v>
      </c>
      <c r="AE88" s="27" t="str">
        <f t="shared" si="96"/>
        <v>0</v>
      </c>
      <c r="AF88" s="152">
        <f t="shared" si="97"/>
        <v>0</v>
      </c>
      <c r="AM88" s="27" t="s">
        <v>227</v>
      </c>
      <c r="AN88" s="27">
        <v>0.85499999999999998</v>
      </c>
    </row>
    <row r="89" spans="1:40" x14ac:dyDescent="0.2">
      <c r="A89" s="66" t="s">
        <v>67</v>
      </c>
      <c r="B89" s="83">
        <v>46966</v>
      </c>
      <c r="C89" s="131">
        <f>_xll.BDP(A89&amp;" Corp", "days to mty")</f>
        <v>4450</v>
      </c>
      <c r="D89" s="41" t="s">
        <v>429</v>
      </c>
      <c r="E89" s="41" t="s">
        <v>430</v>
      </c>
      <c r="F89" s="130">
        <v>78.88</v>
      </c>
      <c r="G89" s="130">
        <v>78.930000000000007</v>
      </c>
      <c r="H89" s="130">
        <f t="shared" si="76"/>
        <v>78.98</v>
      </c>
      <c r="I89" s="26">
        <f>ROUND(_xll.qlBondYieldFromCleanPrice(O89,F89,YieldDayCounter,YieldCompounding,YieldFrequency)*100,3)</f>
        <v>1.9670000000000001</v>
      </c>
      <c r="J89" s="26">
        <f>ROUND(_xll.qlBondYieldFromCleanPrice(P89,G89,YieldDayCounter,YieldCompounding,YieldFrequency)*100,3)</f>
        <v>1.962</v>
      </c>
      <c r="K89" s="26">
        <f>ROUND(_xll.qlBondYieldFromCleanPrice(Q89,H89,YieldDayCounter,YieldCompounding,YieldFrequency)*100,3)</f>
        <v>1.956</v>
      </c>
      <c r="L89" s="114">
        <f>_xll.qlBondDurationFromYield(P89,J89,YieldDayCounter,YieldCompounding,YieldFrequency,L$2)</f>
        <v>4.1121971198016416</v>
      </c>
      <c r="M89" s="114">
        <f>_xll.qlBondConvexityFromYield(P89,J89/100,YieldDayCounter,YieldCompounding,YieldFrequency)</f>
        <v>154.42176116142483</v>
      </c>
      <c r="N89" s="115">
        <f>_xll.BDP(A89&amp;" Corp","risk mid")</f>
        <v>9.3180023656451283</v>
      </c>
      <c r="O89" s="101" t="str">
        <f>_xll.qlZeroCouponBond(,,"EUR",3,"target",100,$B89,"f",100,,,Trigger)</f>
        <v>obj_008f9#0000</v>
      </c>
      <c r="P89" s="101" t="str">
        <f>_xll.qlZeroCouponBond(,,"EUR",3,"target",100,$B89,"f",100,,,Trigger)</f>
        <v>obj_00948#0000</v>
      </c>
      <c r="Q89" s="101" t="str">
        <f>_xll.qlZeroCouponBond(,,"EUR",3,"target",100,$B89,"f",100,,,Trigger)</f>
        <v>obj_00968#0000</v>
      </c>
      <c r="R89" s="117">
        <f t="shared" si="86"/>
        <v>78.98</v>
      </c>
      <c r="S89" s="122">
        <f t="shared" ref="S89" si="104">R89</f>
        <v>78.98</v>
      </c>
      <c r="T89" s="138" t="str">
        <f>IF(UPPER(U$1)="ABCD",_xll.RtContribute($E$3,$E89,$R$3:$S$3,$R89:$S89,"SCOPE:SERVER"),"--")</f>
        <v>Success: Insert Ack on DTSIMI2 for STRIP.IT0003268908 at 10:35:59</v>
      </c>
      <c r="U89" s="142" t="str">
        <f t="shared" si="78"/>
        <v>OK</v>
      </c>
      <c r="V89" s="126" t="str">
        <f t="shared" si="75"/>
        <v>EUR.PRICING.XLS_STRIPS.IT0003268908</v>
      </c>
      <c r="W89" s="126" t="str">
        <f>IF(UPPER($X$1)="ABCD",_xll.MKV_PUBLISHRECORD(V89, "XLS_STRIPS"),"--")</f>
        <v>Not connected</v>
      </c>
      <c r="X89" s="127" t="str">
        <f>IF(UPPER(X$1)="ABCD",_xll.MKV_SUPPLYRECORD(V89, "Bid",F89, "Ask",H89, "Id",A89, "Mid",G89, "Name",D89,"DV01",N89,"MidYield",J89,"BidYield",I89,"AskYield",K89),"--")</f>
        <v>Not connected</v>
      </c>
      <c r="Z89" s="27" t="str">
        <f t="shared" si="90"/>
        <v>IT0003268908@rbsm Corp</v>
      </c>
      <c r="AA89" s="27">
        <f>_xll.BDP(Z89,"bid")</f>
        <v>77.177999999999997</v>
      </c>
      <c r="AB89" s="27">
        <f>_xll.BDP(Z89,"ask")</f>
        <v>78.290999999999997</v>
      </c>
      <c r="AC89" s="27">
        <f t="shared" si="93"/>
        <v>77.734499999999997</v>
      </c>
      <c r="AD89" s="114">
        <f t="shared" si="94"/>
        <v>1.1955000000000098</v>
      </c>
      <c r="AE89" s="27" t="str">
        <f t="shared" si="96"/>
        <v>0</v>
      </c>
      <c r="AF89" s="152">
        <f t="shared" si="97"/>
        <v>0</v>
      </c>
      <c r="AM89" s="27" t="s">
        <v>230</v>
      </c>
      <c r="AN89" s="27">
        <v>0.85499999999999998</v>
      </c>
    </row>
    <row r="90" spans="1:40" x14ac:dyDescent="0.2">
      <c r="A90" s="66" t="s">
        <v>197</v>
      </c>
      <c r="B90" s="83">
        <v>46997</v>
      </c>
      <c r="C90" s="131">
        <f>_xll.BDP(A90&amp;" Corp", "days to mty")</f>
        <v>4481</v>
      </c>
      <c r="D90" s="41" t="s">
        <v>198</v>
      </c>
      <c r="E90" s="41" t="s">
        <v>199</v>
      </c>
      <c r="F90" s="130">
        <v>78.69</v>
      </c>
      <c r="G90" s="130">
        <v>78.73</v>
      </c>
      <c r="H90" s="130">
        <f t="shared" si="76"/>
        <v>78.77</v>
      </c>
      <c r="I90" s="26">
        <f>ROUND(_xll.qlBondYieldFromCleanPrice(O90,F90,YieldDayCounter,YieldCompounding,YieldFrequency)*100,3)</f>
        <v>1.9730000000000001</v>
      </c>
      <c r="J90" s="26">
        <f>ROUND(_xll.qlBondYieldFromCleanPrice(P90,G90,YieldDayCounter,YieldCompounding,YieldFrequency)*100,3)</f>
        <v>1.9690000000000001</v>
      </c>
      <c r="K90" s="26">
        <f>ROUND(_xll.qlBondYieldFromCleanPrice(Q90,H90,YieldDayCounter,YieldCompounding,YieldFrequency)*100,3)</f>
        <v>1.9650000000000001</v>
      </c>
      <c r="L90" s="114">
        <f>_xll.qlBondDurationFromYield(P90,J90,YieldDayCounter,YieldCompounding,YieldFrequency,L$2)</f>
        <v>4.1310297481995182</v>
      </c>
      <c r="M90" s="114">
        <f>_xll.qlBondConvexityFromYield(P90,J90/100,YieldDayCounter,YieldCompounding,YieldFrequency)</f>
        <v>156.47333837353875</v>
      </c>
      <c r="N90" s="115">
        <f>_xll.BDP(A90&amp;" Corp","risk mid")</f>
        <v>9.4383520262077525</v>
      </c>
      <c r="O90" s="101" t="str">
        <f>_xll.qlZeroCouponBond(,,"EUR",3,"target",100,$B90,"f",100,,,Trigger)</f>
        <v>obj_00965#0000</v>
      </c>
      <c r="P90" s="101" t="str">
        <f>_xll.qlZeroCouponBond(,,"EUR",3,"target",100,$B90,"f",100,,,Trigger)</f>
        <v>obj_008e7#0000</v>
      </c>
      <c r="Q90" s="101" t="str">
        <f>_xll.qlZeroCouponBond(,,"EUR",3,"target",100,$B90,"f",100,,,Trigger)</f>
        <v>obj_00996#0000</v>
      </c>
      <c r="R90" s="117">
        <f t="shared" si="86"/>
        <v>78.77</v>
      </c>
      <c r="S90" s="122">
        <f t="shared" ref="S90" si="105">R90</f>
        <v>78.77</v>
      </c>
      <c r="T90" s="138" t="str">
        <f>IF(UPPER(U$1)="ABCD",_xll.RtContribute($E$3,$E90,$R$3:$S$3,$R90:$S90,"SCOPE:SERVER"),"--")</f>
        <v>Success: Insert Ack on DTSIMI2 for STRIP.IT0004976525 at 10:35:59</v>
      </c>
      <c r="U90" s="142" t="str">
        <f t="shared" si="78"/>
        <v>OK</v>
      </c>
      <c r="V90" s="126" t="str">
        <f t="shared" si="75"/>
        <v>EUR.PRICING.XLS_STRIPS.IT0004976525</v>
      </c>
      <c r="W90" s="126" t="str">
        <f>IF(UPPER($X$1)="ABCD",_xll.MKV_PUBLISHRECORD(V90, "XLS_STRIPS"),"--")</f>
        <v>Not connected</v>
      </c>
      <c r="X90" s="127" t="str">
        <f>IF(UPPER(X$1)="ABCD",_xll.MKV_SUPPLYRECORD(V90, "Bid",F90, "Ask",H90, "Id",A90, "Mid",G90, "Name",D90,"DV01",N90,"MidYield",J90,"BidYield",I90,"AskYield",K90),"--")</f>
        <v>Not connected</v>
      </c>
      <c r="Z90" s="27" t="str">
        <f t="shared" si="90"/>
        <v>IT0004976525@rbsm Corp</v>
      </c>
      <c r="AA90" s="27">
        <f>_xll.BDP(Z90,"bid")</f>
        <v>78.021000000000001</v>
      </c>
      <c r="AB90" s="27">
        <f>_xll.BDP(Z90,"ask")</f>
        <v>79.921000000000006</v>
      </c>
      <c r="AC90" s="27">
        <f t="shared" si="93"/>
        <v>78.971000000000004</v>
      </c>
      <c r="AD90" s="114">
        <f t="shared" si="94"/>
        <v>-0.24099999999999966</v>
      </c>
      <c r="AE90" s="27">
        <f t="shared" si="96"/>
        <v>0.85499999999999998</v>
      </c>
      <c r="AF90" s="152">
        <f t="shared" si="97"/>
        <v>-2060.549999999997</v>
      </c>
      <c r="AM90" s="27" t="s">
        <v>544</v>
      </c>
      <c r="AN90" s="27">
        <v>-4.5999999999999996</v>
      </c>
    </row>
    <row r="91" spans="1:40" x14ac:dyDescent="0.2">
      <c r="A91" s="66" t="s">
        <v>68</v>
      </c>
      <c r="B91" s="83">
        <v>47058</v>
      </c>
      <c r="C91" s="131">
        <f>_xll.BDP(A91&amp;" Corp", "days to mty")</f>
        <v>4542</v>
      </c>
      <c r="D91" s="41" t="s">
        <v>431</v>
      </c>
      <c r="E91" s="41" t="s">
        <v>432</v>
      </c>
      <c r="F91" s="130">
        <v>78.19</v>
      </c>
      <c r="G91" s="130">
        <v>78.239999999999995</v>
      </c>
      <c r="H91" s="130">
        <f t="shared" si="76"/>
        <v>78.290000000000006</v>
      </c>
      <c r="I91" s="26">
        <f>ROUND(_xll.qlBondYieldFromCleanPrice(O91,F91,YieldDayCounter,YieldCompounding,YieldFrequency)*100,3)</f>
        <v>1.9990000000000001</v>
      </c>
      <c r="J91" s="26">
        <f>ROUND(_xll.qlBondYieldFromCleanPrice(P91,G91,YieldDayCounter,YieldCompounding,YieldFrequency)*100,3)</f>
        <v>1.994</v>
      </c>
      <c r="K91" s="26">
        <f>ROUND(_xll.qlBondYieldFromCleanPrice(Q91,H91,YieldDayCounter,YieldCompounding,YieldFrequency)*100,3)</f>
        <v>1.988</v>
      </c>
      <c r="L91" s="114">
        <f>_xll.qlBondDurationFromYield(P91,J91,YieldDayCounter,YieldCompounding,YieldFrequency,L$2)</f>
        <v>4.1522024011593315</v>
      </c>
      <c r="M91" s="114">
        <f>_xll.qlBondConvexityFromYield(P91,J91/100,YieldDayCounter,YieldCompounding,YieldFrequency)</f>
        <v>160.51360603085854</v>
      </c>
      <c r="N91" s="115">
        <f>_xll.BDP(A91&amp;" Corp","risk mid")</f>
        <v>9.4089943185579727</v>
      </c>
      <c r="O91" s="101" t="str">
        <f>_xll.qlZeroCouponBond(,,"EUR",3,"target",100,$B91,"f",100,,,Trigger)</f>
        <v>obj_008e8#0000</v>
      </c>
      <c r="P91" s="101" t="str">
        <f>_xll.qlZeroCouponBond(,,"EUR",3,"target",100,$B91,"f",100,,,Trigger)</f>
        <v>obj_009c7#0000</v>
      </c>
      <c r="Q91" s="101" t="str">
        <f>_xll.qlZeroCouponBond(,,"EUR",3,"target",100,$B91,"f",100,,,Trigger)</f>
        <v>obj_0091b#0000</v>
      </c>
      <c r="R91" s="117">
        <f t="shared" si="86"/>
        <v>78.290000000000006</v>
      </c>
      <c r="S91" s="122">
        <f t="shared" ref="S91" si="106">R91</f>
        <v>78.290000000000006</v>
      </c>
      <c r="T91" s="138" t="str">
        <f>IF(UPPER(U$1)="ABCD",_xll.RtContribute($E$3,$E91,$R$3:$S$3,$R91:$S91,"SCOPE:SERVER"),"--")</f>
        <v>Success: Insert Ack on DTSIMI2 for STRIP.IT0001312799 at 10:36:14</v>
      </c>
      <c r="U91" s="142" t="str">
        <f t="shared" si="78"/>
        <v>OK</v>
      </c>
      <c r="V91" s="126" t="str">
        <f t="shared" si="75"/>
        <v>EUR.PRICING.XLS_STRIPS.IT0001312799</v>
      </c>
      <c r="W91" s="126" t="str">
        <f>IF(UPPER($X$1)="ABCD",_xll.MKV_PUBLISHRECORD(V91, "XLS_STRIPS"),"--")</f>
        <v>Not connected</v>
      </c>
      <c r="X91" s="127" t="str">
        <f>IF(UPPER(X$1)="ABCD",_xll.MKV_SUPPLYRECORD(V91, "Bid",F91, "Ask",H91, "Id",A91, "Mid",G91, "Name",D91,"DV01",N91,"MidYield",J91,"BidYield",I91,"AskYield",K91),"--")</f>
        <v>Not connected</v>
      </c>
      <c r="Z91" s="27" t="str">
        <f t="shared" si="90"/>
        <v>IT0001312799@rbsm Corp</v>
      </c>
      <c r="AA91" s="27">
        <f>_xll.BDP(Z91,"bid")</f>
        <v>76.977000000000004</v>
      </c>
      <c r="AB91" s="27">
        <f>_xll.BDP(Z91,"ask")</f>
        <v>77.730999999999995</v>
      </c>
      <c r="AC91" s="27">
        <f t="shared" si="93"/>
        <v>77.353999999999999</v>
      </c>
      <c r="AD91" s="114">
        <f t="shared" si="94"/>
        <v>0.88599999999999568</v>
      </c>
      <c r="AE91" s="27" t="str">
        <f t="shared" si="96"/>
        <v>0</v>
      </c>
      <c r="AF91" s="152">
        <f t="shared" si="97"/>
        <v>0</v>
      </c>
      <c r="AM91" s="27" t="s">
        <v>233</v>
      </c>
      <c r="AN91" s="27">
        <v>0.85499999999999998</v>
      </c>
    </row>
    <row r="92" spans="1:40" x14ac:dyDescent="0.2">
      <c r="A92" s="66" t="s">
        <v>69</v>
      </c>
      <c r="B92" s="83">
        <v>47150</v>
      </c>
      <c r="C92" s="131">
        <f>_xll.BDP(A92&amp;" Corp", "days to mty")</f>
        <v>4634</v>
      </c>
      <c r="D92" s="41" t="s">
        <v>433</v>
      </c>
      <c r="E92" s="41" t="s">
        <v>434</v>
      </c>
      <c r="F92" s="130">
        <v>77.3</v>
      </c>
      <c r="G92" s="130">
        <v>77.349999999999994</v>
      </c>
      <c r="H92" s="130">
        <f t="shared" si="76"/>
        <v>77.400000000000006</v>
      </c>
      <c r="I92" s="26">
        <f>ROUND(_xll.qlBondYieldFromCleanPrice(O92,F92,YieldDayCounter,YieldCompounding,YieldFrequency)*100,3)</f>
        <v>2.0510000000000002</v>
      </c>
      <c r="J92" s="26">
        <f>ROUND(_xll.qlBondYieldFromCleanPrice(P92,G92,YieldDayCounter,YieldCompounding,YieldFrequency)*100,3)</f>
        <v>2.0459999999999998</v>
      </c>
      <c r="K92" s="26">
        <f>ROUND(_xll.qlBondYieldFromCleanPrice(Q92,H92,YieldDayCounter,YieldCompounding,YieldFrequency)*100,3)</f>
        <v>2.04</v>
      </c>
      <c r="L92" s="114">
        <f>_xll.qlBondDurationFromYield(P92,J92,YieldDayCounter,YieldCompounding,YieldFrequency,L$2)</f>
        <v>4.1638411389657319</v>
      </c>
      <c r="M92" s="114">
        <f>_xll.qlBondConvexityFromYield(P92,J92/100,YieldDayCounter,YieldCompounding,YieldFrequency)</f>
        <v>166.65383566109878</v>
      </c>
      <c r="N92" s="115">
        <f>_xll.BDP(A92&amp;" Corp","risk mid")</f>
        <v>9.5382556556963038</v>
      </c>
      <c r="O92" s="101" t="str">
        <f>_xll.qlZeroCouponBond(,,"EUR",3,"target",100,$B92,"f",100,,,Trigger)</f>
        <v>obj_0098e#0000</v>
      </c>
      <c r="P92" s="101" t="str">
        <f>_xll.qlZeroCouponBond(,,"EUR",3,"target",100,$B92,"f",100,,,Trigger)</f>
        <v>obj_0096a#0000</v>
      </c>
      <c r="Q92" s="101" t="str">
        <f>_xll.qlZeroCouponBond(,,"EUR",3,"target",100,$B92,"f",100,,,Trigger)</f>
        <v>obj_0090e#0000</v>
      </c>
      <c r="R92" s="117">
        <f t="shared" si="86"/>
        <v>77.400000000000006</v>
      </c>
      <c r="S92" s="122">
        <f t="shared" ref="S92" si="107">R92</f>
        <v>77.400000000000006</v>
      </c>
      <c r="T92" s="138" t="str">
        <f>IF(UPPER(U$1)="ABCD",_xll.RtContribute($E$3,$E92,$R$3:$S$3,$R92:$S92,"SCOPE:SERVER"),"--")</f>
        <v>Success: Insert Ack on DTSIMI2 for STRIP.IT0003268924 at 10:36:50</v>
      </c>
      <c r="U92" s="142" t="str">
        <f t="shared" si="78"/>
        <v>OK</v>
      </c>
      <c r="V92" s="126" t="str">
        <f t="shared" si="75"/>
        <v>EUR.PRICING.XLS_STRIPS.IT0003268924</v>
      </c>
      <c r="W92" s="126" t="str">
        <f>IF(UPPER($X$1)="ABCD",_xll.MKV_PUBLISHRECORD(V92, "XLS_STRIPS"),"--")</f>
        <v>Not connected</v>
      </c>
      <c r="X92" s="127" t="str">
        <f>IF(UPPER(X$1)="ABCD",_xll.MKV_SUPPLYRECORD(V92, "Bid",F92, "Ask",H92, "Id",A92, "Mid",G92, "Name",D92,"DV01",N92,"MidYield",J92,"BidYield",I92,"AskYield",K92),"--")</f>
        <v>Not connected</v>
      </c>
      <c r="Z92" s="27" t="str">
        <f t="shared" si="90"/>
        <v>IT0003268924@rbsm Corp</v>
      </c>
      <c r="AA92" s="27">
        <f>_xll.BDP(Z92,"bid")</f>
        <v>76.040000000000006</v>
      </c>
      <c r="AB92" s="27">
        <f>_xll.BDP(Z92,"ask")</f>
        <v>77.182000000000002</v>
      </c>
      <c r="AC92" s="27">
        <f t="shared" si="93"/>
        <v>76.611000000000004</v>
      </c>
      <c r="AD92" s="114">
        <f t="shared" si="94"/>
        <v>0.73899999999999011</v>
      </c>
      <c r="AE92" s="27" t="str">
        <f t="shared" si="96"/>
        <v>0</v>
      </c>
      <c r="AF92" s="152">
        <f t="shared" si="97"/>
        <v>0</v>
      </c>
      <c r="AM92" s="27" t="s">
        <v>236</v>
      </c>
      <c r="AN92" s="27">
        <v>0.85499999999999998</v>
      </c>
    </row>
    <row r="93" spans="1:40" x14ac:dyDescent="0.2">
      <c r="A93" s="66" t="s">
        <v>200</v>
      </c>
      <c r="B93" s="83">
        <v>47178</v>
      </c>
      <c r="C93" s="131">
        <f>_xll.BDP(A93&amp;" Corp", "days to mty")</f>
        <v>4662</v>
      </c>
      <c r="D93" s="41" t="s">
        <v>201</v>
      </c>
      <c r="E93" s="41" t="s">
        <v>202</v>
      </c>
      <c r="F93" s="130">
        <v>77.02</v>
      </c>
      <c r="G93" s="130">
        <v>77.069999999999993</v>
      </c>
      <c r="H93" s="130">
        <f t="shared" si="76"/>
        <v>77.12</v>
      </c>
      <c r="I93" s="26">
        <f>ROUND(_xll.qlBondYieldFromCleanPrice(O93,F93,YieldDayCounter,YieldCompounding,YieldFrequency)*100,3)</f>
        <v>2.0670000000000002</v>
      </c>
      <c r="J93" s="26">
        <f>ROUND(_xll.qlBondYieldFromCleanPrice(P93,G93,YieldDayCounter,YieldCompounding,YieldFrequency)*100,3)</f>
        <v>2.0619999999999998</v>
      </c>
      <c r="K93" s="26">
        <f>ROUND(_xll.qlBondYieldFromCleanPrice(Q93,H93,YieldDayCounter,YieldCompounding,YieldFrequency)*100,3)</f>
        <v>2.0569999999999999</v>
      </c>
      <c r="L93" s="114">
        <f>_xll.qlBondDurationFromYield(P93,J93,YieldDayCounter,YieldCompounding,YieldFrequency,L$2)</f>
        <v>4.1677478235194121</v>
      </c>
      <c r="M93" s="114">
        <f>_xll.qlBondConvexityFromYield(P93,J93/100,YieldDayCounter,YieldCompounding,YieldFrequency)</f>
        <v>168.5965892427339</v>
      </c>
      <c r="N93" s="115">
        <f>_xll.BDP(A93&amp;" Corp","risk mid")</f>
        <v>9.4569134891528961</v>
      </c>
      <c r="O93" s="101" t="str">
        <f>_xll.qlZeroCouponBond(,,"EUR",3,"target",100,$B93,"f",100,,,Trigger)</f>
        <v>obj_0086c#0000</v>
      </c>
      <c r="P93" s="101" t="str">
        <f>_xll.qlZeroCouponBond(,,"EUR",3,"target",100,$B93,"f",100,,,Trigger)</f>
        <v>obj_00896#0000</v>
      </c>
      <c r="Q93" s="101" t="str">
        <f>_xll.qlZeroCouponBond(,,"EUR",3,"target",100,$B93,"f",100,,,Trigger)</f>
        <v>obj_00943#0000</v>
      </c>
      <c r="R93" s="117">
        <f t="shared" si="86"/>
        <v>77.12</v>
      </c>
      <c r="S93" s="122">
        <f t="shared" ref="S93" si="108">R93</f>
        <v>77.12</v>
      </c>
      <c r="T93" s="138" t="str">
        <f>IF(UPPER(U$1)="ABCD",_xll.RtContribute($E$3,$E93,$R$3:$S$3,$R93:$S93,"SCOPE:SERVER"),"--")</f>
        <v>Success: Insert Ack on DTSIMI2 for STRIP.IT0004976533 at 10:36:50</v>
      </c>
      <c r="U93" s="142" t="str">
        <f t="shared" si="78"/>
        <v>OK</v>
      </c>
      <c r="V93" s="126" t="str">
        <f t="shared" si="75"/>
        <v>EUR.PRICING.XLS_STRIPS.IT0004976533</v>
      </c>
      <c r="W93" s="126" t="str">
        <f>IF(UPPER($X$1)="ABCD",_xll.MKV_PUBLISHRECORD(V93, "XLS_STRIPS"),"--")</f>
        <v>Not connected</v>
      </c>
      <c r="X93" s="127" t="str">
        <f>IF(UPPER(X$1)="ABCD",_xll.MKV_SUPPLYRECORD(V93, "Bid",F93, "Ask",H93, "Id",A93, "Mid",G93, "Name",D93,"DV01",N93,"MidYield",J93,"BidYield",I93,"AskYield",K93),"--")</f>
        <v>Not connected</v>
      </c>
      <c r="Z93" s="27" t="str">
        <f t="shared" si="90"/>
        <v>IT0004976533@rbsm Corp</v>
      </c>
      <c r="AA93" s="27">
        <f>_xll.BDP(Z93,"bid")</f>
        <v>74.991</v>
      </c>
      <c r="AB93" s="27">
        <f>_xll.BDP(Z93,"ask")</f>
        <v>76.888000000000005</v>
      </c>
      <c r="AC93" s="27">
        <f t="shared" si="93"/>
        <v>75.93950000000001</v>
      </c>
      <c r="AD93" s="114">
        <f t="shared" si="94"/>
        <v>1.1304999999999836</v>
      </c>
      <c r="AE93" s="27">
        <f t="shared" si="96"/>
        <v>0.85499999999999998</v>
      </c>
      <c r="AF93" s="152">
        <f t="shared" si="97"/>
        <v>9665.7749999998596</v>
      </c>
      <c r="AM93" s="27" t="s">
        <v>239</v>
      </c>
      <c r="AN93" s="27">
        <v>0.85499999999999998</v>
      </c>
    </row>
    <row r="94" spans="1:40" x14ac:dyDescent="0.2">
      <c r="A94" s="66" t="s">
        <v>70</v>
      </c>
      <c r="B94" s="83">
        <v>47239</v>
      </c>
      <c r="C94" s="131">
        <f>_xll.BDP(A94&amp;" Corp", "days to mty")</f>
        <v>4723</v>
      </c>
      <c r="D94" s="41" t="s">
        <v>435</v>
      </c>
      <c r="E94" s="41" t="s">
        <v>436</v>
      </c>
      <c r="F94" s="130">
        <v>76.44</v>
      </c>
      <c r="G94" s="130">
        <v>76.489999999999995</v>
      </c>
      <c r="H94" s="130">
        <f t="shared" si="76"/>
        <v>76.540000000000006</v>
      </c>
      <c r="I94" s="26">
        <f>ROUND(_xll.qlBondYieldFromCleanPrice(O94,F94,YieldDayCounter,YieldCompounding,YieldFrequency)*100,3)</f>
        <v>2.0990000000000002</v>
      </c>
      <c r="J94" s="26">
        <f>ROUND(_xll.qlBondYieldFromCleanPrice(P94,G94,YieldDayCounter,YieldCompounding,YieldFrequency)*100,3)</f>
        <v>2.0939999999999999</v>
      </c>
      <c r="K94" s="26">
        <f>ROUND(_xll.qlBondYieldFromCleanPrice(Q94,H94,YieldDayCounter,YieldCompounding,YieldFrequency)*100,3)</f>
        <v>2.089</v>
      </c>
      <c r="L94" s="114">
        <f>_xll.qlBondDurationFromYield(P94,J94,YieldDayCounter,YieldCompounding,YieldFrequency,L$2)</f>
        <v>4.1795432609292407</v>
      </c>
      <c r="M94" s="114">
        <f>_xll.qlBondConvexityFromYield(P94,J94/100,YieldDayCounter,YieldCompounding,YieldFrequency)</f>
        <v>172.84100692618438</v>
      </c>
      <c r="N94" s="115">
        <f>_xll.BDP(A94&amp;" Corp","risk mid")</f>
        <v>9.6309525584644007</v>
      </c>
      <c r="O94" s="101" t="str">
        <f>_xll.qlZeroCouponBond(,,"EUR",3,"target",100,$B94,"f",100,,,Trigger)</f>
        <v>obj_009c8#0000</v>
      </c>
      <c r="P94" s="101" t="str">
        <f>_xll.qlZeroCouponBond(,,"EUR",3,"target",100,$B94,"f",100,,,Trigger)</f>
        <v>obj_008a9#0000</v>
      </c>
      <c r="Q94" s="101" t="str">
        <f>_xll.qlZeroCouponBond(,,"EUR",3,"target",100,$B94,"f",100,,,Trigger)</f>
        <v>obj_009b8#0000</v>
      </c>
      <c r="R94" s="117">
        <f t="shared" si="86"/>
        <v>76.540000000000006</v>
      </c>
      <c r="S94" s="122">
        <f t="shared" ref="S94" si="109">R94</f>
        <v>76.540000000000006</v>
      </c>
      <c r="T94" s="138" t="str">
        <f>IF(UPPER(U$1)="ABCD",_xll.RtContribute($E$3,$E94,$R$3:$S$3,$R94:$S94,"SCOPE:SERVER"),"--")</f>
        <v>Success: Insert Ack on DTSIMI2 for STRIP.IT0001312807 at 10:36:17</v>
      </c>
      <c r="U94" s="142" t="str">
        <f t="shared" si="78"/>
        <v>OK</v>
      </c>
      <c r="V94" s="126" t="str">
        <f t="shared" si="75"/>
        <v>EUR.PRICING.XLS_STRIPS.IT0001312807</v>
      </c>
      <c r="W94" s="126" t="str">
        <f>IF(UPPER($X$1)="ABCD",_xll.MKV_PUBLISHRECORD(V94, "XLS_STRIPS"),"--")</f>
        <v>Not connected</v>
      </c>
      <c r="X94" s="127" t="str">
        <f>IF(UPPER(X$1)="ABCD",_xll.MKV_SUPPLYRECORD(V94, "Bid",F94, "Ask",H94, "Id",A94, "Mid",G94, "Name",D94,"DV01",N94,"MidYield",J94,"BidYield",I94,"AskYield",K94),"--")</f>
        <v>Not connected</v>
      </c>
      <c r="Z94" s="27" t="str">
        <f t="shared" si="90"/>
        <v>IT0001312807@rbsm Corp</v>
      </c>
      <c r="AA94" s="27">
        <f>_xll.BDP(Z94,"bid")</f>
        <v>75.495000000000005</v>
      </c>
      <c r="AB94" s="27">
        <f>_xll.BDP(Z94,"ask")</f>
        <v>76.36</v>
      </c>
      <c r="AC94" s="27">
        <f t="shared" si="93"/>
        <v>75.927500000000009</v>
      </c>
      <c r="AD94" s="114">
        <f t="shared" si="94"/>
        <v>0.56249999999998579</v>
      </c>
      <c r="AE94" s="27" t="str">
        <f t="shared" si="96"/>
        <v>0</v>
      </c>
      <c r="AF94" s="152">
        <f t="shared" si="97"/>
        <v>0</v>
      </c>
      <c r="AM94" s="27" t="s">
        <v>242</v>
      </c>
      <c r="AN94" s="27">
        <v>0.85499999999999998</v>
      </c>
    </row>
    <row r="95" spans="1:40" x14ac:dyDescent="0.2">
      <c r="A95" s="66" t="s">
        <v>71</v>
      </c>
      <c r="B95" s="83">
        <v>47331</v>
      </c>
      <c r="C95" s="131">
        <f>_xll.BDP(A95&amp;" Corp", "days to mty")</f>
        <v>4815</v>
      </c>
      <c r="D95" s="41" t="s">
        <v>437</v>
      </c>
      <c r="E95" s="41" t="s">
        <v>438</v>
      </c>
      <c r="F95" s="130">
        <v>75.77</v>
      </c>
      <c r="G95" s="130">
        <v>75.81</v>
      </c>
      <c r="H95" s="130">
        <f t="shared" si="76"/>
        <v>75.849999999999994</v>
      </c>
      <c r="I95" s="26">
        <f>ROUND(_xll.qlBondYieldFromCleanPrice(O95,F95,YieldDayCounter,YieldCompounding,YieldFrequency)*100,3)</f>
        <v>2.1269999999999998</v>
      </c>
      <c r="J95" s="26">
        <f>ROUND(_xll.qlBondYieldFromCleanPrice(P95,G95,YieldDayCounter,YieldCompounding,YieldFrequency)*100,3)</f>
        <v>2.1230000000000002</v>
      </c>
      <c r="K95" s="26">
        <f>ROUND(_xll.qlBondYieldFromCleanPrice(Q95,H95,YieldDayCounter,YieldCompounding,YieldFrequency)*100,3)</f>
        <v>2.1190000000000002</v>
      </c>
      <c r="L95" s="114">
        <f>_xll.qlBondDurationFromYield(P95,J95,YieldDayCounter,YieldCompounding,YieldFrequency,L$2)</f>
        <v>4.2204059778586167</v>
      </c>
      <c r="M95" s="114">
        <f>_xll.qlBondConvexityFromYield(P95,J95/100,YieldDayCounter,YieldCompounding,YieldFrequency)</f>
        <v>179.21128653438461</v>
      </c>
      <c r="N95" s="115">
        <f>_xll.BDP(A95&amp;" Corp","risk mid")</f>
        <v>9.7794463805954024</v>
      </c>
      <c r="O95" s="101" t="str">
        <f>_xll.qlZeroCouponBond(,,"EUR",3,"target",100,$B95,"f",100,,,Trigger)</f>
        <v>obj_00952#0000</v>
      </c>
      <c r="P95" s="101" t="str">
        <f>_xll.qlZeroCouponBond(,,"EUR",3,"target",100,$B95,"f",100,,,Trigger)</f>
        <v>obj_0092a#0000</v>
      </c>
      <c r="Q95" s="101" t="str">
        <f>_xll.qlZeroCouponBond(,,"EUR",3,"target",100,$B95,"f",100,,,Trigger)</f>
        <v>obj_00945#0000</v>
      </c>
      <c r="R95" s="117">
        <f t="shared" si="86"/>
        <v>75.849999999999994</v>
      </c>
      <c r="S95" s="122">
        <f t="shared" ref="S95" si="110">R95</f>
        <v>75.849999999999994</v>
      </c>
      <c r="T95" s="138" t="str">
        <f>IF(UPPER(U$1)="ABCD",_xll.RtContribute($E$3,$E95,$R$3:$S$3,$R95:$S95,"SCOPE:SERVER"),"--")</f>
        <v>Success: Insert Ack on DTSIMI2 for STRIP.IT0003268932 at 10:36:50</v>
      </c>
      <c r="U95" s="142" t="str">
        <f t="shared" si="78"/>
        <v>OK</v>
      </c>
      <c r="V95" s="126" t="str">
        <f t="shared" si="75"/>
        <v>EUR.PRICING.XLS_STRIPS.IT0003268932</v>
      </c>
      <c r="W95" s="126" t="str">
        <f>IF(UPPER($X$1)="ABCD",_xll.MKV_PUBLISHRECORD(V95, "XLS_STRIPS"),"--")</f>
        <v>Not connected</v>
      </c>
      <c r="X95" s="127" t="str">
        <f>IF(UPPER(X$1)="ABCD",_xll.MKV_SUPPLYRECORD(V95, "Bid",F95, "Ask",H95, "Id",A95, "Mid",G95, "Name",D95,"DV01",N95,"MidYield",J95,"BidYield",I95,"AskYield",K95),"--")</f>
        <v>Not connected</v>
      </c>
      <c r="Z95" s="27" t="str">
        <f t="shared" si="90"/>
        <v>IT0003268932@rbsm Corp</v>
      </c>
      <c r="AA95" s="27">
        <f>_xll.BDP(Z95,"bid")</f>
        <v>75.039000000000001</v>
      </c>
      <c r="AB95" s="27">
        <f>_xll.BDP(Z95,"ask")</f>
        <v>76.209999999999994</v>
      </c>
      <c r="AC95" s="27">
        <f t="shared" si="93"/>
        <v>75.624499999999998</v>
      </c>
      <c r="AD95" s="114">
        <f t="shared" si="94"/>
        <v>0.18550000000000466</v>
      </c>
      <c r="AE95" s="27" t="str">
        <f t="shared" si="96"/>
        <v>0</v>
      </c>
      <c r="AF95" s="152">
        <f t="shared" si="97"/>
        <v>0</v>
      </c>
      <c r="AM95" s="27" t="s">
        <v>245</v>
      </c>
      <c r="AN95" s="27">
        <v>0.85499999999999998</v>
      </c>
    </row>
    <row r="96" spans="1:40" x14ac:dyDescent="0.2">
      <c r="A96" s="66" t="s">
        <v>203</v>
      </c>
      <c r="B96" s="83">
        <v>47362</v>
      </c>
      <c r="C96" s="131">
        <f>_xll.BDP(A96&amp;" Corp", "days to mty")</f>
        <v>4846</v>
      </c>
      <c r="D96" s="41" t="s">
        <v>204</v>
      </c>
      <c r="E96" s="41" t="s">
        <v>205</v>
      </c>
      <c r="F96" s="130">
        <v>75.62</v>
      </c>
      <c r="G96" s="130">
        <v>75.66</v>
      </c>
      <c r="H96" s="130">
        <f t="shared" si="76"/>
        <v>75.7</v>
      </c>
      <c r="I96" s="26">
        <f>ROUND(_xll.qlBondYieldFromCleanPrice(O96,F96,YieldDayCounter,YieldCompounding,YieldFrequency)*100,3)</f>
        <v>2.1280000000000001</v>
      </c>
      <c r="J96" s="26">
        <f>ROUND(_xll.qlBondYieldFromCleanPrice(P96,G96,YieldDayCounter,YieldCompounding,YieldFrequency)*100,3)</f>
        <v>2.1240000000000001</v>
      </c>
      <c r="K96" s="26">
        <f>ROUND(_xll.qlBondYieldFromCleanPrice(Q96,H96,YieldDayCounter,YieldCompounding,YieldFrequency)*100,3)</f>
        <v>2.12</v>
      </c>
      <c r="L96" s="114">
        <f>_xll.qlBondDurationFromYield(P96,J96,YieldDayCounter,YieldCompounding,YieldFrequency,L$2)</f>
        <v>4.247916710396507</v>
      </c>
      <c r="M96" s="114">
        <f>_xll.qlBondConvexityFromYield(P96,J96/100,YieldDayCounter,YieldCompounding,YieldFrequency)</f>
        <v>181.58096702334527</v>
      </c>
      <c r="N96" s="115">
        <f>_xll.BDP(A96&amp;" Corp","risk mid")</f>
        <v>9.7118782398659675</v>
      </c>
      <c r="O96" s="101" t="str">
        <f>_xll.qlZeroCouponBond(,,"EUR",3,"target",100,$B96,"f",100,,,Trigger)</f>
        <v>obj_00873#0000</v>
      </c>
      <c r="P96" s="101" t="str">
        <f>_xll.qlZeroCouponBond(,,"EUR",3,"target",100,$B96,"f",100,,,Trigger)</f>
        <v>obj_009e4#0000</v>
      </c>
      <c r="Q96" s="101" t="str">
        <f>_xll.qlZeroCouponBond(,,"EUR",3,"target",100,$B96,"f",100,,,Trigger)</f>
        <v>obj_009ac#0000</v>
      </c>
      <c r="R96" s="117">
        <f t="shared" si="86"/>
        <v>75.7</v>
      </c>
      <c r="S96" s="122">
        <f t="shared" ref="S96" si="111">R96</f>
        <v>75.7</v>
      </c>
      <c r="T96" s="138" t="str">
        <f>IF(UPPER(U$1)="ABCD",_xll.RtContribute($E$3,$E96,$R$3:$S$3,$R96:$S96,"SCOPE:SERVER"),"--")</f>
        <v>Success: Insert Ack on DTSIMI2 for STRIP.IT0004976541 at 10:36:50</v>
      </c>
      <c r="U96" s="142" t="str">
        <f t="shared" si="78"/>
        <v>OK</v>
      </c>
      <c r="V96" s="126" t="str">
        <f t="shared" si="75"/>
        <v>EUR.PRICING.XLS_STRIPS.IT0004976541</v>
      </c>
      <c r="W96" s="126" t="str">
        <f>IF(UPPER($X$1)="ABCD",_xll.MKV_PUBLISHRECORD(V96, "XLS_STRIPS"),"--")</f>
        <v>Not connected</v>
      </c>
      <c r="X96" s="127" t="str">
        <f>IF(UPPER(X$1)="ABCD",_xll.MKV_SUPPLYRECORD(V96, "Bid",F96, "Ask",H96, "Id",A96, "Mid",G96, "Name",D96,"DV01",N96,"MidYield",J96,"BidYield",I96,"AskYield",K96),"--")</f>
        <v>Not connected</v>
      </c>
      <c r="Z96" s="27" t="str">
        <f t="shared" si="90"/>
        <v>IT0004976541@rbsm Corp</v>
      </c>
      <c r="AA96" s="27">
        <f>_xll.BDP(Z96,"bid")</f>
        <v>73.930000000000007</v>
      </c>
      <c r="AB96" s="27">
        <f>_xll.BDP(Z96,"ask")</f>
        <v>75.875</v>
      </c>
      <c r="AC96" s="27">
        <f t="shared" si="93"/>
        <v>74.902500000000003</v>
      </c>
      <c r="AD96" s="114">
        <f t="shared" si="94"/>
        <v>0.75749999999999318</v>
      </c>
      <c r="AE96" s="27">
        <f t="shared" si="96"/>
        <v>0.85499999999999998</v>
      </c>
      <c r="AF96" s="152">
        <f t="shared" si="97"/>
        <v>6476.6249999999418</v>
      </c>
      <c r="AM96" s="27" t="s">
        <v>545</v>
      </c>
      <c r="AN96" s="27">
        <v>-3.6</v>
      </c>
    </row>
    <row r="97" spans="1:40" x14ac:dyDescent="0.2">
      <c r="A97" s="66" t="s">
        <v>439</v>
      </c>
      <c r="B97" s="83">
        <v>47423</v>
      </c>
      <c r="C97" s="131">
        <f>_xll.BDP(A97&amp;" Corp", "days to mty")</f>
        <v>4907</v>
      </c>
      <c r="D97" s="41" t="s">
        <v>440</v>
      </c>
      <c r="E97" s="41" t="s">
        <v>441</v>
      </c>
      <c r="F97" s="130">
        <v>75.489999999999995</v>
      </c>
      <c r="G97" s="130">
        <v>75.540000000000006</v>
      </c>
      <c r="H97" s="130">
        <f t="shared" si="76"/>
        <v>75.59</v>
      </c>
      <c r="I97" s="26">
        <f>ROUND(_xll.qlBondYieldFromCleanPrice(O97,F97,YieldDayCounter,YieldCompounding,YieldFrequency)*100,3)</f>
        <v>2.1150000000000002</v>
      </c>
      <c r="J97" s="26">
        <f>ROUND(_xll.qlBondYieldFromCleanPrice(P97,G97,YieldDayCounter,YieldCompounding,YieldFrequency)*100,3)</f>
        <v>2.11</v>
      </c>
      <c r="K97" s="26">
        <f>ROUND(_xll.qlBondYieldFromCleanPrice(Q97,H97,YieldDayCounter,YieldCompounding,YieldFrequency)*100,3)</f>
        <v>2.105</v>
      </c>
      <c r="L97" s="114">
        <f>_xll.qlBondDurationFromYield(P97,J97,YieldDayCounter,YieldCompounding,YieldFrequency,L$2)</f>
        <v>4.3188726652961549</v>
      </c>
      <c r="M97" s="114">
        <f>_xll.qlBondConvexityFromYield(P97,J97/100,YieldDayCounter,YieldCompounding,YieldFrequency)</f>
        <v>185.91376581984022</v>
      </c>
      <c r="N97" s="115">
        <f>_xll.BDP(A97&amp;" Corp","risk mid")</f>
        <v>9.9668539870251038</v>
      </c>
      <c r="O97" s="101" t="str">
        <f>_xll.qlZeroCouponBond(,,"EUR",3,"target",100,$B97,"f",100,,,Trigger)</f>
        <v>obj_00980#0000</v>
      </c>
      <c r="P97" s="101" t="str">
        <f>_xll.qlZeroCouponBond(,,"EUR",3,"target",100,$B97,"f",100,,,Trigger)</f>
        <v>obj_0084e#0000</v>
      </c>
      <c r="Q97" s="101" t="str">
        <f>_xll.qlZeroCouponBond(,,"EUR",3,"target",100,$B97,"f",100,,,Trigger)</f>
        <v>obj_009c5#0000</v>
      </c>
      <c r="R97" s="117">
        <f t="shared" si="86"/>
        <v>75.59</v>
      </c>
      <c r="S97" s="122">
        <f t="shared" ref="S97" si="112">R97</f>
        <v>75.59</v>
      </c>
      <c r="T97" s="138" t="str">
        <f>IF(UPPER(U$1)="ABCD",_xll.RtContribute($E$3,$E97,$R$3:$S$3,$R97:$S97,"SCOPE:SERVER"),"--")</f>
        <v>Success: Insert Ack on DTSIMI2 for STRIP.IT0004848484 at 10:36:19</v>
      </c>
      <c r="U97" s="142" t="str">
        <f t="shared" si="78"/>
        <v>OK</v>
      </c>
      <c r="V97" s="126" t="str">
        <f t="shared" si="75"/>
        <v>EUR.PRICING.XLS_STRIPS.IT0004848484</v>
      </c>
      <c r="W97" s="126" t="str">
        <f>IF(UPPER($X$1)="ABCD",_xll.MKV_PUBLISHRECORD(V97, "XLS_STRIPS"),"--")</f>
        <v>Not connected</v>
      </c>
      <c r="X97" s="127" t="str">
        <f>IF(UPPER(X$1)="ABCD",_xll.MKV_SUPPLYRECORD(V97, "Bid",F97, "Ask",H97, "Id",A97, "Mid",G97, "Name",D97,"DV01",N97,"MidYield",J97,"BidYield",I97,"AskYield",K97),"--")</f>
        <v>Not connected</v>
      </c>
      <c r="Z97" s="27" t="str">
        <f t="shared" si="90"/>
        <v>IT0004848484@rbsm Corp</v>
      </c>
      <c r="AA97" s="27">
        <f>_xll.BDP(Z97,"bid")</f>
        <v>75.671999999999997</v>
      </c>
      <c r="AB97" s="27">
        <f>_xll.BDP(Z97,"ask")</f>
        <v>75.872</v>
      </c>
      <c r="AC97" s="27">
        <f t="shared" si="93"/>
        <v>75.771999999999991</v>
      </c>
      <c r="AD97" s="114">
        <f t="shared" si="94"/>
        <v>-0.23199999999998511</v>
      </c>
      <c r="AE97" s="27" t="str">
        <f t="shared" si="96"/>
        <v>0</v>
      </c>
      <c r="AF97" s="152">
        <f t="shared" si="97"/>
        <v>0</v>
      </c>
      <c r="AM97" s="27" t="s">
        <v>248</v>
      </c>
      <c r="AN97" s="27">
        <v>0.85499999999999998</v>
      </c>
    </row>
    <row r="98" spans="1:40" x14ac:dyDescent="0.2">
      <c r="A98" s="66" t="s">
        <v>72</v>
      </c>
      <c r="B98" s="83">
        <v>47515</v>
      </c>
      <c r="C98" s="131">
        <f>_xll.BDP(A98&amp;" Corp", "days to mty")</f>
        <v>4999</v>
      </c>
      <c r="D98" s="41" t="s">
        <v>442</v>
      </c>
      <c r="E98" s="41" t="s">
        <v>443</v>
      </c>
      <c r="F98" s="130">
        <v>75.709999999999994</v>
      </c>
      <c r="G98" s="130">
        <v>75.75</v>
      </c>
      <c r="H98" s="130">
        <f t="shared" si="76"/>
        <v>75.790000000000006</v>
      </c>
      <c r="I98" s="26">
        <f>ROUND(_xll.qlBondYieldFromCleanPrice(O98,F98,YieldDayCounter,YieldCompounding,YieldFrequency)*100,3)</f>
        <v>2.0539999999999998</v>
      </c>
      <c r="J98" s="26">
        <f>ROUND(_xll.qlBondYieldFromCleanPrice(P98,G98,YieldDayCounter,YieldCompounding,YieldFrequency)*100,3)</f>
        <v>2.0499999999999998</v>
      </c>
      <c r="K98" s="26">
        <f>ROUND(_xll.qlBondYieldFromCleanPrice(Q98,H98,YieldDayCounter,YieldCompounding,YieldFrequency)*100,3)</f>
        <v>2.0470000000000002</v>
      </c>
      <c r="L98" s="114">
        <f>_xll.qlBondDurationFromYield(P98,J98,YieldDayCounter,YieldCompounding,YieldFrequency,L$2)</f>
        <v>4.4862492161605303</v>
      </c>
      <c r="M98" s="114">
        <f>_xll.qlBondConvexityFromYield(P98,J98/100,YieldDayCounter,YieldCompounding,YieldFrequency)</f>
        <v>192.91846309280277</v>
      </c>
      <c r="N98" s="115">
        <f>_xll.BDP(A98&amp;" Corp","risk mid")</f>
        <v>9.9836327006656234</v>
      </c>
      <c r="O98" s="101" t="str">
        <f>_xll.qlZeroCouponBond(,,"EUR",3,"target",100,$B98,"f",100,,,Trigger)</f>
        <v>obj_00858#0000</v>
      </c>
      <c r="P98" s="101" t="str">
        <f>_xll.qlZeroCouponBond(,,"EUR",3,"target",100,$B98,"f",100,,,Trigger)</f>
        <v>obj_00851#0000</v>
      </c>
      <c r="Q98" s="101" t="str">
        <f>_xll.qlZeroCouponBond(,,"EUR",3,"target",100,$B98,"f",100,,,Trigger)</f>
        <v>obj_008d4#0000</v>
      </c>
      <c r="R98" s="117">
        <f t="shared" si="86"/>
        <v>75.790000000000006</v>
      </c>
      <c r="S98" s="122">
        <f t="shared" ref="S98" si="113">R98</f>
        <v>75.790000000000006</v>
      </c>
      <c r="T98" s="138" t="str">
        <f>IF(UPPER(U$1)="ABCD",_xll.RtContribute($E$3,$E98,$R$3:$S$3,$R98:$S98,"SCOPE:SERVER"),"--")</f>
        <v>Success: Insert Ack on DTSIMI2 for STRIP.IT0003268957 at 10:36:50</v>
      </c>
      <c r="U98" s="142" t="str">
        <f t="shared" si="78"/>
        <v>OK</v>
      </c>
      <c r="V98" s="126" t="str">
        <f t="shared" si="75"/>
        <v>EUR.PRICING.XLS_STRIPS.IT0003268957</v>
      </c>
      <c r="W98" s="126" t="str">
        <f>IF(UPPER($X$1)="ABCD",_xll.MKV_PUBLISHRECORD(V98, "XLS_STRIPS"),"--")</f>
        <v>Not connected</v>
      </c>
      <c r="X98" s="127" t="str">
        <f>IF(UPPER(X$1)="ABCD",_xll.MKV_SUPPLYRECORD(V98, "Bid",F98, "Ask",H98, "Id",A98, "Mid",G98, "Name",D98,"DV01",N98,"MidYield",J98,"BidYield",I98,"AskYield",K98),"--")</f>
        <v>Not connected</v>
      </c>
      <c r="Z98" s="27" t="str">
        <f t="shared" si="90"/>
        <v>IT0003268957@rbsm Corp</v>
      </c>
      <c r="AA98" s="27">
        <f>_xll.BDP(Z98,"bid")</f>
        <v>73.790000000000006</v>
      </c>
      <c r="AB98" s="27">
        <f>_xll.BDP(Z98,"ask")</f>
        <v>74.986000000000004</v>
      </c>
      <c r="AC98" s="27">
        <f t="shared" si="93"/>
        <v>74.388000000000005</v>
      </c>
      <c r="AD98" s="114">
        <f t="shared" si="94"/>
        <v>1.3619999999999948</v>
      </c>
      <c r="AE98" s="27" t="str">
        <f t="shared" si="96"/>
        <v>0</v>
      </c>
      <c r="AF98" s="152">
        <f t="shared" si="97"/>
        <v>0</v>
      </c>
      <c r="AM98" s="27" t="s">
        <v>251</v>
      </c>
      <c r="AN98" s="27">
        <v>0.85499999999999998</v>
      </c>
    </row>
    <row r="99" spans="1:40" x14ac:dyDescent="0.2">
      <c r="A99" s="66" t="s">
        <v>206</v>
      </c>
      <c r="B99" s="83">
        <v>47543</v>
      </c>
      <c r="C99" s="131">
        <f>_xll.BDP(A99&amp;" Corp", "days to mty")</f>
        <v>5027</v>
      </c>
      <c r="D99" s="41" t="s">
        <v>207</v>
      </c>
      <c r="E99" s="41" t="s">
        <v>208</v>
      </c>
      <c r="F99" s="130">
        <v>75.709999999999994</v>
      </c>
      <c r="G99" s="130">
        <v>75.760000000000005</v>
      </c>
      <c r="H99" s="130">
        <f t="shared" si="76"/>
        <v>75.81</v>
      </c>
      <c r="I99" s="26">
        <f>ROUND(_xll.qlBondYieldFromCleanPrice(O99,F99,YieldDayCounter,YieldCompounding,YieldFrequency)*100,3)</f>
        <v>2.0430000000000001</v>
      </c>
      <c r="J99" s="26">
        <f>ROUND(_xll.qlBondYieldFromCleanPrice(P99,G99,YieldDayCounter,YieldCompounding,YieldFrequency)*100,3)</f>
        <v>2.0379999999999998</v>
      </c>
      <c r="K99" s="26">
        <f>ROUND(_xll.qlBondYieldFromCleanPrice(Q99,H99,YieldDayCounter,YieldCompounding,YieldFrequency)*100,3)</f>
        <v>2.0329999999999999</v>
      </c>
      <c r="L99" s="114">
        <f>_xll.qlBondDurationFromYield(P99,J99,YieldDayCounter,YieldCompounding,YieldFrequency,L$2)</f>
        <v>4.5298366805847401</v>
      </c>
      <c r="M99" s="114">
        <f>_xll.qlBondConvexityFromYield(P99,J99/100,YieldDayCounter,YieldCompounding,YieldFrequency)</f>
        <v>195.11073325602308</v>
      </c>
      <c r="N99" s="115">
        <f>_xll.BDP(A99&amp;" Corp","risk mid")</f>
        <v>10.170149201774592</v>
      </c>
      <c r="O99" s="101" t="str">
        <f>_xll.qlZeroCouponBond(,,"EUR",3,"target",100,$B99,"f",100,,,Trigger)</f>
        <v>obj_008e1#0000</v>
      </c>
      <c r="P99" s="101" t="str">
        <f>_xll.qlZeroCouponBond(,,"EUR",3,"target",100,$B99,"f",100,,,Trigger)</f>
        <v>obj_00920#0000</v>
      </c>
      <c r="Q99" s="101" t="str">
        <f>_xll.qlZeroCouponBond(,,"EUR",3,"target",100,$B99,"f",100,,,Trigger)</f>
        <v>obj_00917#0000</v>
      </c>
      <c r="R99" s="117">
        <f t="shared" si="86"/>
        <v>75.81</v>
      </c>
      <c r="S99" s="122">
        <f t="shared" ref="S99" si="114">R99</f>
        <v>75.81</v>
      </c>
      <c r="T99" s="138" t="str">
        <f>IF(UPPER(U$1)="ABCD",_xll.RtContribute($E$3,$E99,$R$3:$S$3,$R99:$S99,"SCOPE:SERVER"),"--")</f>
        <v>Success: Insert Ack on DTSIMI2 for STRIP.IT0004976558 at 10:36:50</v>
      </c>
      <c r="U99" s="142" t="str">
        <f t="shared" si="78"/>
        <v>OK</v>
      </c>
      <c r="V99" s="126" t="str">
        <f t="shared" si="75"/>
        <v>EUR.PRICING.XLS_STRIPS.IT0004976558</v>
      </c>
      <c r="W99" s="126" t="str">
        <f>IF(UPPER($X$1)="ABCD",_xll.MKV_PUBLISHRECORD(V99, "XLS_STRIPS"),"--")</f>
        <v>Not connected</v>
      </c>
      <c r="X99" s="127" t="str">
        <f>IF(UPPER(X$1)="ABCD",_xll.MKV_SUPPLYRECORD(V99, "Bid",F99, "Ask",H99, "Id",A99, "Mid",G99, "Name",D99,"DV01",N99,"MidYield",J99,"BidYield",I99,"AskYield",K99),"--")</f>
        <v>Not connected</v>
      </c>
      <c r="Z99" s="27" t="str">
        <f t="shared" si="90"/>
        <v>IT0004976558@rbsm Corp</v>
      </c>
      <c r="AA99" s="27">
        <f>_xll.BDP(Z99,"bid")</f>
        <v>74.917000000000002</v>
      </c>
      <c r="AB99" s="27">
        <f>_xll.BDP(Z99,"ask")</f>
        <v>76.965999999999994</v>
      </c>
      <c r="AC99" s="27">
        <f t="shared" si="93"/>
        <v>75.941499999999991</v>
      </c>
      <c r="AD99" s="114">
        <f t="shared" si="94"/>
        <v>-0.18149999999998556</v>
      </c>
      <c r="AE99" s="27">
        <f t="shared" si="96"/>
        <v>0.85499999999999998</v>
      </c>
      <c r="AF99" s="152">
        <f t="shared" si="97"/>
        <v>-1551.8249999998766</v>
      </c>
      <c r="AM99" s="27" t="s">
        <v>254</v>
      </c>
      <c r="AN99" s="27">
        <v>0.85499999999999998</v>
      </c>
    </row>
    <row r="100" spans="1:40" x14ac:dyDescent="0.2">
      <c r="A100" s="66" t="s">
        <v>73</v>
      </c>
      <c r="B100" s="83">
        <v>47604</v>
      </c>
      <c r="C100" s="131">
        <f>_xll.BDP(A100&amp;" Corp", "days to mty")</f>
        <v>5088</v>
      </c>
      <c r="D100" s="41" t="s">
        <v>444</v>
      </c>
      <c r="E100" s="41" t="s">
        <v>445</v>
      </c>
      <c r="F100" s="130">
        <v>75.42</v>
      </c>
      <c r="G100" s="130">
        <v>75.459999999999994</v>
      </c>
      <c r="H100" s="130">
        <f t="shared" si="76"/>
        <v>75.5</v>
      </c>
      <c r="I100" s="26">
        <f>ROUND(_xll.qlBondYieldFromCleanPrice(O100,F100,YieldDayCounter,YieldCompounding,YieldFrequency)*100,3)</f>
        <v>2.0459999999999998</v>
      </c>
      <c r="J100" s="26">
        <f>ROUND(_xll.qlBondYieldFromCleanPrice(P100,G100,YieldDayCounter,YieldCompounding,YieldFrequency)*100,3)</f>
        <v>2.0419999999999998</v>
      </c>
      <c r="K100" s="26">
        <f>ROUND(_xll.qlBondYieldFromCleanPrice(Q100,H100,YieldDayCounter,YieldCompounding,YieldFrequency)*100,3)</f>
        <v>2.0379999999999998</v>
      </c>
      <c r="L100" s="114">
        <f>_xll.qlBondDurationFromYield(P100,J100,YieldDayCounter,YieldCompounding,YieldFrequency,L$2)</f>
        <v>4.5797195428386166</v>
      </c>
      <c r="M100" s="114">
        <f>_xll.qlBondConvexityFromYield(P100,J100/100,YieldDayCounter,YieldCompounding,YieldFrequency)</f>
        <v>199.77622686478617</v>
      </c>
      <c r="N100" s="115">
        <f>_xll.BDP(A100&amp;" Corp","risk mid")</f>
        <v>10.094530743159424</v>
      </c>
      <c r="O100" s="101" t="str">
        <f>_xll.qlZeroCouponBond(,,"EUR",3,"target",100,$B100,"f",100,,,Trigger)</f>
        <v>obj_0086e#0000</v>
      </c>
      <c r="P100" s="101" t="str">
        <f>_xll.qlZeroCouponBond(,,"EUR",3,"target",100,$B100,"f",100,,,Trigger)</f>
        <v>obj_00982#0000</v>
      </c>
      <c r="Q100" s="101" t="str">
        <f>_xll.qlZeroCouponBond(,,"EUR",3,"target",100,$B100,"f",100,,,Trigger)</f>
        <v>obj_00921#0000</v>
      </c>
      <c r="R100" s="117">
        <f t="shared" si="86"/>
        <v>75.5</v>
      </c>
      <c r="S100" s="122">
        <f t="shared" ref="S100" si="115">R100</f>
        <v>75.5</v>
      </c>
      <c r="T100" s="138" t="str">
        <f>IF(UPPER(U$1)="ABCD",_xll.RtContribute($E$3,$E100,$R$3:$S$3,$R100:$S100,"SCOPE:SERVER"),"--")</f>
        <v>Success: Insert Ack on DTSIMI2 for STRIP.IT0001464194 at 10:36:17</v>
      </c>
      <c r="U100" s="142" t="str">
        <f t="shared" si="78"/>
        <v>OK</v>
      </c>
      <c r="V100" s="126" t="str">
        <f t="shared" ref="V100:V131" si="116">V$3&amp;A100</f>
        <v>EUR.PRICING.XLS_STRIPS.IT0001464194</v>
      </c>
      <c r="W100" s="126" t="str">
        <f>IF(UPPER($X$1)="ABCD",_xll.MKV_PUBLISHRECORD(V100, "XLS_STRIPS"),"--")</f>
        <v>Not connected</v>
      </c>
      <c r="X100" s="127" t="str">
        <f>IF(UPPER(X$1)="ABCD",_xll.MKV_SUPPLYRECORD(V100, "Bid",F100, "Ask",H100, "Id",A100, "Mid",G100, "Name",D100,"DV01",N100,"MidYield",J100,"BidYield",I100,"AskYield",K100),"--")</f>
        <v>Not connected</v>
      </c>
      <c r="Z100" s="27" t="str">
        <f t="shared" si="90"/>
        <v>IT0001464194@rbsm Corp</v>
      </c>
      <c r="AA100" s="27">
        <f>_xll.BDP(Z100,"bid")</f>
        <v>73.721000000000004</v>
      </c>
      <c r="AB100" s="27">
        <f>_xll.BDP(Z100,"ask")</f>
        <v>74.225999999999999</v>
      </c>
      <c r="AC100" s="27">
        <f t="shared" si="93"/>
        <v>73.973500000000001</v>
      </c>
      <c r="AD100" s="114">
        <f t="shared" si="94"/>
        <v>1.4864999999999924</v>
      </c>
      <c r="AE100" s="27" t="str">
        <f t="shared" si="96"/>
        <v>0</v>
      </c>
      <c r="AF100" s="152">
        <f t="shared" si="97"/>
        <v>0</v>
      </c>
      <c r="AM100" s="27" t="s">
        <v>257</v>
      </c>
      <c r="AN100" s="27">
        <v>0.85499999999999998</v>
      </c>
    </row>
    <row r="101" spans="1:40" x14ac:dyDescent="0.2">
      <c r="A101" s="66" t="s">
        <v>74</v>
      </c>
      <c r="B101" s="83">
        <v>47696</v>
      </c>
      <c r="C101" s="131">
        <f>_xll.BDP(A101&amp;" Corp", "days to mty")</f>
        <v>5180</v>
      </c>
      <c r="D101" s="41" t="s">
        <v>446</v>
      </c>
      <c r="E101" s="41" t="s">
        <v>447</v>
      </c>
      <c r="F101" s="130">
        <v>74.400000000000006</v>
      </c>
      <c r="G101" s="130">
        <v>74.44</v>
      </c>
      <c r="H101" s="130">
        <f t="shared" si="76"/>
        <v>74.48</v>
      </c>
      <c r="I101" s="26">
        <f>ROUND(_xll.qlBondYieldFromCleanPrice(O101,F101,YieldDayCounter,YieldCompounding,YieldFrequency)*100,3)</f>
        <v>2.1070000000000002</v>
      </c>
      <c r="J101" s="26">
        <f>ROUND(_xll.qlBondYieldFromCleanPrice(P101,G101,YieldDayCounter,YieldCompounding,YieldFrequency)*100,3)</f>
        <v>2.1030000000000002</v>
      </c>
      <c r="K101" s="26">
        <f>ROUND(_xll.qlBondYieldFromCleanPrice(Q101,H101,YieldDayCounter,YieldCompounding,YieldFrequency)*100,3)</f>
        <v>2.1</v>
      </c>
      <c r="L101" s="114">
        <f>_xll.qlBondDurationFromYield(P101,J101,YieldDayCounter,YieldCompounding,YieldFrequency,L$2)</f>
        <v>4.5698768510642793</v>
      </c>
      <c r="M101" s="114">
        <f>_xll.qlBondConvexityFromYield(P101,J101/100,YieldDayCounter,YieldCompounding,YieldFrequency)</f>
        <v>206.48590838658595</v>
      </c>
      <c r="N101" s="115">
        <f>_xll.BDP(A101&amp;" Corp","risk mid")</f>
        <v>10.127905736058551</v>
      </c>
      <c r="O101" s="101" t="str">
        <f>_xll.qlZeroCouponBond(,,"EUR",3,"target",100,$B101,"f",100,,,Trigger)</f>
        <v>obj_008b4#0000</v>
      </c>
      <c r="P101" s="101" t="str">
        <f>_xll.qlZeroCouponBond(,,"EUR",3,"target",100,$B101,"f",100,,,Trigger)</f>
        <v>obj_00954#0000</v>
      </c>
      <c r="Q101" s="101" t="str">
        <f>_xll.qlZeroCouponBond(,,"EUR",3,"target",100,$B101,"f",100,,,Trigger)</f>
        <v>obj_00912#0000</v>
      </c>
      <c r="R101" s="117">
        <f t="shared" si="86"/>
        <v>74.48</v>
      </c>
      <c r="S101" s="122">
        <f t="shared" ref="S101" si="117">R101</f>
        <v>74.48</v>
      </c>
      <c r="T101" s="138" t="str">
        <f>IF(UPPER(U$1)="ABCD",_xll.RtContribute($E$3,$E101,$R$3:$S$3,$R101:$S101,"SCOPE:SERVER"),"--")</f>
        <v>Success: Insert Ack on DTSIMI2 for STRIP.IT0003268973 at 10:36:17</v>
      </c>
      <c r="U101" s="142" t="str">
        <f t="shared" si="78"/>
        <v>OK</v>
      </c>
      <c r="V101" s="126" t="str">
        <f t="shared" si="116"/>
        <v>EUR.PRICING.XLS_STRIPS.IT0003268973</v>
      </c>
      <c r="W101" s="126" t="str">
        <f>IF(UPPER($X$1)="ABCD",_xll.MKV_PUBLISHRECORD(V101, "XLS_STRIPS"),"--")</f>
        <v>Not connected</v>
      </c>
      <c r="X101" s="127" t="str">
        <f>IF(UPPER(X$1)="ABCD",_xll.MKV_SUPPLYRECORD(V101, "Bid",F101, "Ask",H101, "Id",A101, "Mid",G101, "Name",D101,"DV01",N101,"MidYield",J101,"BidYield",I101,"AskYield",K101),"--")</f>
        <v>Not connected</v>
      </c>
      <c r="Z101" s="27" t="str">
        <f t="shared" si="90"/>
        <v>IT0003268973@rbsm Corp</v>
      </c>
      <c r="AA101" s="27">
        <f>_xll.BDP(Z101,"bid")</f>
        <v>72.430999999999997</v>
      </c>
      <c r="AB101" s="27">
        <f>_xll.BDP(Z101,"ask")</f>
        <v>73.137</v>
      </c>
      <c r="AC101" s="27">
        <f t="shared" si="93"/>
        <v>72.783999999999992</v>
      </c>
      <c r="AD101" s="114">
        <f t="shared" si="94"/>
        <v>1.6560000000000059</v>
      </c>
      <c r="AE101" s="27" t="str">
        <f t="shared" si="96"/>
        <v>0</v>
      </c>
      <c r="AF101" s="152">
        <f t="shared" si="97"/>
        <v>0</v>
      </c>
      <c r="AM101" s="27" t="s">
        <v>260</v>
      </c>
      <c r="AN101" s="27">
        <v>0.85499999999999998</v>
      </c>
    </row>
    <row r="102" spans="1:40" x14ac:dyDescent="0.2">
      <c r="A102" s="66" t="s">
        <v>209</v>
      </c>
      <c r="B102" s="83">
        <v>47727</v>
      </c>
      <c r="C102" s="131">
        <f>_xll.BDP(A102&amp;" Corp", "days to mty")</f>
        <v>5211</v>
      </c>
      <c r="D102" s="41" t="s">
        <v>210</v>
      </c>
      <c r="E102" s="41" t="s">
        <v>211</v>
      </c>
      <c r="F102" s="130">
        <v>73.97</v>
      </c>
      <c r="G102" s="130">
        <v>74.02</v>
      </c>
      <c r="H102" s="130">
        <f t="shared" si="76"/>
        <v>74.069999999999993</v>
      </c>
      <c r="I102" s="26">
        <f>ROUND(_xll.qlBondYieldFromCleanPrice(O102,F102,YieldDayCounter,YieldCompounding,YieldFrequency)*100,3)</f>
        <v>2.1360000000000001</v>
      </c>
      <c r="J102" s="26">
        <f>ROUND(_xll.qlBondYieldFromCleanPrice(P102,G102,YieldDayCounter,YieldCompounding,YieldFrequency)*100,3)</f>
        <v>2.1309999999999998</v>
      </c>
      <c r="K102" s="26">
        <f>ROUND(_xll.qlBondYieldFromCleanPrice(Q102,H102,YieldDayCounter,YieldCompounding,YieldFrequency)*100,3)</f>
        <v>2.1259999999999999</v>
      </c>
      <c r="L102" s="114">
        <f>_xll.qlBondDurationFromYield(P102,J102,YieldDayCounter,YieldCompounding,YieldFrequency,L$2)</f>
        <v>4.5569337473144467</v>
      </c>
      <c r="M102" s="114">
        <f>_xll.qlBondConvexityFromYield(P102,J102/100,YieldDayCounter,YieldCompounding,YieldFrequency)</f>
        <v>208.84107767948231</v>
      </c>
      <c r="N102" s="115">
        <f>_xll.BDP(A102&amp;" Corp","risk mid")</f>
        <v>10.158359147580143</v>
      </c>
      <c r="O102" s="101" t="str">
        <f>_xll.qlZeroCouponBond(,,"EUR",3,"target",100,$B102,"f",100,,,Trigger)</f>
        <v>obj_008c3#0000</v>
      </c>
      <c r="P102" s="101" t="str">
        <f>_xll.qlZeroCouponBond(,,"EUR",3,"target",100,$B102,"f",100,,,Trigger)</f>
        <v>obj_0095b#0000</v>
      </c>
      <c r="Q102" s="101" t="str">
        <f>_xll.qlZeroCouponBond(,,"EUR",3,"target",100,$B102,"f",100,,,Trigger)</f>
        <v>obj_009b6#0000</v>
      </c>
      <c r="R102" s="117">
        <f t="shared" si="86"/>
        <v>74.069999999999993</v>
      </c>
      <c r="S102" s="122">
        <f t="shared" ref="S102" si="118">R102</f>
        <v>74.069999999999993</v>
      </c>
      <c r="T102" s="138" t="str">
        <f>IF(UPPER(U$1)="ABCD",_xll.RtContribute($E$3,$E102,$R$3:$S$3,$R102:$S102,"SCOPE:SERVER"),"--")</f>
        <v>Success: Insert Ack on DTSIMI2 for STRIP.IT0004976566 at 10:36:50</v>
      </c>
      <c r="U102" s="142" t="str">
        <f t="shared" si="78"/>
        <v>OK</v>
      </c>
      <c r="V102" s="126" t="str">
        <f t="shared" si="116"/>
        <v>EUR.PRICING.XLS_STRIPS.IT0004976566</v>
      </c>
      <c r="W102" s="126" t="str">
        <f>IF(UPPER($X$1)="ABCD",_xll.MKV_PUBLISHRECORD(V102, "XLS_STRIPS"),"--")</f>
        <v>Not connected</v>
      </c>
      <c r="X102" s="127" t="str">
        <f>IF(UPPER(X$1)="ABCD",_xll.MKV_SUPPLYRECORD(V102, "Bid",F102, "Ask",H102, "Id",A102, "Mid",G102, "Name",D102,"DV01",N102,"MidYield",J102,"BidYield",I102,"AskYield",K102),"--")</f>
        <v>Not connected</v>
      </c>
      <c r="Z102" s="27" t="str">
        <f t="shared" si="90"/>
        <v>IT0004976566@rbsm Corp</v>
      </c>
      <c r="AA102" s="27">
        <f>_xll.BDP(Z102,"bid")</f>
        <v>72.019000000000005</v>
      </c>
      <c r="AB102" s="27">
        <f>_xll.BDP(Z102,"ask")</f>
        <v>74.058000000000007</v>
      </c>
      <c r="AC102" s="27">
        <f t="shared" si="93"/>
        <v>73.038499999999999</v>
      </c>
      <c r="AD102" s="114">
        <f t="shared" si="94"/>
        <v>0.98149999999999693</v>
      </c>
      <c r="AE102" s="27">
        <f t="shared" si="96"/>
        <v>0.85499999999999998</v>
      </c>
      <c r="AF102" s="152">
        <f t="shared" si="97"/>
        <v>8391.8249999999734</v>
      </c>
      <c r="AM102" s="27" t="s">
        <v>263</v>
      </c>
      <c r="AN102" s="27">
        <v>0.83699999999999997</v>
      </c>
    </row>
    <row r="103" spans="1:40" x14ac:dyDescent="0.2">
      <c r="A103" s="66" t="s">
        <v>75</v>
      </c>
      <c r="B103" s="83">
        <v>47788</v>
      </c>
      <c r="C103" s="131">
        <f>_xll.BDP(A103&amp;" Corp", "days to mty")</f>
        <v>5272</v>
      </c>
      <c r="D103" s="41" t="s">
        <v>448</v>
      </c>
      <c r="E103" s="41" t="s">
        <v>449</v>
      </c>
      <c r="F103" s="130">
        <v>73.099999999999994</v>
      </c>
      <c r="G103" s="130">
        <v>73.150000000000006</v>
      </c>
      <c r="H103" s="130">
        <f t="shared" si="76"/>
        <v>73.2</v>
      </c>
      <c r="I103" s="26">
        <f>ROUND(_xll.qlBondYieldFromCleanPrice(O103,F103,YieldDayCounter,YieldCompounding,YieldFrequency)*100,3)</f>
        <v>2.1949999999999998</v>
      </c>
      <c r="J103" s="26">
        <f>ROUND(_xll.qlBondYieldFromCleanPrice(P103,G103,YieldDayCounter,YieldCompounding,YieldFrequency)*100,3)</f>
        <v>2.19</v>
      </c>
      <c r="K103" s="26">
        <f>ROUND(_xll.qlBondYieldFromCleanPrice(Q103,H103,YieldDayCounter,YieldCompounding,YieldFrequency)*100,3)</f>
        <v>2.1850000000000001</v>
      </c>
      <c r="L103" s="114">
        <f>_xll.qlBondDurationFromYield(P103,J103,YieldDayCounter,YieldCompounding,YieldFrequency,L$2)</f>
        <v>4.5240420028435855</v>
      </c>
      <c r="M103" s="114">
        <f>_xll.qlBondConvexityFromYield(P103,J103/100,YieldDayCounter,YieldCompounding,YieldFrequency)</f>
        <v>213.2623133216785</v>
      </c>
      <c r="N103" s="115">
        <f>_xll.BDP(A103&amp;" Corp","risk mid")</f>
        <v>10.194503514822628</v>
      </c>
      <c r="O103" s="101" t="str">
        <f>_xll.qlZeroCouponBond(,,"EUR",3,"target",100,$B103,"f",100,,,Trigger)</f>
        <v>obj_00998#0000</v>
      </c>
      <c r="P103" s="101" t="str">
        <f>_xll.qlZeroCouponBond(,,"EUR",3,"target",100,$B103,"f",100,,,Trigger)</f>
        <v>obj_0091d#0000</v>
      </c>
      <c r="Q103" s="101" t="str">
        <f>_xll.qlZeroCouponBond(,,"EUR",3,"target",100,$B103,"f",100,,,Trigger)</f>
        <v>obj_008b6#0000</v>
      </c>
      <c r="R103" s="117">
        <f t="shared" si="86"/>
        <v>73.2</v>
      </c>
      <c r="S103" s="122">
        <f t="shared" ref="S103" si="119">R103</f>
        <v>73.2</v>
      </c>
      <c r="T103" s="138" t="str">
        <f>IF(UPPER(U$1)="ABCD",_xll.RtContribute($E$3,$E103,$R$3:$S$3,$R103:$S103,"SCOPE:SERVER"),"--")</f>
        <v>Success: Insert Ack on DTSIMI2 for STRIP.IT0001464202 at 10:36:50</v>
      </c>
      <c r="U103" s="142" t="str">
        <f t="shared" si="78"/>
        <v>OK</v>
      </c>
      <c r="V103" s="126" t="str">
        <f t="shared" si="116"/>
        <v>EUR.PRICING.XLS_STRIPS.IT0001464202</v>
      </c>
      <c r="W103" s="126" t="str">
        <f>IF(UPPER($X$1)="ABCD",_xll.MKV_PUBLISHRECORD(V103, "XLS_STRIPS"),"--")</f>
        <v>Not connected</v>
      </c>
      <c r="X103" s="127" t="str">
        <f>IF(UPPER(X$1)="ABCD",_xll.MKV_SUPPLYRECORD(V103, "Bid",F103, "Ask",H103, "Id",A103, "Mid",G103, "Name",D103,"DV01",N103,"MidYield",J103,"BidYield",I103,"AskYield",K103),"--")</f>
        <v>Not connected</v>
      </c>
      <c r="Z103" s="27" t="str">
        <f t="shared" si="90"/>
        <v>IT0001464202@rbsm Corp</v>
      </c>
      <c r="AA103" s="27">
        <f>_xll.BDP(Z103,"bid")</f>
        <v>71.355999999999995</v>
      </c>
      <c r="AB103" s="27">
        <f>_xll.BDP(Z103,"ask")</f>
        <v>72.677000000000007</v>
      </c>
      <c r="AC103" s="27">
        <f t="shared" si="93"/>
        <v>72.016500000000008</v>
      </c>
      <c r="AD103" s="114">
        <f t="shared" si="94"/>
        <v>1.133499999999998</v>
      </c>
      <c r="AE103" s="27" t="str">
        <f t="shared" si="96"/>
        <v>0</v>
      </c>
      <c r="AF103" s="152">
        <f t="shared" si="97"/>
        <v>0</v>
      </c>
      <c r="AM103" s="27" t="s">
        <v>266</v>
      </c>
      <c r="AN103" s="27">
        <v>0.85499999999999998</v>
      </c>
    </row>
    <row r="104" spans="1:40" x14ac:dyDescent="0.2">
      <c r="A104" s="66" t="s">
        <v>76</v>
      </c>
      <c r="B104" s="83">
        <v>47880</v>
      </c>
      <c r="C104" s="131">
        <f>_xll.BDP(A104&amp;" Corp", "days to mty")</f>
        <v>5364</v>
      </c>
      <c r="D104" s="41" t="s">
        <v>450</v>
      </c>
      <c r="E104" s="41" t="s">
        <v>451</v>
      </c>
      <c r="F104" s="130">
        <v>71.989999999999995</v>
      </c>
      <c r="G104" s="130">
        <v>72.040000000000006</v>
      </c>
      <c r="H104" s="130">
        <f t="shared" si="76"/>
        <v>72.09</v>
      </c>
      <c r="I104" s="26">
        <f>ROUND(_xll.qlBondYieldFromCleanPrice(O104,F104,YieldDayCounter,YieldCompounding,YieldFrequency)*100,3)</f>
        <v>2.2629999999999999</v>
      </c>
      <c r="J104" s="26">
        <f>ROUND(_xll.qlBondYieldFromCleanPrice(P104,G104,YieldDayCounter,YieldCompounding,YieldFrequency)*100,3)</f>
        <v>2.258</v>
      </c>
      <c r="K104" s="26">
        <f>ROUND(_xll.qlBondYieldFromCleanPrice(Q104,H104,YieldDayCounter,YieldCompounding,YieldFrequency)*100,3)</f>
        <v>2.2530000000000001</v>
      </c>
      <c r="L104" s="114">
        <f>_xll.qlBondDurationFromYield(P104,J104,YieldDayCounter,YieldCompounding,YieldFrequency,L$2)</f>
        <v>4.508448308828708</v>
      </c>
      <c r="M104" s="114">
        <f>_xll.qlBondConvexityFromYield(P104,J104/100,YieldDayCounter,YieldCompounding,YieldFrequency)</f>
        <v>220.37670667811986</v>
      </c>
      <c r="N104" s="115">
        <f>_xll.BDP(A104&amp;" Corp","risk mid")</f>
        <v>10.314077072565908</v>
      </c>
      <c r="O104" s="101" t="str">
        <f>_xll.qlZeroCouponBond(,,"EUR",3,"target",100,$B104,"f",100,,,Trigger)</f>
        <v>obj_009a4#0000</v>
      </c>
      <c r="P104" s="101" t="str">
        <f>_xll.qlZeroCouponBond(,,"EUR",3,"target",100,$B104,"f",100,,,Trigger)</f>
        <v>obj_009d2#0000</v>
      </c>
      <c r="Q104" s="101" t="str">
        <f>_xll.qlZeroCouponBond(,,"EUR",3,"target",100,$B104,"f",100,,,Trigger)</f>
        <v>obj_009dd#0000</v>
      </c>
      <c r="R104" s="117">
        <f t="shared" si="86"/>
        <v>72.09</v>
      </c>
      <c r="S104" s="122">
        <f t="shared" ref="S104" si="120">R104</f>
        <v>72.09</v>
      </c>
      <c r="T104" s="138" t="str">
        <f>IF(UPPER(U$1)="ABCD",_xll.RtContribute($E$3,$E104,$R$3:$S$3,$R104:$S104,"SCOPE:SERVER"),"--")</f>
        <v>Success: Insert Ack on DTSIMI2 for STRIP.IT0003268999 at 10:36:50</v>
      </c>
      <c r="U104" s="142" t="str">
        <f t="shared" si="78"/>
        <v>OK</v>
      </c>
      <c r="V104" s="126" t="str">
        <f t="shared" si="116"/>
        <v>EUR.PRICING.XLS_STRIPS.IT0003268999</v>
      </c>
      <c r="W104" s="126" t="str">
        <f>IF(UPPER($X$1)="ABCD",_xll.MKV_PUBLISHRECORD(V104, "XLS_STRIPS"),"--")</f>
        <v>Not connected</v>
      </c>
      <c r="X104" s="127" t="str">
        <f>IF(UPPER(X$1)="ABCD",_xll.MKV_SUPPLYRECORD(V104, "Bid",F104, "Ask",H104, "Id",A104, "Mid",G104, "Name",D104,"DV01",N104,"MidYield",J104,"BidYield",I104,"AskYield",K104),"--")</f>
        <v>Not connected</v>
      </c>
      <c r="Z104" s="27" t="str">
        <f t="shared" si="90"/>
        <v>IT0003268999@rbsm Corp</v>
      </c>
      <c r="AA104" s="27">
        <f>_xll.BDP(Z104,"bid")</f>
        <v>71.081000000000003</v>
      </c>
      <c r="AB104" s="27">
        <f>_xll.BDP(Z104,"ask")</f>
        <v>72.316000000000003</v>
      </c>
      <c r="AC104" s="27">
        <f t="shared" si="93"/>
        <v>71.698499999999996</v>
      </c>
      <c r="AD104" s="114">
        <f t="shared" si="94"/>
        <v>0.34150000000001057</v>
      </c>
      <c r="AE104" s="27" t="str">
        <f t="shared" si="96"/>
        <v>0</v>
      </c>
      <c r="AF104" s="152">
        <f t="shared" si="97"/>
        <v>0</v>
      </c>
      <c r="AM104" s="27" t="s">
        <v>269</v>
      </c>
      <c r="AN104" s="27">
        <v>0.85499999999999998</v>
      </c>
    </row>
    <row r="105" spans="1:40" x14ac:dyDescent="0.2">
      <c r="A105" s="66" t="s">
        <v>212</v>
      </c>
      <c r="B105" s="83">
        <v>47908</v>
      </c>
      <c r="C105" s="131">
        <f>_xll.BDP(A105&amp;" Corp", "days to mty")</f>
        <v>5392</v>
      </c>
      <c r="D105" s="41" t="s">
        <v>213</v>
      </c>
      <c r="E105" s="41" t="s">
        <v>214</v>
      </c>
      <c r="F105" s="130">
        <v>71.75</v>
      </c>
      <c r="G105" s="130">
        <v>71.8</v>
      </c>
      <c r="H105" s="130">
        <f t="shared" si="76"/>
        <v>71.849999999999994</v>
      </c>
      <c r="I105" s="26">
        <f>ROUND(_xll.qlBondYieldFromCleanPrice(O105,F105,YieldDayCounter,YieldCompounding,YieldFrequency)*100,3)</f>
        <v>2.274</v>
      </c>
      <c r="J105" s="26">
        <f>ROUND(_xll.qlBondYieldFromCleanPrice(P105,G105,YieldDayCounter,YieldCompounding,YieldFrequency)*100,3)</f>
        <v>2.2690000000000001</v>
      </c>
      <c r="K105" s="26">
        <f>ROUND(_xll.qlBondYieldFromCleanPrice(Q105,H105,YieldDayCounter,YieldCompounding,YieldFrequency)*100,3)</f>
        <v>2.2639999999999998</v>
      </c>
      <c r="L105" s="114">
        <f>_xll.qlBondDurationFromYield(P105,J105,YieldDayCounter,YieldCompounding,YieldFrequency,L$2)</f>
        <v>4.5173212871432336</v>
      </c>
      <c r="M105" s="114">
        <f>_xll.qlBondConvexityFromYield(P105,J105/100,YieldDayCounter,YieldCompounding,YieldFrequency)</f>
        <v>222.61803524067824</v>
      </c>
      <c r="N105" s="115">
        <f>_xll.BDP(A105&amp;" Corp","risk mid")</f>
        <v>10.357018192668477</v>
      </c>
      <c r="O105" s="101" t="str">
        <f>_xll.qlZeroCouponBond(,,"EUR",3,"target",100,$B105,"f",100,,,Trigger)</f>
        <v>obj_0099f#0000</v>
      </c>
      <c r="P105" s="101" t="str">
        <f>_xll.qlZeroCouponBond(,,"EUR",3,"target",100,$B105,"f",100,,,Trigger)</f>
        <v>obj_0095e#0000</v>
      </c>
      <c r="Q105" s="101" t="str">
        <f>_xll.qlZeroCouponBond(,,"EUR",3,"target",100,$B105,"f",100,,,Trigger)</f>
        <v>obj_008b9#0000</v>
      </c>
      <c r="R105" s="117">
        <f t="shared" si="86"/>
        <v>71.849999999999994</v>
      </c>
      <c r="S105" s="122">
        <f t="shared" ref="S105" si="121">R105</f>
        <v>71.849999999999994</v>
      </c>
      <c r="T105" s="138" t="str">
        <f>IF(UPPER(U$1)="ABCD",_xll.RtContribute($E$3,$E105,$R$3:$S$3,$R105:$S105,"SCOPE:SERVER"),"--")</f>
        <v>Success: Insert Ack on DTSIMI2 for STRIP.IT0004976574 at 10:36:50</v>
      </c>
      <c r="U105" s="142" t="str">
        <f t="shared" si="78"/>
        <v>OK</v>
      </c>
      <c r="V105" s="126" t="str">
        <f t="shared" si="116"/>
        <v>EUR.PRICING.XLS_STRIPS.IT0004976574</v>
      </c>
      <c r="W105" s="126" t="str">
        <f>IF(UPPER($X$1)="ABCD",_xll.MKV_PUBLISHRECORD(V105, "XLS_STRIPS"),"--")</f>
        <v>Not connected</v>
      </c>
      <c r="X105" s="127" t="str">
        <f>IF(UPPER(X$1)="ABCD",_xll.MKV_SUPPLYRECORD(V105, "Bid",F105, "Ask",H105, "Id",A105, "Mid",G105, "Name",D105,"DV01",N105,"MidYield",J105,"BidYield",I105,"AskYield",K105),"--")</f>
        <v>Not connected</v>
      </c>
      <c r="Z105" s="27" t="str">
        <f t="shared" si="90"/>
        <v>IT0004976574@rbsm Corp</v>
      </c>
      <c r="AA105" s="27">
        <f>_xll.BDP(Z105,"bid")</f>
        <v>71.180999999999997</v>
      </c>
      <c r="AB105" s="27">
        <f>_xll.BDP(Z105,"ask")</f>
        <v>73.268000000000001</v>
      </c>
      <c r="AC105" s="27">
        <f t="shared" si="93"/>
        <v>72.224500000000006</v>
      </c>
      <c r="AD105" s="114">
        <f t="shared" si="94"/>
        <v>-0.42450000000000898</v>
      </c>
      <c r="AE105" s="27">
        <f t="shared" si="96"/>
        <v>0.85499999999999998</v>
      </c>
      <c r="AF105" s="152">
        <f t="shared" si="97"/>
        <v>-3629.4750000000768</v>
      </c>
      <c r="AM105" s="27" t="s">
        <v>546</v>
      </c>
      <c r="AN105" s="27">
        <v>-2.2999999999999998</v>
      </c>
    </row>
    <row r="106" spans="1:40" x14ac:dyDescent="0.2">
      <c r="A106" s="66" t="s">
        <v>452</v>
      </c>
      <c r="B106" s="83">
        <v>47969</v>
      </c>
      <c r="C106" s="131">
        <f>_xll.BDP(A106&amp;" Corp", "days to mty")</f>
        <v>5453</v>
      </c>
      <c r="D106" s="41" t="s">
        <v>453</v>
      </c>
      <c r="E106" s="41" t="s">
        <v>454</v>
      </c>
      <c r="F106" s="130">
        <v>71.47</v>
      </c>
      <c r="G106" s="130">
        <v>71.52</v>
      </c>
      <c r="H106" s="130">
        <f t="shared" si="76"/>
        <v>71.569999999999993</v>
      </c>
      <c r="I106" s="26">
        <f>ROUND(_xll.qlBondYieldFromCleanPrice(O106,F106,YieldDayCounter,YieldCompounding,YieldFrequency)*100,3)</f>
        <v>2.2749999999999999</v>
      </c>
      <c r="J106" s="26">
        <f>ROUND(_xll.qlBondYieldFromCleanPrice(P106,G106,YieldDayCounter,YieldCompounding,YieldFrequency)*100,3)</f>
        <v>2.27</v>
      </c>
      <c r="K106" s="26">
        <f>ROUND(_xll.qlBondYieldFromCleanPrice(Q106,H106,YieldDayCounter,YieldCompounding,YieldFrequency)*100,3)</f>
        <v>2.2650000000000001</v>
      </c>
      <c r="L106" s="114">
        <f>_xll.qlBondDurationFromYield(P106,J106,YieldDayCounter,YieldCompounding,YieldFrequency,L$2)</f>
        <v>4.5662100456621006</v>
      </c>
      <c r="M106" s="114">
        <f>_xll.qlBondConvexityFromYield(P106,J106/100,YieldDayCounter,YieldCompounding,YieldFrequency)</f>
        <v>227.4384990016332</v>
      </c>
      <c r="N106" s="115">
        <f>_xll.BDP(A106&amp;" Corp","risk mid")</f>
        <v>10.508429858178658</v>
      </c>
      <c r="O106" s="101" t="str">
        <f>_xll.qlZeroCouponBond(,,"EUR",3,"target",100,$B106,"f",100,,,Trigger)</f>
        <v>obj_00969#0000</v>
      </c>
      <c r="P106" s="101" t="str">
        <f>_xll.qlZeroCouponBond(,,"EUR",3,"target",100,$B106,"f",100,,,Trigger)</f>
        <v>obj_00944#0000</v>
      </c>
      <c r="Q106" s="101" t="str">
        <f>_xll.qlZeroCouponBond(,,"EUR",3,"target",100,$B106,"f",100,,,Trigger)</f>
        <v>obj_008a2#0000</v>
      </c>
      <c r="R106" s="117">
        <f t="shared" si="86"/>
        <v>71.569999999999993</v>
      </c>
      <c r="S106" s="122">
        <f t="shared" ref="S106" si="122">R106</f>
        <v>71.569999999999993</v>
      </c>
      <c r="T106" s="138" t="str">
        <f>IF(UPPER(U$1)="ABCD",_xll.RtContribute($E$3,$E106,$R$3:$S$3,$R106:$S106,"SCOPE:SERVER"),"--")</f>
        <v>Success: Insert Ack on DTSIMI2 for STRIP.IT0004848492 at 10:36:50</v>
      </c>
      <c r="U106" s="142" t="str">
        <f t="shared" si="78"/>
        <v>OK</v>
      </c>
      <c r="V106" s="126" t="str">
        <f t="shared" si="116"/>
        <v>EUR.PRICING.XLS_STRIPS.IT0004848492</v>
      </c>
      <c r="W106" s="126" t="str">
        <f>IF(UPPER($X$1)="ABCD",_xll.MKV_PUBLISHRECORD(V106, "XLS_STRIPS"),"--")</f>
        <v>Not connected</v>
      </c>
      <c r="X106" s="127" t="str">
        <f>IF(UPPER(X$1)="ABCD",_xll.MKV_SUPPLYRECORD(V106, "Bid",F106, "Ask",H106, "Id",A106, "Mid",G106, "Name",D106,"DV01",N106,"MidYield",J106,"BidYield",I106,"AskYield",K106),"--")</f>
        <v>Not connected</v>
      </c>
      <c r="Z106" s="27" t="str">
        <f t="shared" si="90"/>
        <v>IT0004848492@rbsm Corp</v>
      </c>
      <c r="AA106" s="27">
        <f>_xll.BDP(Z106,"bid")</f>
        <v>71.632000000000005</v>
      </c>
      <c r="AB106" s="27">
        <f>_xll.BDP(Z106,"ask")</f>
        <v>71.947000000000003</v>
      </c>
      <c r="AC106" s="27">
        <f t="shared" si="93"/>
        <v>71.789500000000004</v>
      </c>
      <c r="AD106" s="114">
        <f t="shared" si="94"/>
        <v>-0.26950000000000784</v>
      </c>
      <c r="AE106" s="27" t="str">
        <f t="shared" si="96"/>
        <v>0</v>
      </c>
      <c r="AF106" s="152">
        <f t="shared" si="97"/>
        <v>0</v>
      </c>
      <c r="AM106" s="27" t="s">
        <v>272</v>
      </c>
      <c r="AN106" s="27">
        <v>0.48499999999999999</v>
      </c>
    </row>
    <row r="107" spans="1:40" x14ac:dyDescent="0.2">
      <c r="A107" s="66" t="s">
        <v>77</v>
      </c>
      <c r="B107" s="83">
        <v>48061</v>
      </c>
      <c r="C107" s="131">
        <f>_xll.BDP(A107&amp;" Corp", "days to mty")</f>
        <v>5545</v>
      </c>
      <c r="D107" s="41" t="s">
        <v>455</v>
      </c>
      <c r="E107" s="41" t="s">
        <v>456</v>
      </c>
      <c r="F107" s="130">
        <v>71.739999999999995</v>
      </c>
      <c r="G107" s="130">
        <v>71.790000000000006</v>
      </c>
      <c r="H107" s="130">
        <f t="shared" si="76"/>
        <v>71.84</v>
      </c>
      <c r="I107" s="26">
        <f>ROUND(_xll.qlBondYieldFromCleanPrice(O107,F107,YieldDayCounter,YieldCompounding,YieldFrequency)*100,3)</f>
        <v>2.2120000000000002</v>
      </c>
      <c r="J107" s="26">
        <f>ROUND(_xll.qlBondYieldFromCleanPrice(P107,G107,YieldDayCounter,YieldCompounding,YieldFrequency)*100,3)</f>
        <v>2.2069999999999999</v>
      </c>
      <c r="K107" s="26">
        <f>ROUND(_xll.qlBondYieldFromCleanPrice(Q107,H107,YieldDayCounter,YieldCompounding,YieldFrequency)*100,3)</f>
        <v>2.2029999999999998</v>
      </c>
      <c r="L107" s="114">
        <f>_xll.qlBondDurationFromYield(P107,J107,YieldDayCounter,YieldCompounding,YieldFrequency,L$2)</f>
        <v>4.7334979322895103</v>
      </c>
      <c r="M107" s="114">
        <f>_xll.qlBondConvexityFromYield(P107,J107/100,YieldDayCounter,YieldCompounding,YieldFrequency)</f>
        <v>235.12953629593471</v>
      </c>
      <c r="N107" s="115">
        <f>_xll.BDP(A107&amp;" Corp","risk mid")</f>
        <v>10.493336226550554</v>
      </c>
      <c r="O107" s="101" t="str">
        <f>_xll.qlZeroCouponBond(,,"EUR",3,"target",100,$B107,"f",100,,,Trigger)</f>
        <v>obj_008ae#0000</v>
      </c>
      <c r="P107" s="101" t="str">
        <f>_xll.qlZeroCouponBond(,,"EUR",3,"target",100,$B107,"f",100,,,Trigger)</f>
        <v>obj_00953#0000</v>
      </c>
      <c r="Q107" s="101" t="str">
        <f>_xll.qlZeroCouponBond(,,"EUR",3,"target",100,$B107,"f",100,,,Trigger)</f>
        <v>obj_0096f#0000</v>
      </c>
      <c r="R107" s="117">
        <f t="shared" si="86"/>
        <v>71.84</v>
      </c>
      <c r="S107" s="122">
        <f t="shared" ref="S107" si="123">R107</f>
        <v>71.84</v>
      </c>
      <c r="T107" s="138" t="str">
        <f>IF(UPPER(U$1)="ABCD",_xll.RtContribute($E$3,$E107,$R$3:$S$3,$R107:$S107,"SCOPE:SERVER"),"--")</f>
        <v>Success: Insert Ack on DTSIMI2 for STRIP.IT0003269013 at 10:36:07</v>
      </c>
      <c r="U107" s="142" t="str">
        <f t="shared" si="78"/>
        <v>OK</v>
      </c>
      <c r="V107" s="126" t="str">
        <f t="shared" si="116"/>
        <v>EUR.PRICING.XLS_STRIPS.IT0003269013</v>
      </c>
      <c r="W107" s="126" t="str">
        <f>IF(UPPER($X$1)="ABCD",_xll.MKV_PUBLISHRECORD(V107, "XLS_STRIPS"),"--")</f>
        <v>Not connected</v>
      </c>
      <c r="X107" s="127" t="str">
        <f>IF(UPPER(X$1)="ABCD",_xll.MKV_SUPPLYRECORD(V107, "Bid",F107, "Ask",H107, "Id",A107, "Mid",G107, "Name",D107,"DV01",N107,"MidYield",J107,"BidYield",I107,"AskYield",K107),"--")</f>
        <v>Not connected</v>
      </c>
      <c r="Z107" s="27" t="str">
        <f t="shared" si="90"/>
        <v>IT0003269013@rbsm Corp</v>
      </c>
      <c r="AA107" s="27">
        <f>_xll.BDP(Z107,"bid")</f>
        <v>69.790999999999997</v>
      </c>
      <c r="AB107" s="27">
        <f>_xll.BDP(Z107,"ask")</f>
        <v>71.045000000000002</v>
      </c>
      <c r="AC107" s="27">
        <f t="shared" si="93"/>
        <v>70.418000000000006</v>
      </c>
      <c r="AD107" s="114">
        <f t="shared" si="94"/>
        <v>1.3719999999999999</v>
      </c>
      <c r="AE107" s="27" t="str">
        <f t="shared" si="96"/>
        <v>0</v>
      </c>
      <c r="AF107" s="152">
        <f t="shared" si="97"/>
        <v>0</v>
      </c>
      <c r="AM107" s="27" t="s">
        <v>278</v>
      </c>
      <c r="AN107" s="27">
        <v>0.17899999999999999</v>
      </c>
    </row>
    <row r="108" spans="1:40" x14ac:dyDescent="0.2">
      <c r="A108" s="66" t="s">
        <v>215</v>
      </c>
      <c r="B108" s="83">
        <v>48092</v>
      </c>
      <c r="C108" s="131">
        <f>_xll.BDP(A108&amp;" Corp", "days to mty")</f>
        <v>5576</v>
      </c>
      <c r="D108" s="41" t="s">
        <v>216</v>
      </c>
      <c r="E108" s="41" t="s">
        <v>217</v>
      </c>
      <c r="F108" s="130">
        <v>71.95</v>
      </c>
      <c r="G108" s="130">
        <v>72</v>
      </c>
      <c r="H108" s="130">
        <f t="shared" si="76"/>
        <v>72.05</v>
      </c>
      <c r="I108" s="26">
        <f>ROUND(_xll.qlBondYieldFromCleanPrice(O108,F108,YieldDayCounter,YieldCompounding,YieldFrequency)*100,3)</f>
        <v>2.1800000000000002</v>
      </c>
      <c r="J108" s="26">
        <f>ROUND(_xll.qlBondYieldFromCleanPrice(P108,G108,YieldDayCounter,YieldCompounding,YieldFrequency)*100,3)</f>
        <v>2.1749999999999998</v>
      </c>
      <c r="K108" s="26">
        <f>ROUND(_xll.qlBondYieldFromCleanPrice(Q108,H108,YieldDayCounter,YieldCompounding,YieldFrequency)*100,3)</f>
        <v>2.1709999999999998</v>
      </c>
      <c r="L108" s="114">
        <f>_xll.qlBondDurationFromYield(P108,J108,YieldDayCounter,YieldCompounding,YieldFrequency,L$2)</f>
        <v>4.807882621229723</v>
      </c>
      <c r="M108" s="114">
        <f>_xll.qlBondConvexityFromYield(P108,J108/100,YieldDayCounter,YieldCompounding,YieldFrequency)</f>
        <v>237.82805839988461</v>
      </c>
      <c r="N108" s="115">
        <f>_xll.BDP(A108&amp;" Corp","risk mid")</f>
        <v>10.597347661617817</v>
      </c>
      <c r="O108" s="101" t="str">
        <f>_xll.qlZeroCouponBond(,,"EUR",3,"target",100,$B108,"f",100,,,Trigger)</f>
        <v>obj_009de#0000</v>
      </c>
      <c r="P108" s="101" t="str">
        <f>_xll.qlZeroCouponBond(,,"EUR",3,"target",100,$B108,"f",100,,,Trigger)</f>
        <v>obj_008b7#0000</v>
      </c>
      <c r="Q108" s="101" t="str">
        <f>_xll.qlZeroCouponBond(,,"EUR",3,"target",100,$B108,"f",100,,,Trigger)</f>
        <v>obj_009d1#0000</v>
      </c>
      <c r="R108" s="117">
        <f t="shared" si="86"/>
        <v>72.05</v>
      </c>
      <c r="S108" s="122">
        <f t="shared" ref="S108" si="124">R108</f>
        <v>72.05</v>
      </c>
      <c r="T108" s="138" t="str">
        <f>IF(UPPER(U$1)="ABCD",_xll.RtContribute($E$3,$E108,$R$3:$S$3,$R108:$S108,"SCOPE:SERVER"),"--")</f>
        <v>Success: Insert Ack on DTSIMI2 for STRIP.IT0004976582 at 10:36:50</v>
      </c>
      <c r="U108" s="142" t="str">
        <f t="shared" si="78"/>
        <v>OK</v>
      </c>
      <c r="V108" s="126" t="str">
        <f t="shared" si="116"/>
        <v>EUR.PRICING.XLS_STRIPS.IT0004976582</v>
      </c>
      <c r="W108" s="126" t="str">
        <f>IF(UPPER($X$1)="ABCD",_xll.MKV_PUBLISHRECORD(V108, "XLS_STRIPS"),"--")</f>
        <v>Not connected</v>
      </c>
      <c r="X108" s="127" t="str">
        <f>IF(UPPER(X$1)="ABCD",_xll.MKV_SUPPLYRECORD(V108, "Bid",F108, "Ask",H108, "Id",A108, "Mid",G108, "Name",D108,"DV01",N108,"MidYield",J108,"BidYield",I108,"AskYield",K108),"--")</f>
        <v>Not connected</v>
      </c>
      <c r="Z108" s="27" t="str">
        <f t="shared" si="90"/>
        <v>IT0004976582@rbsm Corp</v>
      </c>
      <c r="AA108" s="27">
        <f>_xll.BDP(Z108,"bid")</f>
        <v>70.332999999999998</v>
      </c>
      <c r="AB108" s="27">
        <f>_xll.BDP(Z108,"ask")</f>
        <v>72.465999999999994</v>
      </c>
      <c r="AC108" s="27">
        <f t="shared" si="93"/>
        <v>71.399499999999989</v>
      </c>
      <c r="AD108" s="114">
        <f t="shared" si="94"/>
        <v>0.60050000000001091</v>
      </c>
      <c r="AE108" s="27">
        <f t="shared" si="96"/>
        <v>0.85499999999999998</v>
      </c>
      <c r="AF108" s="152">
        <f t="shared" si="97"/>
        <v>5134.2750000000933</v>
      </c>
      <c r="AM108" s="27" t="s">
        <v>281</v>
      </c>
      <c r="AN108" s="27">
        <v>0.37</v>
      </c>
    </row>
    <row r="109" spans="1:40" x14ac:dyDescent="0.2">
      <c r="A109" s="66" t="s">
        <v>78</v>
      </c>
      <c r="B109" s="83">
        <v>48245</v>
      </c>
      <c r="C109" s="131">
        <f>_xll.BDP(A109&amp;" Corp", "days to mty")</f>
        <v>5729</v>
      </c>
      <c r="D109" s="41" t="s">
        <v>457</v>
      </c>
      <c r="E109" s="41" t="s">
        <v>458</v>
      </c>
      <c r="F109" s="130">
        <v>72.66</v>
      </c>
      <c r="G109" s="130">
        <v>72.709999999999994</v>
      </c>
      <c r="H109" s="130">
        <f t="shared" si="76"/>
        <v>72.760000000000005</v>
      </c>
      <c r="I109" s="26">
        <f>ROUND(_xll.qlBondYieldFromCleanPrice(O109,F109,YieldDayCounter,YieldCompounding,YieldFrequency)*100,3)</f>
        <v>2.0569999999999999</v>
      </c>
      <c r="J109" s="26">
        <f>ROUND(_xll.qlBondYieldFromCleanPrice(P109,G109,YieldDayCounter,YieldCompounding,YieldFrequency)*100,3)</f>
        <v>2.052</v>
      </c>
      <c r="K109" s="26">
        <f>ROUND(_xll.qlBondYieldFromCleanPrice(Q109,H109,YieldDayCounter,YieldCompounding,YieldFrequency)*100,3)</f>
        <v>2.048</v>
      </c>
      <c r="L109" s="114">
        <f>_xll.qlBondDurationFromYield(P109,J109,YieldDayCounter,YieldCompounding,YieldFrequency,L$2)</f>
        <v>5.1395125654412768</v>
      </c>
      <c r="M109" s="114">
        <f>_xll.qlBondConvexityFromYield(P109,J109/100,YieldDayCounter,YieldCompounding,YieldFrequency)</f>
        <v>251.3102807462113</v>
      </c>
      <c r="N109" s="115">
        <f>_xll.BDP(A109&amp;" Corp","risk mid")</f>
        <v>10.669336231443083</v>
      </c>
      <c r="O109" s="101" t="str">
        <f>_xll.qlZeroCouponBond(,,"EUR",3,"target",100,$B109,"f",100,,,Trigger)</f>
        <v>obj_008bd#0000</v>
      </c>
      <c r="P109" s="101" t="str">
        <f>_xll.qlZeroCouponBond(,,"EUR",3,"target",100,$B109,"f",100,,,Trigger)</f>
        <v>obj_00927#0000</v>
      </c>
      <c r="Q109" s="101" t="str">
        <f>_xll.qlZeroCouponBond(,,"EUR",3,"target",100,$B109,"f",100,,,Trigger)</f>
        <v>obj_00930#0000</v>
      </c>
      <c r="R109" s="117">
        <f t="shared" si="86"/>
        <v>72.760000000000005</v>
      </c>
      <c r="S109" s="122">
        <f t="shared" ref="S109" si="125">R109</f>
        <v>72.760000000000005</v>
      </c>
      <c r="T109" s="138" t="str">
        <f>IF(UPPER(U$1)="ABCD",_xll.RtContribute($E$3,$E109,$R$3:$S$3,$R109:$S109,"SCOPE:SERVER"),"--")</f>
        <v>Success: Insert Ack on DTSIMI2 for STRIP.IT0003269021 at 10:34:52</v>
      </c>
      <c r="U109" s="142" t="str">
        <f t="shared" si="78"/>
        <v>OK</v>
      </c>
      <c r="V109" s="126" t="str">
        <f t="shared" si="116"/>
        <v>EUR.PRICING.XLS_STRIPS.IT0003269021</v>
      </c>
      <c r="W109" s="126" t="str">
        <f>IF(UPPER($X$1)="ABCD",_xll.MKV_PUBLISHRECORD(V109, "XLS_STRIPS"),"--")</f>
        <v>Not connected</v>
      </c>
      <c r="X109" s="127" t="str">
        <f>IF(UPPER(X$1)="ABCD",_xll.MKV_SUPPLYRECORD(V109, "Bid",F109, "Ask",H109, "Id",A109, "Mid",G109, "Name",D109,"DV01",N109,"MidYield",J109,"BidYield",I109,"AskYield",K109),"--")</f>
        <v>Not connected</v>
      </c>
      <c r="Z109" s="27" t="str">
        <f t="shared" si="90"/>
        <v>IT0003269021@rbsm Corp</v>
      </c>
      <c r="AA109" s="27">
        <f>_xll.BDP(Z109,"bid")</f>
        <v>68.522000000000006</v>
      </c>
      <c r="AB109" s="27">
        <f>_xll.BDP(Z109,"ask")</f>
        <v>69.260999999999996</v>
      </c>
      <c r="AC109" s="27">
        <f t="shared" si="93"/>
        <v>68.891500000000008</v>
      </c>
      <c r="AD109" s="114">
        <f t="shared" si="94"/>
        <v>3.818499999999986</v>
      </c>
      <c r="AE109" s="27" t="str">
        <f t="shared" si="96"/>
        <v>0</v>
      </c>
      <c r="AF109" s="152">
        <f t="shared" si="97"/>
        <v>0</v>
      </c>
      <c r="AM109" s="27" t="s">
        <v>547</v>
      </c>
      <c r="AN109" s="27">
        <v>-1.3959999999999999</v>
      </c>
    </row>
    <row r="110" spans="1:40" x14ac:dyDescent="0.2">
      <c r="A110" s="66" t="s">
        <v>218</v>
      </c>
      <c r="B110" s="83">
        <v>48274</v>
      </c>
      <c r="C110" s="131">
        <f>_xll.BDP(A110&amp;" Corp", "days to mty")</f>
        <v>5758</v>
      </c>
      <c r="D110" s="41" t="s">
        <v>219</v>
      </c>
      <c r="E110" s="41" t="s">
        <v>220</v>
      </c>
      <c r="F110" s="130">
        <v>72.569999999999993</v>
      </c>
      <c r="G110" s="130">
        <v>72.63</v>
      </c>
      <c r="H110" s="130">
        <f t="shared" si="76"/>
        <v>72.69</v>
      </c>
      <c r="I110" s="26">
        <f>ROUND(_xll.qlBondYieldFromCleanPrice(O110,F110,YieldDayCounter,YieldCompounding,YieldFrequency)*100,3)</f>
        <v>2.0550000000000002</v>
      </c>
      <c r="J110" s="26">
        <f>ROUND(_xll.qlBondYieldFromCleanPrice(P110,G110,YieldDayCounter,YieldCompounding,YieldFrequency)*100,3)</f>
        <v>2.0499999999999998</v>
      </c>
      <c r="K110" s="26">
        <f>ROUND(_xll.qlBondYieldFromCleanPrice(Q110,H110,YieldDayCounter,YieldCompounding,YieldFrequency)*100,3)</f>
        <v>2.044</v>
      </c>
      <c r="L110" s="114">
        <f>_xll.qlBondDurationFromYield(P110,J110,YieldDayCounter,YieldCompounding,YieldFrequency,L$2)</f>
        <v>5.1677520772512917</v>
      </c>
      <c r="M110" s="114">
        <f>_xll.qlBondConvexityFromYield(P110,J110/100,YieldDayCounter,YieldCompounding,YieldFrequency)</f>
        <v>253.6834291789911</v>
      </c>
      <c r="N110" s="115">
        <f>_xll.BDP(A110&amp;" Corp","risk mid")</f>
        <v>11.134746752028235</v>
      </c>
      <c r="O110" s="101" t="str">
        <f>_xll.qlZeroCouponBond(,,"EUR",3,"target",100,$B110,"f",100,,,Trigger)</f>
        <v>obj_008d3#0000</v>
      </c>
      <c r="P110" s="101" t="str">
        <f>_xll.qlZeroCouponBond(,,"EUR",3,"target",100,$B110,"f",100,,,Trigger)</f>
        <v>obj_00992#0000</v>
      </c>
      <c r="Q110" s="101" t="str">
        <f>_xll.qlZeroCouponBond(,,"EUR",3,"target",100,$B110,"f",100,,,Trigger)</f>
        <v>obj_0089a#0000</v>
      </c>
      <c r="R110" s="117">
        <f t="shared" si="86"/>
        <v>72.69</v>
      </c>
      <c r="S110" s="122">
        <f t="shared" ref="S110" si="126">R110</f>
        <v>72.69</v>
      </c>
      <c r="T110" s="138" t="str">
        <f>IF(UPPER(U$1)="ABCD",_xll.RtContribute($E$3,$E110,$R$3:$S$3,$R110:$S110,"SCOPE:SERVER"),"--")</f>
        <v>Success: Insert Ack on DTSIMI2 for STRIP.IT0004976590 at 10:35:59</v>
      </c>
      <c r="U110" s="142" t="str">
        <f t="shared" si="78"/>
        <v>OK</v>
      </c>
      <c r="V110" s="126" t="str">
        <f t="shared" si="116"/>
        <v>EUR.PRICING.XLS_STRIPS.IT0004976590</v>
      </c>
      <c r="W110" s="126" t="str">
        <f>IF(UPPER($X$1)="ABCD",_xll.MKV_PUBLISHRECORD(V110, "XLS_STRIPS"),"--")</f>
        <v>Not connected</v>
      </c>
      <c r="X110" s="127" t="str">
        <f>IF(UPPER(X$1)="ABCD",_xll.MKV_SUPPLYRECORD(V110, "Bid",F110, "Ask",H110, "Id",A110, "Mid",G110, "Name",D110,"DV01",N110,"MidYield",J110,"BidYield",I110,"AskYield",K110),"--")</f>
        <v>Not connected</v>
      </c>
      <c r="Z110" s="27" t="str">
        <f t="shared" si="90"/>
        <v>IT0004976590@rbsm Corp</v>
      </c>
      <c r="AA110" s="27">
        <f>_xll.BDP(Z110,"bid")</f>
        <v>71.572999999999993</v>
      </c>
      <c r="AB110" s="27">
        <f>_xll.BDP(Z110,"ask")</f>
        <v>72.912000000000006</v>
      </c>
      <c r="AC110" s="27">
        <f t="shared" si="93"/>
        <v>72.242500000000007</v>
      </c>
      <c r="AD110" s="114">
        <f t="shared" si="94"/>
        <v>0.38749999999998863</v>
      </c>
      <c r="AE110" s="27">
        <f t="shared" si="96"/>
        <v>0.85499999999999998</v>
      </c>
      <c r="AF110" s="152">
        <f t="shared" si="97"/>
        <v>3313.1249999999031</v>
      </c>
    </row>
    <row r="111" spans="1:40" x14ac:dyDescent="0.2">
      <c r="A111" s="66" t="s">
        <v>79</v>
      </c>
      <c r="B111" s="83">
        <v>48427</v>
      </c>
      <c r="C111" s="131">
        <f>_xll.BDP(A111&amp;" Corp", "days to mty")</f>
        <v>5911</v>
      </c>
      <c r="D111" s="41" t="s">
        <v>459</v>
      </c>
      <c r="E111" s="41" t="s">
        <v>460</v>
      </c>
      <c r="F111" s="130">
        <v>70.56</v>
      </c>
      <c r="G111" s="130">
        <v>70.61</v>
      </c>
      <c r="H111" s="130">
        <f t="shared" si="76"/>
        <v>70.66</v>
      </c>
      <c r="I111" s="26">
        <f>ROUND(_xll.qlBondYieldFromCleanPrice(O111,F111,YieldDayCounter,YieldCompounding,YieldFrequency)*100,3)</f>
        <v>2.1779999999999999</v>
      </c>
      <c r="J111" s="26">
        <f>ROUND(_xll.qlBondYieldFromCleanPrice(P111,G111,YieldDayCounter,YieldCompounding,YieldFrequency)*100,3)</f>
        <v>2.1739999999999999</v>
      </c>
      <c r="K111" s="26">
        <f>ROUND(_xll.qlBondYieldFromCleanPrice(Q111,H111,YieldDayCounter,YieldCompounding,YieldFrequency)*100,3)</f>
        <v>2.169</v>
      </c>
      <c r="L111" s="114">
        <f>_xll.qlBondDurationFromYield(P111,J111,YieldDayCounter,YieldCompounding,YieldFrequency,L$2)</f>
        <v>5.0986326746344091</v>
      </c>
      <c r="M111" s="114">
        <f>_xll.qlBondConvexityFromYield(P111,J111/100,YieldDayCounter,YieldCompounding,YieldFrequency)</f>
        <v>266.36696652553206</v>
      </c>
      <c r="N111" s="115">
        <f>_xll.BDP(A111&amp;" Corp","risk mid")</f>
        <v>10.769265481689416</v>
      </c>
      <c r="O111" s="101" t="str">
        <f>_xll.qlZeroCouponBond(,,"EUR",3,"target",100,$B111,"f",100,,,Trigger)</f>
        <v>obj_00960#0000</v>
      </c>
      <c r="P111" s="101" t="str">
        <f>_xll.qlZeroCouponBond(,,"EUR",3,"target",100,$B111,"f",100,,,Trigger)</f>
        <v>obj_009ba#0000</v>
      </c>
      <c r="Q111" s="101" t="str">
        <f>_xll.qlZeroCouponBond(,,"EUR",3,"target",100,$B111,"f",100,,,Trigger)</f>
        <v>obj_0093f#0000</v>
      </c>
      <c r="R111" s="117">
        <f t="shared" si="86"/>
        <v>70.66</v>
      </c>
      <c r="S111" s="122">
        <f t="shared" ref="S111" si="127">R111</f>
        <v>70.66</v>
      </c>
      <c r="T111" s="138" t="str">
        <f>IF(UPPER(U$1)="ABCD",_xll.RtContribute($E$3,$E111,$R$3:$S$3,$R111:$S111,"SCOPE:SERVER"),"--")</f>
        <v>Success: Insert Ack on DTSIMI2 for STRIP.IT0003269039 at 10:35:53</v>
      </c>
      <c r="U111" s="142" t="str">
        <f t="shared" si="78"/>
        <v>OK</v>
      </c>
      <c r="V111" s="126" t="str">
        <f t="shared" si="116"/>
        <v>EUR.PRICING.XLS_STRIPS.IT0003269039</v>
      </c>
      <c r="W111" s="126" t="str">
        <f>IF(UPPER($X$1)="ABCD",_xll.MKV_PUBLISHRECORD(V111, "XLS_STRIPS"),"--")</f>
        <v>Not connected</v>
      </c>
      <c r="X111" s="127" t="str">
        <f>IF(UPPER(X$1)="ABCD",_xll.MKV_SUPPLYRECORD(V111, "Bid",F111, "Ask",H111, "Id",A111, "Mid",G111, "Name",D111,"DV01",N111,"MidYield",J111,"BidYield",I111,"AskYield",K111),"--")</f>
        <v>Not connected</v>
      </c>
      <c r="Z111" s="27" t="str">
        <f t="shared" si="90"/>
        <v>IT0003269039@rbsm Corp</v>
      </c>
      <c r="AA111" s="27">
        <f>_xll.BDP(Z111,"bid")</f>
        <v>67.296000000000006</v>
      </c>
      <c r="AB111" s="27">
        <f>_xll.BDP(Z111,"ask")</f>
        <v>68.045000000000002</v>
      </c>
      <c r="AC111" s="27">
        <f t="shared" si="93"/>
        <v>67.670500000000004</v>
      </c>
      <c r="AD111" s="114">
        <f t="shared" si="94"/>
        <v>2.9394999999999953</v>
      </c>
      <c r="AE111" s="27" t="str">
        <f t="shared" si="96"/>
        <v>0</v>
      </c>
      <c r="AF111" s="152">
        <f t="shared" si="97"/>
        <v>0</v>
      </c>
    </row>
    <row r="112" spans="1:40" x14ac:dyDescent="0.2">
      <c r="A112" s="66" t="s">
        <v>221</v>
      </c>
      <c r="B112" s="83">
        <v>48458</v>
      </c>
      <c r="C112" s="131">
        <f>_xll.BDP(A112&amp;" Corp", "days to mty")</f>
        <v>5942</v>
      </c>
      <c r="D112" s="41" t="s">
        <v>222</v>
      </c>
      <c r="E112" s="41" t="s">
        <v>223</v>
      </c>
      <c r="F112" s="130">
        <v>69.95</v>
      </c>
      <c r="G112" s="130">
        <v>70</v>
      </c>
      <c r="H112" s="130">
        <f t="shared" si="76"/>
        <v>70.05</v>
      </c>
      <c r="I112" s="26">
        <f>ROUND(_xll.qlBondYieldFromCleanPrice(O112,F112,YieldDayCounter,YieldCompounding,YieldFrequency)*100,3)</f>
        <v>2.222</v>
      </c>
      <c r="J112" s="26">
        <f>ROUND(_xll.qlBondYieldFromCleanPrice(P112,G112,YieldDayCounter,YieldCompounding,YieldFrequency)*100,3)</f>
        <v>2.2170000000000001</v>
      </c>
      <c r="K112" s="26">
        <f>ROUND(_xll.qlBondYieldFromCleanPrice(Q112,H112,YieldDayCounter,YieldCompounding,YieldFrequency)*100,3)</f>
        <v>2.2130000000000001</v>
      </c>
      <c r="L112" s="114">
        <f>_xll.qlBondDurationFromYield(P112,J112,YieldDayCounter,YieldCompounding,YieldFrequency,L$2)</f>
        <v>5.0559612441418613</v>
      </c>
      <c r="M112" s="114">
        <f>_xll.qlBondConvexityFromYield(P112,J112/100,YieldDayCounter,YieldCompounding,YieldFrequency)</f>
        <v>268.7669147885947</v>
      </c>
      <c r="N112" s="115">
        <f>_xll.BDP(A112&amp;" Corp","risk mid")</f>
        <v>10.921008222307904</v>
      </c>
      <c r="O112" s="101" t="str">
        <f>_xll.qlZeroCouponBond(,,"EUR",3,"target",100,$B112,"f",100,,,Trigger)</f>
        <v>obj_0088f#0000</v>
      </c>
      <c r="P112" s="101" t="str">
        <f>_xll.qlZeroCouponBond(,,"EUR",3,"target",100,$B112,"f",100,,,Trigger)</f>
        <v>obj_00976#0000</v>
      </c>
      <c r="Q112" s="101" t="str">
        <f>_xll.qlZeroCouponBond(,,"EUR",3,"target",100,$B112,"f",100,,,Trigger)</f>
        <v>obj_009ec#0000</v>
      </c>
      <c r="R112" s="117">
        <f t="shared" si="86"/>
        <v>70.05</v>
      </c>
      <c r="S112" s="122">
        <f t="shared" ref="S112" si="128">R112</f>
        <v>70.05</v>
      </c>
      <c r="T112" s="138" t="str">
        <f>IF(UPPER(U$1)="ABCD",_xll.RtContribute($E$3,$E112,$R$3:$S$3,$R112:$S112,"SCOPE:SERVER"),"--")</f>
        <v>Success: Insert Ack on DTSIMI2 for STRIP.IT0004976608 at 10:36:50</v>
      </c>
      <c r="U112" s="142" t="str">
        <f t="shared" si="78"/>
        <v>OK</v>
      </c>
      <c r="V112" s="126" t="str">
        <f t="shared" si="116"/>
        <v>EUR.PRICING.XLS_STRIPS.IT0004976608</v>
      </c>
      <c r="W112" s="126" t="str">
        <f>IF(UPPER($X$1)="ABCD",_xll.MKV_PUBLISHRECORD(V112, "XLS_STRIPS"),"--")</f>
        <v>Not connected</v>
      </c>
      <c r="X112" s="127" t="str">
        <f>IF(UPPER(X$1)="ABCD",_xll.MKV_SUPPLYRECORD(V112, "Bid",F112, "Ask",H112, "Id",A112, "Mid",G112, "Name",D112,"DV01",N112,"MidYield",J112,"BidYield",I112,"AskYield",K112),"--")</f>
        <v>Not connected</v>
      </c>
      <c r="Z112" s="27" t="str">
        <f t="shared" si="90"/>
        <v>IT0004976608@rbsm Corp</v>
      </c>
      <c r="AA112" s="27">
        <f>_xll.BDP(Z112,"bid")</f>
        <v>68.099999999999994</v>
      </c>
      <c r="AB112" s="27">
        <f>_xll.BDP(Z112,"ask")</f>
        <v>70.301000000000002</v>
      </c>
      <c r="AC112" s="27">
        <f t="shared" si="93"/>
        <v>69.200500000000005</v>
      </c>
      <c r="AD112" s="114">
        <f t="shared" si="94"/>
        <v>0.79949999999999477</v>
      </c>
      <c r="AE112" s="27">
        <f t="shared" si="96"/>
        <v>0.85499999999999998</v>
      </c>
      <c r="AF112" s="152">
        <f t="shared" si="97"/>
        <v>6835.7249999999549</v>
      </c>
    </row>
    <row r="113" spans="1:32" x14ac:dyDescent="0.2">
      <c r="A113" s="66" t="s">
        <v>461</v>
      </c>
      <c r="B113" s="83">
        <v>48611</v>
      </c>
      <c r="C113" s="131">
        <f>_xll.BDP(A113&amp;" Corp", "days to mty")</f>
        <v>6095</v>
      </c>
      <c r="D113" s="41" t="s">
        <v>462</v>
      </c>
      <c r="E113" s="41" t="s">
        <v>463</v>
      </c>
      <c r="F113" s="130">
        <v>67.010000000000005</v>
      </c>
      <c r="G113" s="130">
        <v>67.06</v>
      </c>
      <c r="H113" s="130">
        <f t="shared" si="76"/>
        <v>67.11</v>
      </c>
      <c r="I113" s="26">
        <f>ROUND(_xll.qlBondYieldFromCleanPrice(O113,F113,YieldDayCounter,YieldCompounding,YieldFrequency)*100,3)</f>
        <v>2.4289999999999998</v>
      </c>
      <c r="J113" s="26">
        <f>ROUND(_xll.qlBondYieldFromCleanPrice(P113,G113,YieldDayCounter,YieldCompounding,YieldFrequency)*100,3)</f>
        <v>2.4239999999999999</v>
      </c>
      <c r="K113" s="26">
        <f>ROUND(_xll.qlBondYieldFromCleanPrice(Q113,H113,YieldDayCounter,YieldCompounding,YieldFrequency)*100,3)</f>
        <v>2.419</v>
      </c>
      <c r="L113" s="114">
        <f>_xll.qlBondDurationFromYield(P113,J113,YieldDayCounter,YieldCompounding,YieldFrequency,L$2)</f>
        <v>4.8723890506102858</v>
      </c>
      <c r="M113" s="114">
        <f>_xll.qlBondConvexityFromYield(P113,J113/100,YieldDayCounter,YieldCompounding,YieldFrequency)</f>
        <v>281.20929577707705</v>
      </c>
      <c r="N113" s="115">
        <f>_xll.BDP(A113&amp;" Corp","risk mid")</f>
        <v>11.029603356080031</v>
      </c>
      <c r="O113" s="101" t="str">
        <f>_xll.qlZeroCouponBond(,,"EUR",3,"target",100,$B113,"f",100,,,Trigger)</f>
        <v>obj_008fb#0000</v>
      </c>
      <c r="P113" s="101" t="str">
        <f>_xll.qlZeroCouponBond(,,"EUR",3,"target",100,$B113,"f",100,,,Trigger)</f>
        <v>obj_009cd#0000</v>
      </c>
      <c r="Q113" s="101" t="str">
        <f>_xll.qlZeroCouponBond(,,"EUR",3,"target",100,$B113,"f",100,,,Trigger)</f>
        <v>obj_0093e#0000</v>
      </c>
      <c r="R113" s="117">
        <f t="shared" si="86"/>
        <v>67.11</v>
      </c>
      <c r="S113" s="122">
        <f t="shared" ref="S113" si="129">R113</f>
        <v>67.11</v>
      </c>
      <c r="T113" s="138" t="str">
        <f>IF(UPPER(U$1)="ABCD",_xll.RtContribute($E$3,$E113,$R$3:$S$3,$R113:$S113,"SCOPE:SERVER"),"--")</f>
        <v>Success: Insert Ack on DTSIMI2 for STRIP.IT0004848534 at 10:35:29</v>
      </c>
      <c r="U113" s="142" t="str">
        <f t="shared" si="78"/>
        <v>OK</v>
      </c>
      <c r="V113" s="126" t="str">
        <f t="shared" si="116"/>
        <v>EUR.PRICING.XLS_STRIPS.IT0004848534</v>
      </c>
      <c r="W113" s="126" t="str">
        <f>IF(UPPER($X$1)="ABCD",_xll.MKV_PUBLISHRECORD(V113, "XLS_STRIPS"),"--")</f>
        <v>Not connected</v>
      </c>
      <c r="X113" s="127" t="str">
        <f>IF(UPPER(X$1)="ABCD",_xll.MKV_SUPPLYRECORD(V113, "Bid",F113, "Ask",H113, "Id",A113, "Mid",G113, "Name",D113,"DV01",N113,"MidYield",J113,"BidYield",I113,"AskYield",K113),"--")</f>
        <v>Not connected</v>
      </c>
      <c r="Z113" s="27" t="str">
        <f t="shared" si="90"/>
        <v>IT0004848534@rbsm Corp</v>
      </c>
      <c r="AA113" s="27">
        <f>_xll.BDP(Z113,"bid")</f>
        <v>67.540999999999997</v>
      </c>
      <c r="AB113" s="27">
        <f>_xll.BDP(Z113,"ask")</f>
        <v>67.872</v>
      </c>
      <c r="AC113" s="27">
        <f t="shared" si="93"/>
        <v>67.706500000000005</v>
      </c>
      <c r="AD113" s="114">
        <f t="shared" si="94"/>
        <v>-0.64650000000000318</v>
      </c>
      <c r="AE113" s="27" t="str">
        <f t="shared" si="96"/>
        <v>0</v>
      </c>
      <c r="AF113" s="152">
        <f t="shared" si="97"/>
        <v>0</v>
      </c>
    </row>
    <row r="114" spans="1:32" x14ac:dyDescent="0.2">
      <c r="A114" s="66" t="s">
        <v>224</v>
      </c>
      <c r="B114" s="83">
        <v>48639</v>
      </c>
      <c r="C114" s="131">
        <f>_xll.BDP(A114&amp;" Corp", "days to mty")</f>
        <v>6123</v>
      </c>
      <c r="D114" s="41" t="s">
        <v>225</v>
      </c>
      <c r="E114" s="41" t="s">
        <v>226</v>
      </c>
      <c r="F114" s="130">
        <v>66.58</v>
      </c>
      <c r="G114" s="130">
        <v>66.63</v>
      </c>
      <c r="H114" s="130">
        <f t="shared" si="76"/>
        <v>66.680000000000007</v>
      </c>
      <c r="I114" s="26">
        <f>ROUND(_xll.qlBondYieldFromCleanPrice(O114,F114,YieldDayCounter,YieldCompounding,YieldFrequency)*100,3)</f>
        <v>2.456</v>
      </c>
      <c r="J114" s="26">
        <f>ROUND(_xll.qlBondYieldFromCleanPrice(P114,G114,YieldDayCounter,YieldCompounding,YieldFrequency)*100,3)</f>
        <v>2.452</v>
      </c>
      <c r="K114" s="26">
        <f>ROUND(_xll.qlBondYieldFromCleanPrice(Q114,H114,YieldDayCounter,YieldCompounding,YieldFrequency)*100,3)</f>
        <v>2.4470000000000001</v>
      </c>
      <c r="L114" s="114">
        <f>_xll.qlBondDurationFromYield(P114,J114,YieldDayCounter,YieldCompounding,YieldFrequency,L$2)</f>
        <v>4.8556326290893512</v>
      </c>
      <c r="M114" s="114">
        <f>_xll.qlBondConvexityFromYield(P114,J114/100,YieldDayCounter,YieldCompounding,YieldFrequency)</f>
        <v>283.63438790816286</v>
      </c>
      <c r="N114" s="115">
        <f>_xll.BDP(A114&amp;" Corp","risk mid")</f>
        <v>10.97652891334846</v>
      </c>
      <c r="O114" s="101" t="str">
        <f>_xll.qlZeroCouponBond(,,"EUR",3,"target",100,$B114,"f",100,,,Trigger)</f>
        <v>obj_00961#0000</v>
      </c>
      <c r="P114" s="101" t="str">
        <f>_xll.qlZeroCouponBond(,,"EUR",3,"target",100,$B114,"f",100,,,Trigger)</f>
        <v>obj_00882#0000</v>
      </c>
      <c r="Q114" s="101" t="str">
        <f>_xll.qlZeroCouponBond(,,"EUR",3,"target",100,$B114,"f",100,,,Trigger)</f>
        <v>obj_00986#0000</v>
      </c>
      <c r="R114" s="117">
        <f t="shared" si="86"/>
        <v>66.680000000000007</v>
      </c>
      <c r="S114" s="122">
        <f t="shared" ref="S114" si="130">R114</f>
        <v>66.680000000000007</v>
      </c>
      <c r="T114" s="138" t="str">
        <f>IF(UPPER(U$1)="ABCD",_xll.RtContribute($E$3,$E114,$R$3:$S$3,$R114:$S114,"SCOPE:SERVER"),"--")</f>
        <v>Success: Insert Ack on DTSIMI2 for STRIP.IT0004976616 at 10:35:29</v>
      </c>
      <c r="U114" s="142" t="str">
        <f t="shared" si="78"/>
        <v>OK</v>
      </c>
      <c r="V114" s="126" t="str">
        <f t="shared" si="116"/>
        <v>EUR.PRICING.XLS_STRIPS.IT0004976616</v>
      </c>
      <c r="W114" s="126" t="str">
        <f>IF(UPPER($X$1)="ABCD",_xll.MKV_PUBLISHRECORD(V114, "XLS_STRIPS"),"--")</f>
        <v>Not connected</v>
      </c>
      <c r="X114" s="127" t="str">
        <f>IF(UPPER(X$1)="ABCD",_xll.MKV_SUPPLYRECORD(V114, "Bid",F114, "Ask",H114, "Id",A114, "Mid",G114, "Name",D114,"DV01",N114,"MidYield",J114,"BidYield",I114,"AskYield",K114),"--")</f>
        <v>Not connected</v>
      </c>
      <c r="Z114" s="27" t="str">
        <f t="shared" si="90"/>
        <v>IT0004976616@rbsm Corp</v>
      </c>
      <c r="AA114" s="27">
        <f>_xll.BDP(Z114,"bid")</f>
        <v>66.807000000000002</v>
      </c>
      <c r="AB114" s="27">
        <f>_xll.BDP(Z114,"ask")</f>
        <v>69.031999999999996</v>
      </c>
      <c r="AC114" s="27">
        <f t="shared" si="93"/>
        <v>67.919499999999999</v>
      </c>
      <c r="AD114" s="114">
        <f t="shared" si="94"/>
        <v>-1.2895000000000039</v>
      </c>
      <c r="AE114" s="27">
        <f t="shared" si="96"/>
        <v>0.85499999999999998</v>
      </c>
      <c r="AF114" s="152">
        <f t="shared" si="97"/>
        <v>-11025.225000000031</v>
      </c>
    </row>
    <row r="115" spans="1:32" x14ac:dyDescent="0.2">
      <c r="A115" s="66" t="s">
        <v>80</v>
      </c>
      <c r="B115" s="83">
        <v>48792</v>
      </c>
      <c r="C115" s="131">
        <f>_xll.BDP(A115&amp;" Corp", "days to mty")</f>
        <v>6276</v>
      </c>
      <c r="D115" s="41" t="s">
        <v>464</v>
      </c>
      <c r="E115" s="41" t="s">
        <v>465</v>
      </c>
      <c r="F115" s="130">
        <v>64.98</v>
      </c>
      <c r="G115" s="130">
        <v>65.03</v>
      </c>
      <c r="H115" s="130">
        <f t="shared" si="76"/>
        <v>65.08</v>
      </c>
      <c r="I115" s="26">
        <f>ROUND(_xll.qlBondYieldFromCleanPrice(O115,F115,YieldDayCounter,YieldCompounding,YieldFrequency)*100,3)</f>
        <v>2.5409999999999999</v>
      </c>
      <c r="J115" s="26">
        <f>ROUND(_xll.qlBondYieldFromCleanPrice(P115,G115,YieldDayCounter,YieldCompounding,YieldFrequency)*100,3)</f>
        <v>2.536</v>
      </c>
      <c r="K115" s="26">
        <f>ROUND(_xll.qlBondYieldFromCleanPrice(Q115,H115,YieldDayCounter,YieldCompounding,YieldFrequency)*100,3)</f>
        <v>2.532</v>
      </c>
      <c r="L115" s="114">
        <f>_xll.qlBondDurationFromYield(P115,J115,YieldDayCounter,YieldCompounding,YieldFrequency,L$2)</f>
        <v>4.8586900081596323</v>
      </c>
      <c r="M115" s="114">
        <f>_xll.qlBondConvexityFromYield(P115,J115/100,YieldDayCounter,YieldCompounding,YieldFrequency)</f>
        <v>297.08478902903397</v>
      </c>
      <c r="N115" s="115">
        <f>_xll.BDP(A115&amp;" Corp","risk mid")</f>
        <v>11.01330401807914</v>
      </c>
      <c r="O115" s="101" t="str">
        <f>_xll.qlZeroCouponBond(,,"EUR",3,"target",100,$B115,"f",100,,,Trigger)</f>
        <v>obj_0089e#0000</v>
      </c>
      <c r="P115" s="101" t="str">
        <f>_xll.qlZeroCouponBond(,,"EUR",3,"target",100,$B115,"f",100,,,Trigger)</f>
        <v>obj_008a1#0000</v>
      </c>
      <c r="Q115" s="101" t="str">
        <f>_xll.qlZeroCouponBond(,,"EUR",3,"target",100,$B115,"f",100,,,Trigger)</f>
        <v>obj_0089b#0000</v>
      </c>
      <c r="R115" s="117">
        <f t="shared" si="86"/>
        <v>65.08</v>
      </c>
      <c r="S115" s="122">
        <f t="shared" ref="S115" si="131">R115</f>
        <v>65.08</v>
      </c>
      <c r="T115" s="138" t="str">
        <f>IF(UPPER(U$1)="ABCD",_xll.RtContribute($E$3,$E115,$R$3:$S$3,$R115:$S115,"SCOPE:SERVER"),"--")</f>
        <v>Success: Insert Ack on DTSIMI2 for STRIP.IT0003540389 at 10:35:29</v>
      </c>
      <c r="U115" s="142" t="str">
        <f t="shared" si="78"/>
        <v>OK</v>
      </c>
      <c r="V115" s="126" t="str">
        <f t="shared" si="116"/>
        <v>EUR.PRICING.XLS_STRIPS.IT0003540389</v>
      </c>
      <c r="W115" s="126" t="str">
        <f>IF(UPPER($X$1)="ABCD",_xll.MKV_PUBLISHRECORD(V115, "XLS_STRIPS"),"--")</f>
        <v>Not connected</v>
      </c>
      <c r="X115" s="127" t="str">
        <f>IF(UPPER(X$1)="ABCD",_xll.MKV_SUPPLYRECORD(V115, "Bid",F115, "Ask",H115, "Id",A115, "Mid",G115, "Name",D115,"DV01",N115,"MidYield",J115,"BidYield",I115,"AskYield",K115),"--")</f>
        <v>Not connected</v>
      </c>
      <c r="Z115" s="27" t="str">
        <f t="shared" si="90"/>
        <v>IT0003540389@rbsm Corp</v>
      </c>
      <c r="AA115" s="27">
        <f>_xll.BDP(Z115,"bid")</f>
        <v>64.820999999999998</v>
      </c>
      <c r="AB115" s="27">
        <f>_xll.BDP(Z115,"ask")</f>
        <v>66.361000000000004</v>
      </c>
      <c r="AC115" s="27">
        <f t="shared" si="93"/>
        <v>65.591000000000008</v>
      </c>
      <c r="AD115" s="114">
        <f t="shared" si="94"/>
        <v>-0.56100000000000705</v>
      </c>
      <c r="AE115" s="27" t="str">
        <f t="shared" si="96"/>
        <v>0</v>
      </c>
      <c r="AF115" s="152">
        <f t="shared" si="97"/>
        <v>0</v>
      </c>
    </row>
    <row r="116" spans="1:32" x14ac:dyDescent="0.2">
      <c r="A116" s="66" t="s">
        <v>227</v>
      </c>
      <c r="B116" s="83">
        <v>48823</v>
      </c>
      <c r="C116" s="131">
        <f>_xll.BDP(A116&amp;" Corp", "days to mty")</f>
        <v>6307</v>
      </c>
      <c r="D116" s="41" t="s">
        <v>228</v>
      </c>
      <c r="E116" s="41" t="s">
        <v>229</v>
      </c>
      <c r="F116" s="130">
        <v>64.78</v>
      </c>
      <c r="G116" s="130">
        <v>64.83</v>
      </c>
      <c r="H116" s="130">
        <f t="shared" si="76"/>
        <v>64.88</v>
      </c>
      <c r="I116" s="26">
        <f>ROUND(_xll.qlBondYieldFromCleanPrice(O116,F116,YieldDayCounter,YieldCompounding,YieldFrequency)*100,3)</f>
        <v>2.5470000000000002</v>
      </c>
      <c r="J116" s="26">
        <f>ROUND(_xll.qlBondYieldFromCleanPrice(P116,G116,YieldDayCounter,YieldCompounding,YieldFrequency)*100,3)</f>
        <v>2.5419999999999998</v>
      </c>
      <c r="K116" s="26">
        <f>ROUND(_xll.qlBondYieldFromCleanPrice(Q116,H116,YieldDayCounter,YieldCompounding,YieldFrequency)*100,3)</f>
        <v>2.5369999999999999</v>
      </c>
      <c r="L116" s="114">
        <f>_xll.qlBondDurationFromYield(P116,J116,YieldDayCounter,YieldCompounding,YieldFrequency,L$2)</f>
        <v>4.8743724795043395</v>
      </c>
      <c r="M116" s="114">
        <f>_xll.qlBondConvexityFromYield(P116,J116/100,YieldDayCounter,YieldCompounding,YieldFrequency)</f>
        <v>299.90522257309425</v>
      </c>
      <c r="N116" s="115">
        <f>_xll.BDP(A116&amp;" Corp","risk mid")</f>
        <v>11.091100756598848</v>
      </c>
      <c r="O116" s="101" t="str">
        <f>_xll.qlZeroCouponBond(,,"EUR",3,"target",100,$B116,"f",100,,,Trigger)</f>
        <v>obj_0084b#0000</v>
      </c>
      <c r="P116" s="101" t="str">
        <f>_xll.qlZeroCouponBond(,,"EUR",3,"target",100,$B116,"f",100,,,Trigger)</f>
        <v>obj_0089c#0000</v>
      </c>
      <c r="Q116" s="101" t="str">
        <f>_xll.qlZeroCouponBond(,,"EUR",3,"target",100,$B116,"f",100,,,Trigger)</f>
        <v>obj_00902#0000</v>
      </c>
      <c r="R116" s="117">
        <f t="shared" si="86"/>
        <v>64.88</v>
      </c>
      <c r="S116" s="122">
        <f t="shared" ref="S116" si="132">R116</f>
        <v>64.88</v>
      </c>
      <c r="T116" s="138" t="str">
        <f>IF(UPPER(U$1)="ABCD",_xll.RtContribute($E$3,$E116,$R$3:$S$3,$R116:$S116,"SCOPE:SERVER"),"--")</f>
        <v>Success: Insert Ack on DTSIMI2 for STRIP.IT0004976624 at 10:35:29</v>
      </c>
      <c r="U116" s="142" t="str">
        <f t="shared" si="78"/>
        <v>OK</v>
      </c>
      <c r="V116" s="126" t="str">
        <f t="shared" si="116"/>
        <v>EUR.PRICING.XLS_STRIPS.IT0004976624</v>
      </c>
      <c r="W116" s="126" t="str">
        <f>IF(UPPER($X$1)="ABCD",_xll.MKV_PUBLISHRECORD(V116, "XLS_STRIPS"),"--")</f>
        <v>Not connected</v>
      </c>
      <c r="X116" s="127" t="str">
        <f>IF(UPPER(X$1)="ABCD",_xll.MKV_SUPPLYRECORD(V116, "Bid",F116, "Ask",H116, "Id",A116, "Mid",G116, "Name",D116,"DV01",N116,"MidYield",J116,"BidYield",I116,"AskYield",K116),"--")</f>
        <v>Not connected</v>
      </c>
      <c r="Z116" s="27" t="str">
        <f t="shared" si="90"/>
        <v>IT0004976624@rbsm Corp</v>
      </c>
      <c r="AA116" s="27">
        <f>_xll.BDP(Z116,"bid")</f>
        <v>65.498000000000005</v>
      </c>
      <c r="AB116" s="27">
        <f>_xll.BDP(Z116,"ask")</f>
        <v>67.745000000000005</v>
      </c>
      <c r="AC116" s="27">
        <f t="shared" si="93"/>
        <v>66.621499999999997</v>
      </c>
      <c r="AD116" s="114">
        <f t="shared" si="94"/>
        <v>-1.7914999999999992</v>
      </c>
      <c r="AE116" s="27">
        <f t="shared" si="96"/>
        <v>0.85499999999999998</v>
      </c>
      <c r="AF116" s="152">
        <f t="shared" si="97"/>
        <v>-15317.324999999993</v>
      </c>
    </row>
    <row r="117" spans="1:32" x14ac:dyDescent="0.2">
      <c r="A117" s="66" t="s">
        <v>81</v>
      </c>
      <c r="B117" s="83">
        <v>48976</v>
      </c>
      <c r="C117" s="131">
        <f>_xll.BDP(A117&amp;" Corp", "days to mty")</f>
        <v>6460</v>
      </c>
      <c r="D117" s="41" t="s">
        <v>466</v>
      </c>
      <c r="E117" s="41" t="s">
        <v>467</v>
      </c>
      <c r="F117" s="130">
        <v>64.17</v>
      </c>
      <c r="G117" s="130">
        <v>64.22</v>
      </c>
      <c r="H117" s="130">
        <f t="shared" si="76"/>
        <v>64.27</v>
      </c>
      <c r="I117" s="26">
        <f>ROUND(_xll.qlBondYieldFromCleanPrice(O117,F117,YieldDayCounter,YieldCompounding,YieldFrequency)*100,3)</f>
        <v>2.5409999999999999</v>
      </c>
      <c r="J117" s="26">
        <f>ROUND(_xll.qlBondYieldFromCleanPrice(P117,G117,YieldDayCounter,YieldCompounding,YieldFrequency)*100,3)</f>
        <v>2.536</v>
      </c>
      <c r="K117" s="26">
        <f>ROUND(_xll.qlBondYieldFromCleanPrice(Q117,H117,YieldDayCounter,YieldCompounding,YieldFrequency)*100,3)</f>
        <v>2.532</v>
      </c>
      <c r="L117" s="114">
        <f>_xll.qlBondDurationFromYield(P117,J117,YieldDayCounter,YieldCompounding,YieldFrequency,L$2)</f>
        <v>5.0008654155230818</v>
      </c>
      <c r="M117" s="114">
        <f>_xll.qlBondConvexityFromYield(P117,J117/100,YieldDayCounter,YieldCompounding,YieldFrequency)</f>
        <v>314.23365118741867</v>
      </c>
      <c r="N117" s="115">
        <f>_xll.BDP(A117&amp;" Corp","risk mid")</f>
        <v>11.078121117141393</v>
      </c>
      <c r="O117" s="101" t="str">
        <f>_xll.qlZeroCouponBond(,,"EUR",3,"target",100,$B117,"f",100,,,Trigger)</f>
        <v>obj_0095d#0000</v>
      </c>
      <c r="P117" s="101" t="str">
        <f>_xll.qlZeroCouponBond(,,"EUR",3,"target",100,$B117,"f",100,,,Trigger)</f>
        <v>obj_0091f#0000</v>
      </c>
      <c r="Q117" s="101" t="str">
        <f>_xll.qlZeroCouponBond(,,"EUR",3,"target",100,$B117,"f",100,,,Trigger)</f>
        <v>obj_009ca#0000</v>
      </c>
      <c r="R117" s="117">
        <f t="shared" si="86"/>
        <v>64.27</v>
      </c>
      <c r="S117" s="122">
        <f t="shared" ref="S117" si="133">R117</f>
        <v>64.27</v>
      </c>
      <c r="T117" s="138" t="str">
        <f>IF(UPPER(U$1)="ABCD",_xll.RtContribute($E$3,$E117,$R$3:$S$3,$R117:$S117,"SCOPE:SERVER"),"--")</f>
        <v>Success: Insert Ack on DTSIMI2 for STRIP.IT0003540397 at 10:35:58</v>
      </c>
      <c r="U117" s="142" t="str">
        <f t="shared" si="78"/>
        <v>OK</v>
      </c>
      <c r="V117" s="126" t="str">
        <f t="shared" si="116"/>
        <v>EUR.PRICING.XLS_STRIPS.IT0003540397</v>
      </c>
      <c r="W117" s="126" t="str">
        <f>IF(UPPER($X$1)="ABCD",_xll.MKV_PUBLISHRECORD(V117, "XLS_STRIPS"),"--")</f>
        <v>Not connected</v>
      </c>
      <c r="X117" s="127" t="str">
        <f>IF(UPPER(X$1)="ABCD",_xll.MKV_SUPPLYRECORD(V117, "Bid",F117, "Ask",H117, "Id",A117, "Mid",G117, "Name",D117,"DV01",N117,"MidYield",J117,"BidYield",I117,"AskYield",K117),"--")</f>
        <v>Not connected</v>
      </c>
      <c r="Z117" s="27" t="str">
        <f t="shared" si="90"/>
        <v>IT0003540397@rbsm Corp</v>
      </c>
      <c r="AA117" s="27">
        <f>_xll.BDP(Z117,"bid")</f>
        <v>63.677999999999997</v>
      </c>
      <c r="AB117" s="27">
        <f>_xll.BDP(Z117,"ask")</f>
        <v>64.786000000000001</v>
      </c>
      <c r="AC117" s="27">
        <f t="shared" si="93"/>
        <v>64.231999999999999</v>
      </c>
      <c r="AD117" s="114">
        <f t="shared" si="94"/>
        <v>-1.2000000000000455E-2</v>
      </c>
      <c r="AE117" s="27" t="str">
        <f t="shared" si="96"/>
        <v>0</v>
      </c>
      <c r="AF117" s="152">
        <f t="shared" si="97"/>
        <v>0</v>
      </c>
    </row>
    <row r="118" spans="1:32" x14ac:dyDescent="0.2">
      <c r="A118" s="66" t="s">
        <v>230</v>
      </c>
      <c r="B118" s="83">
        <v>49004</v>
      </c>
      <c r="C118" s="131">
        <f>_xll.BDP(A118&amp;" Corp", "days to mty")</f>
        <v>6488</v>
      </c>
      <c r="D118" s="41" t="s">
        <v>231</v>
      </c>
      <c r="E118" s="41" t="s">
        <v>232</v>
      </c>
      <c r="F118" s="130">
        <v>64.099999999999994</v>
      </c>
      <c r="G118" s="130">
        <v>64.150000000000006</v>
      </c>
      <c r="H118" s="130">
        <f t="shared" si="76"/>
        <v>64.2</v>
      </c>
      <c r="I118" s="26">
        <f>ROUND(_xll.qlBondYieldFromCleanPrice(O118,F118,YieldDayCounter,YieldCompounding,YieldFrequency)*100,3)</f>
        <v>2.5350000000000001</v>
      </c>
      <c r="J118" s="26">
        <f>ROUND(_xll.qlBondYieldFromCleanPrice(P118,G118,YieldDayCounter,YieldCompounding,YieldFrequency)*100,3)</f>
        <v>2.5310000000000001</v>
      </c>
      <c r="K118" s="26">
        <f>ROUND(_xll.qlBondYieldFromCleanPrice(Q118,H118,YieldDayCounter,YieldCompounding,YieldFrequency)*100,3)</f>
        <v>2.5259999999999998</v>
      </c>
      <c r="L118" s="114">
        <f>_xll.qlBondDurationFromYield(P118,J118,YieldDayCounter,YieldCompounding,YieldFrequency,L$2)</f>
        <v>5.0302021624515536</v>
      </c>
      <c r="M118" s="114">
        <f>_xll.qlBondConvexityFromYield(P118,J118/100,YieldDayCounter,YieldCompounding,YieldFrequency)</f>
        <v>316.98861045031413</v>
      </c>
      <c r="N118" s="115">
        <f>_xll.BDP(A118&amp;" Corp","risk mid")</f>
        <v>11.195187519700056</v>
      </c>
      <c r="O118" s="101" t="str">
        <f>_xll.qlZeroCouponBond(,,"EUR",3,"target",100,$B118,"f",100,,,Trigger)</f>
        <v>obj_008b1#0000</v>
      </c>
      <c r="P118" s="101" t="str">
        <f>_xll.qlZeroCouponBond(,,"EUR",3,"target",100,$B118,"f",100,,,Trigger)</f>
        <v>obj_00876#0000</v>
      </c>
      <c r="Q118" s="101" t="str">
        <f>_xll.qlZeroCouponBond(,,"EUR",3,"target",100,$B118,"f",100,,,Trigger)</f>
        <v>obj_008be#0000</v>
      </c>
      <c r="R118" s="117">
        <f t="shared" si="86"/>
        <v>64.2</v>
      </c>
      <c r="S118" s="122">
        <f t="shared" ref="S118" si="134">R118</f>
        <v>64.2</v>
      </c>
      <c r="T118" s="138" t="str">
        <f>IF(UPPER(U$1)="ABCD",_xll.RtContribute($E$3,$E118,$R$3:$S$3,$R118:$S118,"SCOPE:SERVER"),"--")</f>
        <v>Success: Insert Ack on DTSIMI2 for STRIP.IT0004976632 at 10:36:50</v>
      </c>
      <c r="U118" s="142" t="str">
        <f t="shared" si="78"/>
        <v>OK</v>
      </c>
      <c r="V118" s="126" t="str">
        <f t="shared" si="116"/>
        <v>EUR.PRICING.XLS_STRIPS.IT0004976632</v>
      </c>
      <c r="W118" s="126" t="str">
        <f>IF(UPPER($X$1)="ABCD",_xll.MKV_PUBLISHRECORD(V118, "XLS_STRIPS"),"--")</f>
        <v>Not connected</v>
      </c>
      <c r="X118" s="127" t="str">
        <f>IF(UPPER(X$1)="ABCD",_xll.MKV_SUPPLYRECORD(V118, "Bid",F118, "Ask",H118, "Id",A118, "Mid",G118, "Name",D118,"DV01",N118,"MidYield",J118,"BidYield",I118,"AskYield",K118),"--")</f>
        <v>Not connected</v>
      </c>
      <c r="Z118" s="27" t="str">
        <f t="shared" si="90"/>
        <v>IT0004976632@rbsm Corp</v>
      </c>
      <c r="AA118" s="27">
        <f>_xll.BDP(Z118,"bid")</f>
        <v>64.197999999999993</v>
      </c>
      <c r="AB118" s="27">
        <f>_xll.BDP(Z118,"ask")</f>
        <v>66.463999999999999</v>
      </c>
      <c r="AC118" s="27">
        <f t="shared" si="93"/>
        <v>65.330999999999989</v>
      </c>
      <c r="AD118" s="114">
        <f t="shared" si="94"/>
        <v>-1.1809999999999832</v>
      </c>
      <c r="AE118" s="27">
        <f t="shared" si="96"/>
        <v>0.85499999999999998</v>
      </c>
      <c r="AF118" s="152">
        <f t="shared" si="97"/>
        <v>-10097.549999999856</v>
      </c>
    </row>
    <row r="119" spans="1:32" x14ac:dyDescent="0.2">
      <c r="A119" s="66" t="s">
        <v>468</v>
      </c>
      <c r="B119" s="83">
        <v>49157</v>
      </c>
      <c r="C119" s="131">
        <f>_xll.BDP(A119&amp;" Corp", "days to mty")</f>
        <v>6641</v>
      </c>
      <c r="D119" s="41" t="s">
        <v>469</v>
      </c>
      <c r="E119" s="41" t="s">
        <v>470</v>
      </c>
      <c r="F119" s="130">
        <v>63.78</v>
      </c>
      <c r="G119" s="130">
        <v>63.84</v>
      </c>
      <c r="H119" s="130">
        <f t="shared" si="76"/>
        <v>63.9</v>
      </c>
      <c r="I119" s="26">
        <f>ROUND(_xll.qlBondYieldFromCleanPrice(O119,F119,YieldDayCounter,YieldCompounding,YieldFrequency)*100,3)</f>
        <v>2.5049999999999999</v>
      </c>
      <c r="J119" s="26">
        <f>ROUND(_xll.qlBondYieldFromCleanPrice(P119,G119,YieldDayCounter,YieldCompounding,YieldFrequency)*100,3)</f>
        <v>2.4990000000000001</v>
      </c>
      <c r="K119" s="26">
        <f>ROUND(_xll.qlBondYieldFromCleanPrice(Q119,H119,YieldDayCounter,YieldCompounding,YieldFrequency)*100,3)</f>
        <v>2.4940000000000002</v>
      </c>
      <c r="L119" s="114">
        <f>_xll.qlBondDurationFromYield(P119,J119,YieldDayCounter,YieldCompounding,YieldFrequency,L$2)</f>
        <v>5.1958639236503164</v>
      </c>
      <c r="M119" s="114">
        <f>_xll.qlBondConvexityFromYield(P119,J119/100,YieldDayCounter,YieldCompounding,YieldFrequency)</f>
        <v>331.90858144490619</v>
      </c>
      <c r="N119" s="115">
        <f>_xll.BDP(A119&amp;" Corp","risk mid")</f>
        <v>11.421749995584918</v>
      </c>
      <c r="O119" s="101" t="str">
        <f>_xll.qlZeroCouponBond(,,"EUR",3,"target",100,$B119,"f",100,,,Trigger)</f>
        <v>obj_00875#0000</v>
      </c>
      <c r="P119" s="101" t="str">
        <f>_xll.qlZeroCouponBond(,,"EUR",3,"target",100,$B119,"f",100,,,Trigger)</f>
        <v>obj_009f6#0000</v>
      </c>
      <c r="Q119" s="101" t="str">
        <f>_xll.qlZeroCouponBond(,,"EUR",3,"target",100,$B119,"f",100,,,Trigger)</f>
        <v>obj_00928#0000</v>
      </c>
      <c r="R119" s="117">
        <f t="shared" si="86"/>
        <v>63.9</v>
      </c>
      <c r="S119" s="122">
        <f t="shared" ref="S119" si="135">R119</f>
        <v>63.9</v>
      </c>
      <c r="T119" s="138" t="str">
        <f>IF(UPPER(U$1)="ABCD",_xll.RtContribute($E$3,$E119,$R$3:$S$3,$R119:$S119,"SCOPE:SERVER"),"--")</f>
        <v>Success: Insert Ack on DTSIMI2 for STRIP.IT0004848591 at 10:36:50</v>
      </c>
      <c r="U119" s="142" t="str">
        <f t="shared" si="78"/>
        <v>OK</v>
      </c>
      <c r="V119" s="126" t="str">
        <f t="shared" si="116"/>
        <v>EUR.PRICING.XLS_STRIPS.IT0004848591</v>
      </c>
      <c r="W119" s="126" t="str">
        <f>IF(UPPER($X$1)="ABCD",_xll.MKV_PUBLISHRECORD(V119, "XLS_STRIPS"),"--")</f>
        <v>Not connected</v>
      </c>
      <c r="X119" s="127" t="str">
        <f>IF(UPPER(X$1)="ABCD",_xll.MKV_SUPPLYRECORD(V119, "Bid",F119, "Ask",H119, "Id",A119, "Mid",G119, "Name",D119,"DV01",N119,"MidYield",J119,"BidYield",I119,"AskYield",K119),"--")</f>
        <v>Not connected</v>
      </c>
      <c r="Z119" s="27" t="str">
        <f t="shared" si="90"/>
        <v>IT0004848591@rbsm Corp</v>
      </c>
      <c r="AA119" s="27">
        <f>_xll.BDP(Z119,"bid")</f>
        <v>64.155000000000001</v>
      </c>
      <c r="AB119" s="27">
        <f>_xll.BDP(Z119,"ask")</f>
        <v>64.498000000000005</v>
      </c>
      <c r="AC119" s="27">
        <f t="shared" si="93"/>
        <v>64.32650000000001</v>
      </c>
      <c r="AD119" s="114">
        <f t="shared" si="94"/>
        <v>-0.48650000000000659</v>
      </c>
      <c r="AE119" s="27" t="str">
        <f t="shared" si="96"/>
        <v>0</v>
      </c>
      <c r="AF119" s="152">
        <f t="shared" si="97"/>
        <v>0</v>
      </c>
    </row>
    <row r="120" spans="1:32" x14ac:dyDescent="0.2">
      <c r="A120" s="66" t="s">
        <v>233</v>
      </c>
      <c r="B120" s="83">
        <v>49188</v>
      </c>
      <c r="C120" s="131">
        <f>_xll.BDP(A120&amp;" Corp", "days to mty")</f>
        <v>6672</v>
      </c>
      <c r="D120" s="41" t="s">
        <v>234</v>
      </c>
      <c r="E120" s="41" t="s">
        <v>235</v>
      </c>
      <c r="F120" s="130">
        <v>63.7</v>
      </c>
      <c r="G120" s="130">
        <v>63.75</v>
      </c>
      <c r="H120" s="130">
        <f t="shared" si="76"/>
        <v>63.8</v>
      </c>
      <c r="I120" s="26">
        <f>ROUND(_xll.qlBondYieldFromCleanPrice(O120,F120,YieldDayCounter,YieldCompounding,YieldFrequency)*100,3)</f>
        <v>2.5</v>
      </c>
      <c r="J120" s="26">
        <f>ROUND(_xll.qlBondYieldFromCleanPrice(P120,G120,YieldDayCounter,YieldCompounding,YieldFrequency)*100,3)</f>
        <v>2.4950000000000001</v>
      </c>
      <c r="K120" s="26">
        <f>ROUND(_xll.qlBondYieldFromCleanPrice(Q120,H120,YieldDayCounter,YieldCompounding,YieldFrequency)*100,3)</f>
        <v>2.4910000000000001</v>
      </c>
      <c r="L120" s="114">
        <f>_xll.qlBondDurationFromYield(P120,J120,YieldDayCounter,YieldCompounding,YieldFrequency,L$2)</f>
        <v>5.2260450135634819</v>
      </c>
      <c r="M120" s="114">
        <f>_xll.qlBondConvexityFromYield(P120,J120/100,YieldDayCounter,YieldCompounding,YieldFrequency)</f>
        <v>334.9535584180241</v>
      </c>
      <c r="N120" s="115">
        <f>_xll.BDP(A120&amp;" Corp","risk mid")</f>
        <v>11.285916833800513</v>
      </c>
      <c r="O120" s="101" t="str">
        <f>_xll.qlZeroCouponBond(,,"EUR",3,"target",100,$B120,"f",100,,,Trigger)</f>
        <v>obj_0090f#0000</v>
      </c>
      <c r="P120" s="101" t="str">
        <f>_xll.qlZeroCouponBond(,,"EUR",3,"target",100,$B120,"f",100,,,Trigger)</f>
        <v>obj_0091c#0000</v>
      </c>
      <c r="Q120" s="101" t="str">
        <f>_xll.qlZeroCouponBond(,,"EUR",3,"target",100,$B120,"f",100,,,Trigger)</f>
        <v>obj_009d7#0000</v>
      </c>
      <c r="R120" s="117">
        <f t="shared" si="86"/>
        <v>63.8</v>
      </c>
      <c r="S120" s="122">
        <f t="shared" ref="S120" si="136">R120</f>
        <v>63.8</v>
      </c>
      <c r="T120" s="138" t="str">
        <f>IF(UPPER(U$1)="ABCD",_xll.RtContribute($E$3,$E120,$R$3:$S$3,$R120:$S120,"SCOPE:SERVER"),"--")</f>
        <v>Success: Insert Ack on DTSIMI2 for STRIP.IT0004976640 at 10:36:50</v>
      </c>
      <c r="U120" s="142" t="str">
        <f t="shared" si="78"/>
        <v>OK</v>
      </c>
      <c r="V120" s="126" t="str">
        <f t="shared" si="116"/>
        <v>EUR.PRICING.XLS_STRIPS.IT0004976640</v>
      </c>
      <c r="W120" s="126" t="str">
        <f>IF(UPPER($X$1)="ABCD",_xll.MKV_PUBLISHRECORD(V120, "XLS_STRIPS"),"--")</f>
        <v>Not connected</v>
      </c>
      <c r="X120" s="127" t="str">
        <f>IF(UPPER(X$1)="ABCD",_xll.MKV_SUPPLYRECORD(V120, "Bid",F120, "Ask",H120, "Id",A120, "Mid",G120, "Name",D120,"DV01",N120,"MidYield",J120,"BidYield",I120,"AskYield",K120),"--")</f>
        <v>Not connected</v>
      </c>
      <c r="Z120" s="27" t="str">
        <f t="shared" si="90"/>
        <v>IT0004976640@rbsm Corp</v>
      </c>
      <c r="AA120" s="27">
        <f>_xll.BDP(Z120,"bid")</f>
        <v>62.872999999999998</v>
      </c>
      <c r="AB120" s="27">
        <f>_xll.BDP(Z120,"ask")</f>
        <v>65.155000000000001</v>
      </c>
      <c r="AC120" s="27">
        <f t="shared" si="93"/>
        <v>64.013999999999996</v>
      </c>
      <c r="AD120" s="114">
        <f t="shared" si="94"/>
        <v>-0.26399999999999579</v>
      </c>
      <c r="AE120" s="27">
        <f t="shared" si="96"/>
        <v>0.85499999999999998</v>
      </c>
      <c r="AF120" s="152">
        <f t="shared" si="97"/>
        <v>-2257.1999999999639</v>
      </c>
    </row>
    <row r="121" spans="1:32" x14ac:dyDescent="0.2">
      <c r="A121" s="66" t="s">
        <v>82</v>
      </c>
      <c r="B121" s="83">
        <v>49341</v>
      </c>
      <c r="C121" s="131">
        <f>_xll.BDP(A121&amp;" Corp", "days to mty")</f>
        <v>6825</v>
      </c>
      <c r="D121" s="41" t="s">
        <v>471</v>
      </c>
      <c r="E121" s="41" t="s">
        <v>472</v>
      </c>
      <c r="F121" s="130">
        <v>63.15</v>
      </c>
      <c r="G121" s="130">
        <v>63.21</v>
      </c>
      <c r="H121" s="130">
        <f t="shared" si="76"/>
        <v>63.27</v>
      </c>
      <c r="I121" s="26">
        <f>ROUND(_xll.qlBondYieldFromCleanPrice(O121,F121,YieldDayCounter,YieldCompounding,YieldFrequency)*100,3)</f>
        <v>2.4910000000000001</v>
      </c>
      <c r="J121" s="26">
        <f>ROUND(_xll.qlBondYieldFromCleanPrice(P121,G121,YieldDayCounter,YieldCompounding,YieldFrequency)*100,3)</f>
        <v>2.4860000000000002</v>
      </c>
      <c r="K121" s="26">
        <f>ROUND(_xll.qlBondYieldFromCleanPrice(Q121,H121,YieldDayCounter,YieldCompounding,YieldFrequency)*100,3)</f>
        <v>2.48</v>
      </c>
      <c r="L121" s="114">
        <f>_xll.qlBondDurationFromYield(P121,J121,YieldDayCounter,YieldCompounding,YieldFrequency,L$2)</f>
        <v>5.3594549940589831</v>
      </c>
      <c r="M121" s="114">
        <f>_xll.qlBondConvexityFromYield(P121,J121/100,YieldDayCounter,YieldCompounding,YieldFrequency)</f>
        <v>350.11566590407227</v>
      </c>
      <c r="N121" s="115">
        <f>_xll.BDP(A121&amp;" Corp","risk mid")</f>
        <v>11.267043493135631</v>
      </c>
      <c r="O121" s="101" t="str">
        <f>_xll.qlZeroCouponBond(,,"EUR",3,"target",100,$B121,"f",100,,,Trigger)</f>
        <v>obj_00993#0000</v>
      </c>
      <c r="P121" s="101" t="str">
        <f>_xll.qlZeroCouponBond(,,"EUR",3,"target",100,$B121,"f",100,,,Trigger)</f>
        <v>obj_009d6#0000</v>
      </c>
      <c r="Q121" s="101" t="str">
        <f>_xll.qlZeroCouponBond(,,"EUR",3,"target",100,$B121,"f",100,,,Trigger)</f>
        <v>obj_0099a#0000</v>
      </c>
      <c r="R121" s="117">
        <f t="shared" si="86"/>
        <v>63.27</v>
      </c>
      <c r="S121" s="122">
        <f t="shared" ref="S121" si="137">R121</f>
        <v>63.27</v>
      </c>
      <c r="T121" s="138" t="str">
        <f>IF(UPPER(U$1)="ABCD",_xll.RtContribute($E$3,$E121,$R$3:$S$3,$R121:$S121,"SCOPE:SERVER"),"--")</f>
        <v>Success: Insert Ack on DTSIMI2 for STRIP.IT0004002819 at 10:36:50</v>
      </c>
      <c r="U121" s="142" t="str">
        <f t="shared" si="78"/>
        <v>OK</v>
      </c>
      <c r="V121" s="126" t="str">
        <f t="shared" si="116"/>
        <v>EUR.PRICING.XLS_STRIPS.IT0004002819</v>
      </c>
      <c r="W121" s="126" t="str">
        <f>IF(UPPER($X$1)="ABCD",_xll.MKV_PUBLISHRECORD(V121, "XLS_STRIPS"),"--")</f>
        <v>Not connected</v>
      </c>
      <c r="X121" s="127" t="str">
        <f>IF(UPPER(X$1)="ABCD",_xll.MKV_SUPPLYRECORD(V121, "Bid",F121, "Ask",H121, "Id",A121, "Mid",G121, "Name",D121,"DV01",N121,"MidYield",J121,"BidYield",I121,"AskYield",K121),"--")</f>
        <v>Not connected</v>
      </c>
      <c r="Z121" s="27" t="str">
        <f t="shared" si="90"/>
        <v>IT0004002819@rbsm Corp</v>
      </c>
      <c r="AA121" s="27">
        <f>_xll.BDP(Z121,"bid")</f>
        <v>61.5</v>
      </c>
      <c r="AB121" s="27">
        <f>_xll.BDP(Z121,"ask")</f>
        <v>63.088999999999999</v>
      </c>
      <c r="AC121" s="27">
        <f t="shared" si="93"/>
        <v>62.294499999999999</v>
      </c>
      <c r="AD121" s="114">
        <f t="shared" si="94"/>
        <v>0.91550000000000153</v>
      </c>
      <c r="AE121" s="27" t="str">
        <f t="shared" si="96"/>
        <v>0</v>
      </c>
      <c r="AF121" s="152">
        <f t="shared" si="97"/>
        <v>0</v>
      </c>
    </row>
    <row r="122" spans="1:32" x14ac:dyDescent="0.2">
      <c r="A122" s="66" t="s">
        <v>236</v>
      </c>
      <c r="B122" s="83">
        <v>49369</v>
      </c>
      <c r="C122" s="131">
        <f>_xll.BDP(A122&amp;" Corp", "days to mty")</f>
        <v>6853</v>
      </c>
      <c r="D122" s="41" t="s">
        <v>237</v>
      </c>
      <c r="E122" s="41" t="s">
        <v>238</v>
      </c>
      <c r="F122" s="130">
        <v>63.03</v>
      </c>
      <c r="G122" s="130">
        <v>63.08</v>
      </c>
      <c r="H122" s="130">
        <f t="shared" si="76"/>
        <v>63.13</v>
      </c>
      <c r="I122" s="26">
        <f>ROUND(_xll.qlBondYieldFromCleanPrice(O122,F122,YieldDayCounter,YieldCompounding,YieldFrequency)*100,3)</f>
        <v>2.4910000000000001</v>
      </c>
      <c r="J122" s="26">
        <f>ROUND(_xll.qlBondYieldFromCleanPrice(P122,G122,YieldDayCounter,YieldCompounding,YieldFrequency)*100,3)</f>
        <v>2.4860000000000002</v>
      </c>
      <c r="K122" s="26">
        <f>ROUND(_xll.qlBondYieldFromCleanPrice(Q122,H122,YieldDayCounter,YieldCompounding,YieldFrequency)*100,3)</f>
        <v>2.4820000000000002</v>
      </c>
      <c r="L122" s="114">
        <f>_xll.qlBondDurationFromYield(P122,J122,YieldDayCounter,YieldCompounding,YieldFrequency,L$2)</f>
        <v>5.3819976579507856</v>
      </c>
      <c r="M122" s="114">
        <f>_xll.qlBondConvexityFromYield(P122,J122/100,YieldDayCounter,YieldCompounding,YieldFrequency)</f>
        <v>352.99200479416857</v>
      </c>
      <c r="N122" s="115">
        <f>_xll.BDP(A122&amp;" Corp","risk mid")</f>
        <v>11.368877289067214</v>
      </c>
      <c r="O122" s="101" t="str">
        <f>_xll.qlZeroCouponBond(,,"EUR",3,"target",100,$B122,"f",100,,,Trigger)</f>
        <v>obj_009df#0000</v>
      </c>
      <c r="P122" s="101" t="str">
        <f>_xll.qlZeroCouponBond(,,"EUR",3,"target",100,$B122,"f",100,,,Trigger)</f>
        <v>obj_0098b#0000</v>
      </c>
      <c r="Q122" s="101" t="str">
        <f>_xll.qlZeroCouponBond(,,"EUR",3,"target",100,$B122,"f",100,,,Trigger)</f>
        <v>obj_008c2#0000</v>
      </c>
      <c r="R122" s="117">
        <f t="shared" si="86"/>
        <v>63.13</v>
      </c>
      <c r="S122" s="122">
        <f t="shared" ref="S122" si="138">R122</f>
        <v>63.13</v>
      </c>
      <c r="T122" s="138" t="str">
        <f>IF(UPPER(U$1)="ABCD",_xll.RtContribute($E$3,$E122,$R$3:$S$3,$R122:$S122,"SCOPE:SERVER"),"--")</f>
        <v>Success: Insert Ack on DTSIMI2 for STRIP.IT0004976657 at 10:36:50</v>
      </c>
      <c r="U122" s="142" t="str">
        <f t="shared" si="78"/>
        <v>OK</v>
      </c>
      <c r="V122" s="126" t="str">
        <f t="shared" si="116"/>
        <v>EUR.PRICING.XLS_STRIPS.IT0004976657</v>
      </c>
      <c r="W122" s="126" t="str">
        <f>IF(UPPER($X$1)="ABCD",_xll.MKV_PUBLISHRECORD(V122, "XLS_STRIPS"),"--")</f>
        <v>Not connected</v>
      </c>
      <c r="X122" s="127" t="str">
        <f>IF(UPPER(X$1)="ABCD",_xll.MKV_SUPPLYRECORD(V122, "Bid",F122, "Ask",H122, "Id",A122, "Mid",G122, "Name",D122,"DV01",N122,"MidYield",J122,"BidYield",I122,"AskYield",K122),"--")</f>
        <v>Not connected</v>
      </c>
      <c r="Z122" s="27" t="str">
        <f t="shared" si="90"/>
        <v>IT0004976657@rbsm Corp</v>
      </c>
      <c r="AA122" s="27">
        <f>_xll.BDP(Z122,"bid")</f>
        <v>61.582000000000001</v>
      </c>
      <c r="AB122" s="27">
        <f>_xll.BDP(Z122,"ask")</f>
        <v>63.878999999999998</v>
      </c>
      <c r="AC122" s="27">
        <f t="shared" si="93"/>
        <v>62.730499999999999</v>
      </c>
      <c r="AD122" s="114">
        <f t="shared" si="94"/>
        <v>0.34949999999999903</v>
      </c>
      <c r="AE122" s="27">
        <f t="shared" si="96"/>
        <v>0.85499999999999998</v>
      </c>
      <c r="AF122" s="152">
        <f t="shared" si="97"/>
        <v>2988.2249999999917</v>
      </c>
    </row>
    <row r="123" spans="1:32" x14ac:dyDescent="0.2">
      <c r="A123" s="66" t="s">
        <v>83</v>
      </c>
      <c r="B123" s="83">
        <v>49522</v>
      </c>
      <c r="C123" s="131">
        <f>_xll.BDP(A123&amp;" Corp", "days to mty")</f>
        <v>7006</v>
      </c>
      <c r="D123" s="41" t="s">
        <v>473</v>
      </c>
      <c r="E123" s="41" t="s">
        <v>474</v>
      </c>
      <c r="F123" s="130">
        <v>62.25</v>
      </c>
      <c r="G123" s="130">
        <v>62.3</v>
      </c>
      <c r="H123" s="130">
        <f t="shared" si="76"/>
        <v>62.35</v>
      </c>
      <c r="I123" s="26">
        <f>ROUND(_xll.qlBondYieldFromCleanPrice(O123,F123,YieldDayCounter,YieldCompounding,YieldFrequency)*100,3)</f>
        <v>2.5019999999999998</v>
      </c>
      <c r="J123" s="26">
        <f>ROUND(_xll.qlBondYieldFromCleanPrice(P123,G123,YieldDayCounter,YieldCompounding,YieldFrequency)*100,3)</f>
        <v>2.4980000000000002</v>
      </c>
      <c r="K123" s="26">
        <f>ROUND(_xll.qlBondYieldFromCleanPrice(Q123,H123,YieldDayCounter,YieldCompounding,YieldFrequency)*100,3)</f>
        <v>2.4940000000000002</v>
      </c>
      <c r="L123" s="114">
        <f>_xll.qlBondDurationFromYield(P123,J123,YieldDayCounter,YieldCompounding,YieldFrequency,L$2)</f>
        <v>5.4832269493574781</v>
      </c>
      <c r="M123" s="114">
        <f>_xll.qlBondConvexityFromYield(P123,J123/100,YieldDayCounter,YieldCompounding,YieldFrequency)</f>
        <v>368.42870715541</v>
      </c>
      <c r="N123" s="115">
        <f>_xll.BDP(A123&amp;" Corp","risk mid")</f>
        <v>11.4650154791196</v>
      </c>
      <c r="O123" s="101" t="str">
        <f>_xll.qlZeroCouponBond(,,"EUR",3,"target",100,$B123,"f",100,,,Trigger)</f>
        <v>obj_0090b#0000</v>
      </c>
      <c r="P123" s="101" t="str">
        <f>_xll.qlZeroCouponBond(,,"EUR",3,"target",100,$B123,"f",100,,,Trigger)</f>
        <v>obj_009f8#0000</v>
      </c>
      <c r="Q123" s="101" t="str">
        <f>_xll.qlZeroCouponBond(,,"EUR",3,"target",100,$B123,"f",100,,,Trigger)</f>
        <v>obj_008bc#0000</v>
      </c>
      <c r="R123" s="117">
        <f t="shared" si="86"/>
        <v>62.35</v>
      </c>
      <c r="S123" s="122">
        <f t="shared" ref="S123" si="139">R123</f>
        <v>62.35</v>
      </c>
      <c r="T123" s="138" t="str">
        <f>IF(UPPER(U$1)="ABCD",_xll.RtContribute($E$3,$E123,$R$3:$S$3,$R123:$S123,"SCOPE:SERVER"),"--")</f>
        <v>Success: Insert Ack on DTSIMI2 for STRIP.IT0004002827 at 10:36:50</v>
      </c>
      <c r="U123" s="142" t="str">
        <f t="shared" si="78"/>
        <v>OK</v>
      </c>
      <c r="V123" s="126" t="str">
        <f t="shared" si="116"/>
        <v>EUR.PRICING.XLS_STRIPS.IT0004002827</v>
      </c>
      <c r="W123" s="126" t="str">
        <f>IF(UPPER($X$1)="ABCD",_xll.MKV_PUBLISHRECORD(V123, "XLS_STRIPS"),"--")</f>
        <v>Not connected</v>
      </c>
      <c r="X123" s="127" t="str">
        <f>IF(UPPER(X$1)="ABCD",_xll.MKV_SUPPLYRECORD(V123, "Bid",F123, "Ask",H123, "Id",A123, "Mid",G123, "Name",D123,"DV01",N123,"MidYield",J123,"BidYield",I123,"AskYield",K123),"--")</f>
        <v>Not connected</v>
      </c>
      <c r="Z123" s="27" t="str">
        <f t="shared" si="90"/>
        <v>IT0004002827@rbsm Corp</v>
      </c>
      <c r="AA123" s="27">
        <f>_xll.BDP(Z123,"bid")</f>
        <v>60.456000000000003</v>
      </c>
      <c r="AB123" s="27">
        <f>_xll.BDP(Z123,"ask")</f>
        <v>62.06</v>
      </c>
      <c r="AC123" s="27">
        <f t="shared" si="93"/>
        <v>61.258000000000003</v>
      </c>
      <c r="AD123" s="114">
        <f t="shared" si="94"/>
        <v>1.0419999999999945</v>
      </c>
      <c r="AE123" s="27" t="str">
        <f t="shared" si="96"/>
        <v>0</v>
      </c>
      <c r="AF123" s="152">
        <f t="shared" si="97"/>
        <v>0</v>
      </c>
    </row>
    <row r="124" spans="1:32" x14ac:dyDescent="0.2">
      <c r="A124" s="66" t="s">
        <v>239</v>
      </c>
      <c r="B124" s="83">
        <v>49553</v>
      </c>
      <c r="C124" s="131">
        <f>_xll.BDP(A124&amp;" Corp", "days to mty")</f>
        <v>7037</v>
      </c>
      <c r="D124" s="41" t="s">
        <v>240</v>
      </c>
      <c r="E124" s="41" t="s">
        <v>241</v>
      </c>
      <c r="F124" s="130">
        <v>62.07</v>
      </c>
      <c r="G124" s="130">
        <v>62.13</v>
      </c>
      <c r="H124" s="130">
        <f t="shared" si="76"/>
        <v>62.19</v>
      </c>
      <c r="I124" s="26">
        <f>ROUND(_xll.qlBondYieldFromCleanPrice(O124,F124,YieldDayCounter,YieldCompounding,YieldFrequency)*100,3)</f>
        <v>2.5059999999999998</v>
      </c>
      <c r="J124" s="26">
        <f>ROUND(_xll.qlBondYieldFromCleanPrice(P124,G124,YieldDayCounter,YieldCompounding,YieldFrequency)*100,3)</f>
        <v>2.5009999999999999</v>
      </c>
      <c r="K124" s="26">
        <f>ROUND(_xll.qlBondYieldFromCleanPrice(Q124,H124,YieldDayCounter,YieldCompounding,YieldFrequency)*100,3)</f>
        <v>2.4950000000000001</v>
      </c>
      <c r="L124" s="114">
        <f>_xll.qlBondDurationFromYield(P124,J124,YieldDayCounter,YieldCompounding,YieldFrequency,L$2)</f>
        <v>5.5042821488942266</v>
      </c>
      <c r="M124" s="114">
        <f>_xll.qlBondConvexityFromYield(P124,J124/100,YieldDayCounter,YieldCompounding,YieldFrequency)</f>
        <v>371.79271800653078</v>
      </c>
      <c r="N124" s="115">
        <f>_xll.BDP(A124&amp;" Corp","risk mid")</f>
        <v>11.429470402745423</v>
      </c>
      <c r="O124" s="101" t="str">
        <f>_xll.qlZeroCouponBond(,,"EUR",3,"target",100,$B124,"f",100,,,Trigger)</f>
        <v>obj_0085c#0000</v>
      </c>
      <c r="P124" s="101" t="str">
        <f>_xll.qlZeroCouponBond(,,"EUR",3,"target",100,$B124,"f",100,,,Trigger)</f>
        <v>obj_00981#0000</v>
      </c>
      <c r="Q124" s="101" t="str">
        <f>_xll.qlZeroCouponBond(,,"EUR",3,"target",100,$B124,"f",100,,,Trigger)</f>
        <v>obj_0089d#0000</v>
      </c>
      <c r="R124" s="117">
        <f t="shared" si="86"/>
        <v>62.19</v>
      </c>
      <c r="S124" s="122">
        <f t="shared" ref="S124" si="140">R124</f>
        <v>62.19</v>
      </c>
      <c r="T124" s="138" t="str">
        <f>IF(UPPER(U$1)="ABCD",_xll.RtContribute($E$3,$E124,$R$3:$S$3,$R124:$S124,"SCOPE:SERVER"),"--")</f>
        <v>Success: Insert Ack on DTSIMI2 for STRIP.IT0004976665 at 10:36:50</v>
      </c>
      <c r="U124" s="142" t="str">
        <f t="shared" si="78"/>
        <v>OK</v>
      </c>
      <c r="V124" s="126" t="str">
        <f t="shared" si="116"/>
        <v>EUR.PRICING.XLS_STRIPS.IT0004976665</v>
      </c>
      <c r="W124" s="126" t="str">
        <f>IF(UPPER($X$1)="ABCD",_xll.MKV_PUBLISHRECORD(V124, "XLS_STRIPS"),"--")</f>
        <v>Not connected</v>
      </c>
      <c r="X124" s="127" t="str">
        <f>IF(UPPER(X$1)="ABCD",_xll.MKV_SUPPLYRECORD(V124, "Bid",F124, "Ask",H124, "Id",A124, "Mid",G124, "Name",D124,"DV01",N124,"MidYield",J124,"BidYield",I124,"AskYield",K124),"--")</f>
        <v>Not connected</v>
      </c>
      <c r="Z124" s="27" t="str">
        <f t="shared" si="90"/>
        <v>IT0004976665@rbsm Corp</v>
      </c>
      <c r="AA124" s="27">
        <f>_xll.BDP(Z124,"bid")</f>
        <v>60.261000000000003</v>
      </c>
      <c r="AB124" s="27">
        <f>_xll.BDP(Z124,"ask")</f>
        <v>62.567999999999998</v>
      </c>
      <c r="AC124" s="27">
        <f t="shared" si="93"/>
        <v>61.414500000000004</v>
      </c>
      <c r="AD124" s="114">
        <f t="shared" si="94"/>
        <v>0.71549999999999869</v>
      </c>
      <c r="AE124" s="27">
        <f t="shared" si="96"/>
        <v>0.85499999999999998</v>
      </c>
      <c r="AF124" s="152">
        <f t="shared" si="97"/>
        <v>6117.5249999999896</v>
      </c>
    </row>
    <row r="125" spans="1:32" x14ac:dyDescent="0.2">
      <c r="A125" s="66" t="s">
        <v>84</v>
      </c>
      <c r="B125" s="83">
        <v>49706</v>
      </c>
      <c r="C125" s="131">
        <f>_xll.BDP(A125&amp;" Corp", "days to mty")</f>
        <v>7190</v>
      </c>
      <c r="D125" s="41" t="s">
        <v>475</v>
      </c>
      <c r="E125" s="41" t="s">
        <v>476</v>
      </c>
      <c r="F125" s="130">
        <v>61.14</v>
      </c>
      <c r="G125" s="130">
        <v>61.19</v>
      </c>
      <c r="H125" s="130">
        <f t="shared" si="76"/>
        <v>61.24</v>
      </c>
      <c r="I125" s="26">
        <f>ROUND(_xll.qlBondYieldFromCleanPrice(O125,F125,YieldDayCounter,YieldCompounding,YieldFrequency)*100,3)</f>
        <v>2.5310000000000001</v>
      </c>
      <c r="J125" s="26">
        <f>ROUND(_xll.qlBondYieldFromCleanPrice(P125,G125,YieldDayCounter,YieldCompounding,YieldFrequency)*100,3)</f>
        <v>2.5270000000000001</v>
      </c>
      <c r="K125" s="26">
        <f>ROUND(_xll.qlBondYieldFromCleanPrice(Q125,H125,YieldDayCounter,YieldCompounding,YieldFrequency)*100,3)</f>
        <v>2.5230000000000001</v>
      </c>
      <c r="L125" s="114">
        <f>_xll.qlBondDurationFromYield(P125,J125,YieldDayCounter,YieldCompounding,YieldFrequency,L$2)</f>
        <v>5.5806804959709719</v>
      </c>
      <c r="M125" s="114">
        <f>_xll.qlBondConvexityFromYield(P125,J125/100,YieldDayCounter,YieldCompounding,YieldFrequency)</f>
        <v>387.28521097235716</v>
      </c>
      <c r="N125" s="115">
        <f>_xll.BDP(A125&amp;" Corp","risk mid")</f>
        <v>11.506282982348992</v>
      </c>
      <c r="O125" s="101" t="str">
        <f>_xll.qlZeroCouponBond(,,"EUR",3,"target",100,$B125,"f",100,,,Trigger)</f>
        <v>obj_009d9#0000</v>
      </c>
      <c r="P125" s="101" t="str">
        <f>_xll.qlZeroCouponBond(,,"EUR",3,"target",100,$B125,"f",100,,,Trigger)</f>
        <v>obj_008fa#0000</v>
      </c>
      <c r="Q125" s="101" t="str">
        <f>_xll.qlZeroCouponBond(,,"EUR",3,"target",100,$B125,"f",100,,,Trigger)</f>
        <v>obj_00937#0000</v>
      </c>
      <c r="R125" s="117">
        <f t="shared" si="86"/>
        <v>61.24</v>
      </c>
      <c r="S125" s="122">
        <f t="shared" ref="S125" si="141">R125</f>
        <v>61.24</v>
      </c>
      <c r="T125" s="138" t="str">
        <f>IF(UPPER(U$1)="ABCD",_xll.RtContribute($E$3,$E125,$R$3:$S$3,$R125:$S125,"SCOPE:SERVER"),"--")</f>
        <v>Success: Insert Ack on DTSIMI2 for STRIP.IT0004002835 at 10:36:19</v>
      </c>
      <c r="U125" s="142" t="str">
        <f t="shared" si="78"/>
        <v>OK</v>
      </c>
      <c r="V125" s="126" t="str">
        <f t="shared" si="116"/>
        <v>EUR.PRICING.XLS_STRIPS.IT0004002835</v>
      </c>
      <c r="W125" s="126" t="str">
        <f>IF(UPPER($X$1)="ABCD",_xll.MKV_PUBLISHRECORD(V125, "XLS_STRIPS"),"--")</f>
        <v>Not connected</v>
      </c>
      <c r="X125" s="127" t="str">
        <f>IF(UPPER(X$1)="ABCD",_xll.MKV_SUPPLYRECORD(V125, "Bid",F125, "Ask",H125, "Id",A125, "Mid",G125, "Name",D125,"DV01",N125,"MidYield",J125,"BidYield",I125,"AskYield",K125),"--")</f>
        <v>Not connected</v>
      </c>
      <c r="Z125" s="27" t="str">
        <f t="shared" si="90"/>
        <v>IT0004002835@rbsm Corp</v>
      </c>
      <c r="AA125" s="27">
        <f>_xll.BDP(Z125,"bid")</f>
        <v>59.302999999999997</v>
      </c>
      <c r="AB125" s="27">
        <f>_xll.BDP(Z125,"ask")</f>
        <v>60.917000000000002</v>
      </c>
      <c r="AC125" s="27">
        <f t="shared" si="93"/>
        <v>60.11</v>
      </c>
      <c r="AD125" s="114">
        <f t="shared" si="94"/>
        <v>1.0799999999999983</v>
      </c>
      <c r="AE125" s="27" t="str">
        <f t="shared" si="96"/>
        <v>0</v>
      </c>
      <c r="AF125" s="152">
        <f t="shared" si="97"/>
        <v>0</v>
      </c>
    </row>
    <row r="126" spans="1:32" x14ac:dyDescent="0.2">
      <c r="A126" s="66" t="s">
        <v>242</v>
      </c>
      <c r="B126" s="83">
        <v>49735</v>
      </c>
      <c r="C126" s="131">
        <f>_xll.BDP(A126&amp;" Corp", "days to mty")</f>
        <v>7219</v>
      </c>
      <c r="D126" s="41" t="s">
        <v>243</v>
      </c>
      <c r="E126" s="41" t="s">
        <v>244</v>
      </c>
      <c r="F126" s="130">
        <v>60.95</v>
      </c>
      <c r="G126" s="130">
        <v>61</v>
      </c>
      <c r="H126" s="130">
        <f t="shared" si="76"/>
        <v>61.05</v>
      </c>
      <c r="I126" s="26">
        <f>ROUND(_xll.qlBondYieldFromCleanPrice(O126,F126,YieldDayCounter,YieldCompounding,YieldFrequency)*100,3)</f>
        <v>2.536</v>
      </c>
      <c r="J126" s="26">
        <f>ROUND(_xll.qlBondYieldFromCleanPrice(P126,G126,YieldDayCounter,YieldCompounding,YieldFrequency)*100,3)</f>
        <v>2.532</v>
      </c>
      <c r="K126" s="26">
        <f>ROUND(_xll.qlBondYieldFromCleanPrice(Q126,H126,YieldDayCounter,YieldCompounding,YieldFrequency)*100,3)</f>
        <v>2.528</v>
      </c>
      <c r="L126" s="114">
        <f>_xll.qlBondDurationFromYield(P126,J126,YieldDayCounter,YieldCompounding,YieldFrequency,L$2)</f>
        <v>5.5965807722738479</v>
      </c>
      <c r="M126" s="114">
        <f>_xll.qlBondConvexityFromYield(P126,J126/100,YieldDayCounter,YieldCompounding,YieldFrequency)</f>
        <v>390.48194190926574</v>
      </c>
      <c r="N126" s="115">
        <f>_xll.BDP(A126&amp;" Corp","risk mid")</f>
        <v>11.483473691303914</v>
      </c>
      <c r="O126" s="101" t="str">
        <f>_xll.qlZeroCouponBond(,,"EUR",3,"target",100,$B126,"f",100,,,Trigger)</f>
        <v>obj_009f3#0000</v>
      </c>
      <c r="P126" s="101" t="str">
        <f>_xll.qlZeroCouponBond(,,"EUR",3,"target",100,$B126,"f",100,,,Trigger)</f>
        <v>obj_008fe#0000</v>
      </c>
      <c r="Q126" s="101" t="str">
        <f>_xll.qlZeroCouponBond(,,"EUR",3,"target",100,$B126,"f",100,,,Trigger)</f>
        <v>obj_009b0#0000</v>
      </c>
      <c r="R126" s="117">
        <f t="shared" si="86"/>
        <v>61.05</v>
      </c>
      <c r="S126" s="122">
        <f t="shared" ref="S126" si="142">R126</f>
        <v>61.05</v>
      </c>
      <c r="T126" s="138" t="str">
        <f>IF(UPPER(U$1)="ABCD",_xll.RtContribute($E$3,$E126,$R$3:$S$3,$R126:$S126,"SCOPE:SERVER"),"--")</f>
        <v>Success: Insert Ack on DTSIMI2 for STRIP.IT0004976673 at 10:36:19</v>
      </c>
      <c r="U126" s="142" t="str">
        <f t="shared" si="78"/>
        <v>OK</v>
      </c>
      <c r="V126" s="126" t="str">
        <f t="shared" si="116"/>
        <v>EUR.PRICING.XLS_STRIPS.IT0004976673</v>
      </c>
      <c r="W126" s="126" t="str">
        <f>IF(UPPER($X$1)="ABCD",_xll.MKV_PUBLISHRECORD(V126, "XLS_STRIPS"),"--")</f>
        <v>Not connected</v>
      </c>
      <c r="X126" s="127" t="str">
        <f>IF(UPPER(X$1)="ABCD",_xll.MKV_SUPPLYRECORD(V126, "Bid",F126, "Ask",H126, "Id",A126, "Mid",G126, "Name",D126,"DV01",N126,"MidYield",J126,"BidYield",I126,"AskYield",K126),"--")</f>
        <v>Not connected</v>
      </c>
      <c r="Z126" s="27" t="str">
        <f t="shared" si="90"/>
        <v>IT0004976673@rbsm Corp</v>
      </c>
      <c r="AA126" s="27">
        <f>_xll.BDP(Z126,"bid")</f>
        <v>58.948999999999998</v>
      </c>
      <c r="AB126" s="27">
        <f>_xll.BDP(Z126,"ask")</f>
        <v>61.265000000000001</v>
      </c>
      <c r="AC126" s="27">
        <f t="shared" si="93"/>
        <v>60.106999999999999</v>
      </c>
      <c r="AD126" s="114">
        <f t="shared" si="94"/>
        <v>0.89300000000000068</v>
      </c>
      <c r="AE126" s="27">
        <f t="shared" si="96"/>
        <v>0.85499999999999998</v>
      </c>
      <c r="AF126" s="152">
        <f t="shared" si="97"/>
        <v>7635.150000000006</v>
      </c>
    </row>
    <row r="127" spans="1:32" x14ac:dyDescent="0.2">
      <c r="A127" s="66" t="s">
        <v>85</v>
      </c>
      <c r="B127" s="83">
        <v>49888</v>
      </c>
      <c r="C127" s="131">
        <f>_xll.BDP(A127&amp;" Corp", "days to mty")</f>
        <v>7372</v>
      </c>
      <c r="D127" s="41" t="s">
        <v>477</v>
      </c>
      <c r="E127" s="41" t="s">
        <v>478</v>
      </c>
      <c r="F127" s="130">
        <v>59.93</v>
      </c>
      <c r="G127" s="130">
        <v>59.98</v>
      </c>
      <c r="H127" s="130">
        <f t="shared" si="76"/>
        <v>60.03</v>
      </c>
      <c r="I127" s="26">
        <f>ROUND(_xll.qlBondYieldFromCleanPrice(O127,F127,YieldDayCounter,YieldCompounding,YieldFrequency)*100,3)</f>
        <v>2.57</v>
      </c>
      <c r="J127" s="26">
        <f>ROUND(_xll.qlBondYieldFromCleanPrice(P127,G127,YieldDayCounter,YieldCompounding,YieldFrequency)*100,3)</f>
        <v>2.5649999999999999</v>
      </c>
      <c r="K127" s="26">
        <f>ROUND(_xll.qlBondYieldFromCleanPrice(Q127,H127,YieldDayCounter,YieldCompounding,YieldFrequency)*100,3)</f>
        <v>2.5609999999999999</v>
      </c>
      <c r="L127" s="114">
        <f>_xll.qlBondDurationFromYield(P127,J127,YieldDayCounter,YieldCompounding,YieldFrequency,L$2)</f>
        <v>5.6606810291311245</v>
      </c>
      <c r="M127" s="114">
        <f>_xll.qlBondConvexityFromYield(P127,J127/100,YieldDayCounter,YieldCompounding,YieldFrequency)</f>
        <v>406.31469341230769</v>
      </c>
      <c r="N127" s="115">
        <f>_xll.BDP(A127&amp;" Corp","risk mid")</f>
        <v>11.407525738210111</v>
      </c>
      <c r="O127" s="101" t="str">
        <f>_xll.qlZeroCouponBond(,,"EUR",3,"target",100,$B127,"f",100,,,Trigger)</f>
        <v>obj_0092c#0000</v>
      </c>
      <c r="P127" s="101" t="str">
        <f>_xll.qlZeroCouponBond(,,"EUR",3,"target",100,$B127,"f",100,,,Trigger)</f>
        <v>obj_009aa#0000</v>
      </c>
      <c r="Q127" s="101" t="str">
        <f>_xll.qlZeroCouponBond(,,"EUR",3,"target",100,$B127,"f",100,,,Trigger)</f>
        <v>obj_008ab#0000</v>
      </c>
      <c r="R127" s="117">
        <f t="shared" si="86"/>
        <v>60.03</v>
      </c>
      <c r="S127" s="122">
        <f t="shared" ref="S127" si="143">R127</f>
        <v>60.03</v>
      </c>
      <c r="T127" s="138" t="str">
        <f>IF(UPPER(U$1)="ABCD",_xll.RtContribute($E$3,$E127,$R$3:$S$3,$R127:$S127,"SCOPE:SERVER"),"--")</f>
        <v>Success: Insert Ack on DTSIMI2 for STRIP.IT0004002843 at 10:36:14</v>
      </c>
      <c r="U127" s="142" t="str">
        <f t="shared" si="78"/>
        <v>OK</v>
      </c>
      <c r="V127" s="126" t="str">
        <f t="shared" si="116"/>
        <v>EUR.PRICING.XLS_STRIPS.IT0004002843</v>
      </c>
      <c r="W127" s="126" t="str">
        <f>IF(UPPER($X$1)="ABCD",_xll.MKV_PUBLISHRECORD(V127, "XLS_STRIPS"),"--")</f>
        <v>Not connected</v>
      </c>
      <c r="X127" s="127" t="str">
        <f>IF(UPPER(X$1)="ABCD",_xll.MKV_SUPPLYRECORD(V127, "Bid",F127, "Ask",H127, "Id",A127, "Mid",G127, "Name",D127,"DV01",N127,"MidYield",J127,"BidYield",I127,"AskYield",K127),"--")</f>
        <v>Not connected</v>
      </c>
      <c r="Z127" s="27" t="str">
        <f t="shared" si="90"/>
        <v>IT0004002843@rbsm Corp</v>
      </c>
      <c r="AA127" s="27">
        <f>_xll.BDP(Z127,"bid")</f>
        <v>58.292000000000002</v>
      </c>
      <c r="AB127" s="27">
        <f>_xll.BDP(Z127,"ask")</f>
        <v>59.918999999999997</v>
      </c>
      <c r="AC127" s="27">
        <f t="shared" si="93"/>
        <v>59.105499999999999</v>
      </c>
      <c r="AD127" s="114">
        <f t="shared" si="94"/>
        <v>0.87449999999999761</v>
      </c>
      <c r="AE127" s="27" t="str">
        <f t="shared" si="96"/>
        <v>0</v>
      </c>
      <c r="AF127" s="152">
        <f t="shared" si="97"/>
        <v>0</v>
      </c>
    </row>
    <row r="128" spans="1:32" x14ac:dyDescent="0.2">
      <c r="A128" s="66" t="s">
        <v>245</v>
      </c>
      <c r="B128" s="83">
        <v>49919</v>
      </c>
      <c r="C128" s="131">
        <f>_xll.BDP(A128&amp;" Corp", "days to mty")</f>
        <v>7403</v>
      </c>
      <c r="D128" s="41" t="s">
        <v>246</v>
      </c>
      <c r="E128" s="41" t="s">
        <v>247</v>
      </c>
      <c r="F128" s="130">
        <v>59.71</v>
      </c>
      <c r="G128" s="130">
        <v>59.77</v>
      </c>
      <c r="H128" s="130">
        <f t="shared" si="76"/>
        <v>59.83</v>
      </c>
      <c r="I128" s="26">
        <f>ROUND(_xll.qlBondYieldFromCleanPrice(O128,F128,YieldDayCounter,YieldCompounding,YieldFrequency)*100,3)</f>
        <v>2.577</v>
      </c>
      <c r="J128" s="26">
        <f>ROUND(_xll.qlBondYieldFromCleanPrice(P128,G128,YieldDayCounter,YieldCompounding,YieldFrequency)*100,3)</f>
        <v>2.5720000000000001</v>
      </c>
      <c r="K128" s="26">
        <f>ROUND(_xll.qlBondYieldFromCleanPrice(Q128,H128,YieldDayCounter,YieldCompounding,YieldFrequency)*100,3)</f>
        <v>2.5670000000000002</v>
      </c>
      <c r="L128" s="114">
        <f>_xll.qlBondDurationFromYield(P128,J128,YieldDayCounter,YieldCompounding,YieldFrequency,L$2)</f>
        <v>5.6732999222856586</v>
      </c>
      <c r="M128" s="114">
        <f>_xll.qlBondConvexityFromYield(P128,J128/100,YieldDayCounter,YieldCompounding,YieldFrequency)</f>
        <v>409.59579675880838</v>
      </c>
      <c r="N128" s="115">
        <f>_xll.BDP(A128&amp;" Corp","risk mid")</f>
        <v>11.904515057947762</v>
      </c>
      <c r="O128" s="101" t="str">
        <f>_xll.qlZeroCouponBond(,,"EUR",3,"target",100,$B128,"f",100,,,Trigger)</f>
        <v>obj_0084c#0000</v>
      </c>
      <c r="P128" s="101" t="str">
        <f>_xll.qlZeroCouponBond(,,"EUR",3,"target",100,$B128,"f",100,,,Trigger)</f>
        <v>obj_008c6#0000</v>
      </c>
      <c r="Q128" s="101" t="str">
        <f>_xll.qlZeroCouponBond(,,"EUR",3,"target",100,$B128,"f",100,,,Trigger)</f>
        <v>obj_00885#0000</v>
      </c>
      <c r="R128" s="117">
        <f t="shared" si="86"/>
        <v>59.83</v>
      </c>
      <c r="S128" s="122">
        <f t="shared" ref="S128" si="144">R128</f>
        <v>59.83</v>
      </c>
      <c r="T128" s="138" t="str">
        <f>IF(UPPER(U$1)="ABCD",_xll.RtContribute($E$3,$E128,$R$3:$S$3,$R128:$S128,"SCOPE:SERVER"),"--")</f>
        <v>Success: Insert Ack on DTSIMI2 for STRIP.IT0004976681 at 10:36:50</v>
      </c>
      <c r="U128" s="142" t="str">
        <f t="shared" si="78"/>
        <v>OK</v>
      </c>
      <c r="V128" s="126" t="str">
        <f t="shared" si="116"/>
        <v>EUR.PRICING.XLS_STRIPS.IT0004976681</v>
      </c>
      <c r="W128" s="126" t="str">
        <f>IF(UPPER($X$1)="ABCD",_xll.MKV_PUBLISHRECORD(V128, "XLS_STRIPS"),"--")</f>
        <v>Not connected</v>
      </c>
      <c r="X128" s="127" t="str">
        <f>IF(UPPER(X$1)="ABCD",_xll.MKV_SUPPLYRECORD(V128, "Bid",F128, "Ask",H128, "Id",A128, "Mid",G128, "Name",D128,"DV01",N128,"MidYield",J128,"BidYield",I128,"AskYield",K128),"--")</f>
        <v>Not connected</v>
      </c>
      <c r="Z128" s="27" t="str">
        <f t="shared" si="90"/>
        <v>IT0004976681@rbsm Corp</v>
      </c>
      <c r="AA128" s="27">
        <f>_xll.BDP(Z128,"bid")</f>
        <v>60.197000000000003</v>
      </c>
      <c r="AB128" s="27">
        <f>_xll.BDP(Z128,"ask")</f>
        <v>61.643000000000001</v>
      </c>
      <c r="AC128" s="27">
        <f t="shared" si="93"/>
        <v>60.92</v>
      </c>
      <c r="AD128" s="114">
        <f t="shared" si="94"/>
        <v>-1.1499999999999986</v>
      </c>
      <c r="AE128" s="27">
        <f t="shared" si="96"/>
        <v>0.85499999999999998</v>
      </c>
      <c r="AF128" s="152">
        <f t="shared" si="97"/>
        <v>-9832.4999999999873</v>
      </c>
    </row>
    <row r="129" spans="1:32" x14ac:dyDescent="0.2">
      <c r="A129" s="66" t="s">
        <v>479</v>
      </c>
      <c r="B129" s="83">
        <v>50072</v>
      </c>
      <c r="C129" s="131">
        <f>_xll.BDP(A129&amp;" Corp", "days to mty")</f>
        <v>7556</v>
      </c>
      <c r="D129" s="41" t="s">
        <v>480</v>
      </c>
      <c r="E129" s="41" t="s">
        <v>481</v>
      </c>
      <c r="F129" s="130">
        <v>58.68</v>
      </c>
      <c r="G129" s="130">
        <v>58.73</v>
      </c>
      <c r="H129" s="130">
        <f t="shared" si="76"/>
        <v>58.78</v>
      </c>
      <c r="I129" s="26">
        <f>ROUND(_xll.qlBondYieldFromCleanPrice(O129,F129,YieldDayCounter,YieldCompounding,YieldFrequency)*100,3)</f>
        <v>2.61</v>
      </c>
      <c r="J129" s="26">
        <f>ROUND(_xll.qlBondYieldFromCleanPrice(P129,G129,YieldDayCounter,YieldCompounding,YieldFrequency)*100,3)</f>
        <v>2.6059999999999999</v>
      </c>
      <c r="K129" s="26">
        <f>ROUND(_xll.qlBondYieldFromCleanPrice(Q129,H129,YieldDayCounter,YieldCompounding,YieldFrequency)*100,3)</f>
        <v>2.6019999999999999</v>
      </c>
      <c r="L129" s="114">
        <f>_xll.qlBondDurationFromYield(P129,J129,YieldDayCounter,YieldCompounding,YieldFrequency,L$2)</f>
        <v>5.7364926094638866</v>
      </c>
      <c r="M129" s="114">
        <f>_xll.qlBondConvexityFromYield(P129,J129/100,YieldDayCounter,YieldCompounding,YieldFrequency)</f>
        <v>426.09058787189656</v>
      </c>
      <c r="N129" s="115">
        <f>_xll.BDP(A129&amp;" Corp","risk mid")</f>
        <v>11.962675535247769</v>
      </c>
      <c r="O129" s="101" t="str">
        <f>_xll.qlZeroCouponBond(,,"EUR",3,"target",100,$B129,"f",100,,,Trigger)</f>
        <v>obj_00913#0000</v>
      </c>
      <c r="P129" s="101" t="str">
        <f>_xll.qlZeroCouponBond(,,"EUR",3,"target",100,$B129,"f",100,,,Trigger)</f>
        <v>obj_00893#0000</v>
      </c>
      <c r="Q129" s="101" t="str">
        <f>_xll.qlZeroCouponBond(,,"EUR",3,"target",100,$B129,"f",100,,,Trigger)</f>
        <v>obj_008c7#0000</v>
      </c>
      <c r="R129" s="117">
        <f t="shared" si="86"/>
        <v>58.78</v>
      </c>
      <c r="S129" s="122">
        <f t="shared" ref="S129" si="145">R129</f>
        <v>58.78</v>
      </c>
      <c r="T129" s="138" t="str">
        <f>IF(UPPER(U$1)="ABCD",_xll.RtContribute($E$3,$E129,$R$3:$S$3,$R129:$S129,"SCOPE:SERVER"),"--")</f>
        <v>Success: Insert Ack on DTSIMI2 for STRIP.IT0004848641 at 10:36:19</v>
      </c>
      <c r="U129" s="142" t="str">
        <f t="shared" si="78"/>
        <v>OK</v>
      </c>
      <c r="V129" s="126" t="str">
        <f t="shared" si="116"/>
        <v>EUR.PRICING.XLS_STRIPS.IT0004848641</v>
      </c>
      <c r="W129" s="126" t="str">
        <f>IF(UPPER($X$1)="ABCD",_xll.MKV_PUBLISHRECORD(V129, "XLS_STRIPS"),"--")</f>
        <v>Not connected</v>
      </c>
      <c r="X129" s="127" t="str">
        <f>IF(UPPER(X$1)="ABCD",_xll.MKV_SUPPLYRECORD(V129, "Bid",F129, "Ask",H129, "Id",A129, "Mid",G129, "Name",D129,"DV01",N129,"MidYield",J129,"BidYield",I129,"AskYield",K129),"--")</f>
        <v>Not connected</v>
      </c>
      <c r="Z129" s="27" t="str">
        <f t="shared" si="90"/>
        <v>IT0004848641@rbsm Corp</v>
      </c>
      <c r="AA129" s="27">
        <f>_xll.BDP(Z129,"bid")</f>
        <v>59.04</v>
      </c>
      <c r="AB129" s="27">
        <f>_xll.BDP(Z129,"ask")</f>
        <v>59.399000000000001</v>
      </c>
      <c r="AC129" s="27">
        <f t="shared" si="93"/>
        <v>59.219499999999996</v>
      </c>
      <c r="AD129" s="114">
        <f t="shared" si="94"/>
        <v>-0.4894999999999996</v>
      </c>
      <c r="AE129" s="27" t="str">
        <f t="shared" si="96"/>
        <v>0</v>
      </c>
      <c r="AF129" s="152">
        <f t="shared" si="97"/>
        <v>0</v>
      </c>
    </row>
    <row r="130" spans="1:32" x14ac:dyDescent="0.2">
      <c r="A130" s="66" t="s">
        <v>248</v>
      </c>
      <c r="B130" s="83">
        <v>50100</v>
      </c>
      <c r="C130" s="131">
        <f>_xll.BDP(A130&amp;" Corp", "days to mty")</f>
        <v>7584</v>
      </c>
      <c r="D130" s="41" t="s">
        <v>249</v>
      </c>
      <c r="E130" s="41" t="s">
        <v>250</v>
      </c>
      <c r="F130" s="130">
        <v>58.49</v>
      </c>
      <c r="G130" s="130">
        <v>58.54</v>
      </c>
      <c r="H130" s="130">
        <f t="shared" si="76"/>
        <v>58.59</v>
      </c>
      <c r="I130" s="26">
        <f>ROUND(_xll.qlBondYieldFromCleanPrice(O130,F130,YieldDayCounter,YieldCompounding,YieldFrequency)*100,3)</f>
        <v>2.617</v>
      </c>
      <c r="J130" s="26">
        <f>ROUND(_xll.qlBondYieldFromCleanPrice(P130,G130,YieldDayCounter,YieldCompounding,YieldFrequency)*100,3)</f>
        <v>2.6120000000000001</v>
      </c>
      <c r="K130" s="26">
        <f>ROUND(_xll.qlBondYieldFromCleanPrice(Q130,H130,YieldDayCounter,YieldCompounding,YieldFrequency)*100,3)</f>
        <v>2.6080000000000001</v>
      </c>
      <c r="L130" s="114">
        <f>_xll.qlBondDurationFromYield(P130,J130,YieldDayCounter,YieldCompounding,YieldFrequency,L$2)</f>
        <v>5.7487219162912062</v>
      </c>
      <c r="M130" s="114">
        <f>_xll.qlBondConvexityFromYield(P130,J130/100,YieldDayCounter,YieldCompounding,YieldFrequency)</f>
        <v>429.20928527076694</v>
      </c>
      <c r="N130" s="115">
        <f>_xll.BDP(A130&amp;" Corp","risk mid")</f>
        <v>11.270445770648152</v>
      </c>
      <c r="O130" s="101" t="str">
        <f>_xll.qlZeroCouponBond(,,"EUR",3,"target",100,$B130,"f",100,,,Trigger)</f>
        <v>obj_009f1#0000</v>
      </c>
      <c r="P130" s="101" t="str">
        <f>_xll.qlZeroCouponBond(,,"EUR",3,"target",100,$B130,"f",100,,,Trigger)</f>
        <v>obj_00985#0000</v>
      </c>
      <c r="Q130" s="101" t="str">
        <f>_xll.qlZeroCouponBond(,,"EUR",3,"target",100,$B130,"f",100,,,Trigger)</f>
        <v>obj_008a4#0000</v>
      </c>
      <c r="R130" s="117">
        <f t="shared" si="86"/>
        <v>58.59</v>
      </c>
      <c r="S130" s="122">
        <f t="shared" ref="S130" si="146">R130</f>
        <v>58.59</v>
      </c>
      <c r="T130" s="138" t="str">
        <f>IF(UPPER(U$1)="ABCD",_xll.RtContribute($E$3,$E130,$R$3:$S$3,$R130:$S130,"SCOPE:SERVER"),"--")</f>
        <v>Success: Insert Ack on DTSIMI2 for STRIP.IT0004976699 at 10:36:19</v>
      </c>
      <c r="U130" s="142" t="str">
        <f t="shared" si="78"/>
        <v>OK</v>
      </c>
      <c r="V130" s="126" t="str">
        <f t="shared" si="116"/>
        <v>EUR.PRICING.XLS_STRIPS.IT0004976699</v>
      </c>
      <c r="W130" s="126" t="str">
        <f>IF(UPPER($X$1)="ABCD",_xll.MKV_PUBLISHRECORD(V130, "XLS_STRIPS"),"--")</f>
        <v>Not connected</v>
      </c>
      <c r="X130" s="127" t="str">
        <f>IF(UPPER(X$1)="ABCD",_xll.MKV_SUPPLYRECORD(V130, "Bid",F130, "Ask",H130, "Id",A130, "Mid",G130, "Name",D130,"DV01",N130,"MidYield",J130,"BidYield",I130,"AskYield",K130),"--")</f>
        <v>Not connected</v>
      </c>
      <c r="Z130" s="27" t="str">
        <f t="shared" si="90"/>
        <v>IT0004976699@rbsm Corp</v>
      </c>
      <c r="AA130" s="27">
        <f>_xll.BDP(Z130,"bid")</f>
        <v>54.704999999999998</v>
      </c>
      <c r="AB130" s="27">
        <f>_xll.BDP(Z130,"ask")</f>
        <v>56.959000000000003</v>
      </c>
      <c r="AC130" s="27">
        <f t="shared" si="93"/>
        <v>55.832000000000001</v>
      </c>
      <c r="AD130" s="114">
        <f t="shared" si="94"/>
        <v>2.7079999999999984</v>
      </c>
      <c r="AE130" s="27">
        <f t="shared" si="96"/>
        <v>0.85499999999999998</v>
      </c>
      <c r="AF130" s="152">
        <f t="shared" si="97"/>
        <v>23153.399999999987</v>
      </c>
    </row>
    <row r="131" spans="1:32" x14ac:dyDescent="0.2">
      <c r="A131" s="66" t="s">
        <v>86</v>
      </c>
      <c r="B131" s="83">
        <v>50253</v>
      </c>
      <c r="C131" s="131">
        <f>_xll.BDP(A131&amp;" Corp", "days to mty")</f>
        <v>7737</v>
      </c>
      <c r="D131" s="41" t="s">
        <v>482</v>
      </c>
      <c r="E131" s="41" t="s">
        <v>483</v>
      </c>
      <c r="F131" s="130">
        <v>57.48</v>
      </c>
      <c r="G131" s="130">
        <v>57.54</v>
      </c>
      <c r="H131" s="130">
        <f t="shared" si="76"/>
        <v>57.6</v>
      </c>
      <c r="I131" s="26">
        <f>ROUND(_xll.qlBondYieldFromCleanPrice(O131,F131,YieldDayCounter,YieldCompounding,YieldFrequency)*100,3)</f>
        <v>2.6480000000000001</v>
      </c>
      <c r="J131" s="26">
        <f>ROUND(_xll.qlBondYieldFromCleanPrice(P131,G131,YieldDayCounter,YieldCompounding,YieldFrequency)*100,3)</f>
        <v>2.6429999999999998</v>
      </c>
      <c r="K131" s="26">
        <f>ROUND(_xll.qlBondYieldFromCleanPrice(Q131,H131,YieldDayCounter,YieldCompounding,YieldFrequency)*100,3)</f>
        <v>2.6379999999999999</v>
      </c>
      <c r="L131" s="114">
        <f>_xll.qlBondDurationFromYield(P131,J131,YieldDayCounter,YieldCompounding,YieldFrequency,L$2)</f>
        <v>5.8154796458212408</v>
      </c>
      <c r="M131" s="114">
        <f>_xll.qlBondConvexityFromYield(P131,J131/100,YieldDayCounter,YieldCompounding,YieldFrequency)</f>
        <v>446.12954079365494</v>
      </c>
      <c r="N131" s="115">
        <f>_xll.BDP(A131&amp;" Corp","risk mid")</f>
        <v>11.674761630232666</v>
      </c>
      <c r="O131" s="101" t="str">
        <f>_xll.qlZeroCouponBond(,,"EUR",3,"target",100,$B131,"f",100,,,Trigger)</f>
        <v>obj_009ef#0000</v>
      </c>
      <c r="P131" s="101" t="str">
        <f>_xll.qlZeroCouponBond(,,"EUR",3,"target",100,$B131,"f",100,,,Trigger)</f>
        <v>obj_00891#0000</v>
      </c>
      <c r="Q131" s="101" t="str">
        <f>_xll.qlZeroCouponBond(,,"EUR",3,"target",100,$B131,"f",100,,,Trigger)</f>
        <v>obj_00872#0000</v>
      </c>
      <c r="R131" s="117">
        <f t="shared" si="86"/>
        <v>57.6</v>
      </c>
      <c r="S131" s="122">
        <f t="shared" ref="S131" si="147">R131</f>
        <v>57.6</v>
      </c>
      <c r="T131" s="138" t="str">
        <f>IF(UPPER(U$1)="ABCD",_xll.RtContribute($E$3,$E131,$R$3:$S$3,$R131:$S131,"SCOPE:SERVER"),"--")</f>
        <v>Success: Insert Ack on DTSIMI2 for STRIP.IT0004288590 at 10:36:19</v>
      </c>
      <c r="U131" s="142" t="str">
        <f t="shared" si="78"/>
        <v>OK</v>
      </c>
      <c r="V131" s="126" t="str">
        <f t="shared" si="116"/>
        <v>EUR.PRICING.XLS_STRIPS.IT0004288590</v>
      </c>
      <c r="W131" s="126" t="str">
        <f>IF(UPPER($X$1)="ABCD",_xll.MKV_PUBLISHRECORD(V131, "XLS_STRIPS"),"--")</f>
        <v>Not connected</v>
      </c>
      <c r="X131" s="127" t="str">
        <f>IF(UPPER(X$1)="ABCD",_xll.MKV_SUPPLYRECORD(V131, "Bid",F131, "Ask",H131, "Id",A131, "Mid",G131, "Name",D131,"DV01",N131,"MidYield",J131,"BidYield",I131,"AskYield",K131),"--")</f>
        <v>Not connected</v>
      </c>
      <c r="Z131" s="27" t="str">
        <f t="shared" si="90"/>
        <v>IT0004288590@rbsm Corp</v>
      </c>
      <c r="AA131" s="27">
        <f>_xll.BDP(Z131,"bid")</f>
        <v>56.734000000000002</v>
      </c>
      <c r="AB131" s="27">
        <f>_xll.BDP(Z131,"ask")</f>
        <v>57.322000000000003</v>
      </c>
      <c r="AC131" s="27">
        <f t="shared" si="93"/>
        <v>57.028000000000006</v>
      </c>
      <c r="AD131" s="114">
        <f t="shared" si="94"/>
        <v>0.51199999999999335</v>
      </c>
      <c r="AE131" s="27" t="str">
        <f t="shared" si="96"/>
        <v>0</v>
      </c>
      <c r="AF131" s="152">
        <f t="shared" si="97"/>
        <v>0</v>
      </c>
    </row>
    <row r="132" spans="1:32" x14ac:dyDescent="0.2">
      <c r="A132" s="66" t="s">
        <v>251</v>
      </c>
      <c r="B132" s="83">
        <v>50284</v>
      </c>
      <c r="C132" s="131">
        <f>_xll.BDP(A132&amp;" Corp", "days to mty")</f>
        <v>7768</v>
      </c>
      <c r="D132" s="41" t="s">
        <v>252</v>
      </c>
      <c r="E132" s="41" t="s">
        <v>253</v>
      </c>
      <c r="F132" s="130">
        <v>57.28</v>
      </c>
      <c r="G132" s="130">
        <v>57.34</v>
      </c>
      <c r="H132" s="130">
        <f t="shared" si="76"/>
        <v>57.4</v>
      </c>
      <c r="I132" s="26">
        <f>ROUND(_xll.qlBondYieldFromCleanPrice(O132,F132,YieldDayCounter,YieldCompounding,YieldFrequency)*100,3)</f>
        <v>2.6549999999999998</v>
      </c>
      <c r="J132" s="26">
        <f>ROUND(_xll.qlBondYieldFromCleanPrice(P132,G132,YieldDayCounter,YieldCompounding,YieldFrequency)*100,3)</f>
        <v>2.65</v>
      </c>
      <c r="K132" s="26">
        <f>ROUND(_xll.qlBondYieldFromCleanPrice(Q132,H132,YieldDayCounter,YieldCompounding,YieldFrequency)*100,3)</f>
        <v>2.645</v>
      </c>
      <c r="L132" s="114">
        <f>_xll.qlBondDurationFromYield(P132,J132,YieldDayCounter,YieldCompounding,YieldFrequency,L$2)</f>
        <v>5.8260348828505135</v>
      </c>
      <c r="M132" s="114">
        <f>_xll.qlBondConvexityFromYield(P132,J132/100,YieldDayCounter,YieldCompounding,YieldFrequency)</f>
        <v>449.33605707400619</v>
      </c>
      <c r="N132" s="115">
        <f>_xll.BDP(A132&amp;" Corp","risk mid")</f>
        <v>11.307198104973537</v>
      </c>
      <c r="O132" s="101" t="str">
        <f>_xll.qlZeroCouponBond(,,"EUR",3,"target",100,$B132,"f",100,,,Trigger)</f>
        <v>obj_00938#0000</v>
      </c>
      <c r="P132" s="101" t="str">
        <f>_xll.qlZeroCouponBond(,,"EUR",3,"target",100,$B132,"f",100,,,Trigger)</f>
        <v>obj_00908#0000</v>
      </c>
      <c r="Q132" s="101" t="str">
        <f>_xll.qlZeroCouponBond(,,"EUR",3,"target",100,$B132,"f",100,,,Trigger)</f>
        <v>obj_0097e#0000</v>
      </c>
      <c r="R132" s="117">
        <f t="shared" si="86"/>
        <v>57.4</v>
      </c>
      <c r="S132" s="122">
        <f t="shared" ref="S132" si="148">R132</f>
        <v>57.4</v>
      </c>
      <c r="T132" s="138" t="str">
        <f>IF(UPPER(U$1)="ABCD",_xll.RtContribute($E$3,$E132,$R$3:$S$3,$R132:$S132,"SCOPE:SERVER"),"--")</f>
        <v>Success: Insert Ack on DTSIMI2 for STRIP.IT0004976707 at 10:36:19</v>
      </c>
      <c r="U132" s="142" t="str">
        <f t="shared" si="78"/>
        <v>OK</v>
      </c>
      <c r="V132" s="126" t="str">
        <f t="shared" ref="V132:V150" si="149">V$3&amp;A132</f>
        <v>EUR.PRICING.XLS_STRIPS.IT0004976707</v>
      </c>
      <c r="W132" s="126" t="str">
        <f>IF(UPPER($X$1)="ABCD",_xll.MKV_PUBLISHRECORD(V132, "XLS_STRIPS"),"--")</f>
        <v>Not connected</v>
      </c>
      <c r="X132" s="127" t="str">
        <f>IF(UPPER(X$1)="ABCD",_xll.MKV_SUPPLYRECORD(V132, "Bid",F132, "Ask",H132, "Id",A132, "Mid",G132, "Name",D132,"DV01",N132,"MidYield",J132,"BidYield",I132,"AskYield",K132),"--")</f>
        <v>Not connected</v>
      </c>
      <c r="Z132" s="27" t="str">
        <f t="shared" si="90"/>
        <v>IT0004976707@rbsm Corp</v>
      </c>
      <c r="AA132" s="27">
        <f>_xll.BDP(Z132,"bid")</f>
        <v>53.654000000000003</v>
      </c>
      <c r="AB132" s="27">
        <f>_xll.BDP(Z132,"ask")</f>
        <v>55.918999999999997</v>
      </c>
      <c r="AC132" s="27">
        <f t="shared" si="93"/>
        <v>54.786500000000004</v>
      </c>
      <c r="AD132" s="114">
        <f t="shared" si="94"/>
        <v>2.5534999999999997</v>
      </c>
      <c r="AE132" s="27">
        <f t="shared" si="96"/>
        <v>0.85499999999999998</v>
      </c>
      <c r="AF132" s="152">
        <f t="shared" si="97"/>
        <v>21832.424999999996</v>
      </c>
    </row>
    <row r="133" spans="1:32" x14ac:dyDescent="0.2">
      <c r="A133" s="66" t="s">
        <v>87</v>
      </c>
      <c r="B133" s="83">
        <v>50437</v>
      </c>
      <c r="C133" s="131">
        <f>_xll.BDP(A133&amp;" Corp", "days to mty")</f>
        <v>7921</v>
      </c>
      <c r="D133" s="41" t="s">
        <v>484</v>
      </c>
      <c r="E133" s="41" t="s">
        <v>485</v>
      </c>
      <c r="F133" s="130">
        <v>56.3</v>
      </c>
      <c r="G133" s="130">
        <v>56.35</v>
      </c>
      <c r="H133" s="130">
        <f t="shared" ref="H133:H150" si="150">ROUNDUP(2*G133-F133,2)</f>
        <v>56.4</v>
      </c>
      <c r="I133" s="26">
        <f>ROUND(_xll.qlBondYieldFromCleanPrice(O133,F133,YieldDayCounter,YieldCompounding,YieldFrequency)*100,3)</f>
        <v>2.6850000000000001</v>
      </c>
      <c r="J133" s="26">
        <f>ROUND(_xll.qlBondYieldFromCleanPrice(P133,G133,YieldDayCounter,YieldCompounding,YieldFrequency)*100,3)</f>
        <v>2.681</v>
      </c>
      <c r="K133" s="26">
        <f>ROUND(_xll.qlBondYieldFromCleanPrice(Q133,H133,YieldDayCounter,YieldCompounding,YieldFrequency)*100,3)</f>
        <v>2.6760000000000002</v>
      </c>
      <c r="L133" s="114">
        <f>_xll.qlBondDurationFromYield(P133,J133,YieldDayCounter,YieldCompounding,YieldFrequency,L$2)</f>
        <v>5.8905352103476281</v>
      </c>
      <c r="M133" s="114">
        <f>_xll.qlBondConvexityFromYield(P133,J133/100,YieldDayCounter,YieldCompounding,YieldFrequency)</f>
        <v>466.4896776647692</v>
      </c>
      <c r="N133" s="115">
        <f>_xll.BDP(A133&amp;" Corp","risk mid")</f>
        <v>11.586811467524782</v>
      </c>
      <c r="O133" s="101" t="str">
        <f>_xll.qlZeroCouponBond(,,"EUR",3,"target",100,$B133,"f",100,,,Trigger)</f>
        <v>obj_009e3#0000</v>
      </c>
      <c r="P133" s="101" t="str">
        <f>_xll.qlZeroCouponBond(,,"EUR",3,"target",100,$B133,"f",100,,,Trigger)</f>
        <v>obj_009e9#0000</v>
      </c>
      <c r="Q133" s="101" t="str">
        <f>_xll.qlZeroCouponBond(,,"EUR",3,"target",100,$B133,"f",100,,,Trigger)</f>
        <v>obj_008d2#0000</v>
      </c>
      <c r="R133" s="117">
        <f t="shared" si="86"/>
        <v>56.4</v>
      </c>
      <c r="S133" s="122">
        <f t="shared" ref="S133" si="151">R133</f>
        <v>56.4</v>
      </c>
      <c r="T133" s="138" t="str">
        <f>IF(UPPER(U$1)="ABCD",_xll.RtContribute($E$3,$E133,$R$3:$S$3,$R133:$S133,"SCOPE:SERVER"),"--")</f>
        <v>Success: Insert Ack on DTSIMI2 for STRIP.IT0004288608 at 10:36:50</v>
      </c>
      <c r="U133" s="142" t="str">
        <f t="shared" ref="U133:U150" si="152">IF(OR(LEFT(T133,3)="Suc",LEFT(T133,3)="Sen"),"OK","")</f>
        <v>OK</v>
      </c>
      <c r="V133" s="126" t="str">
        <f t="shared" si="149"/>
        <v>EUR.PRICING.XLS_STRIPS.IT0004288608</v>
      </c>
      <c r="W133" s="126" t="str">
        <f>IF(UPPER($X$1)="ABCD",_xll.MKV_PUBLISHRECORD(V133, "XLS_STRIPS"),"--")</f>
        <v>Not connected</v>
      </c>
      <c r="X133" s="127" t="str">
        <f>IF(UPPER(X$1)="ABCD",_xll.MKV_SUPPLYRECORD(V133, "Bid",F133, "Ask",H133, "Id",A133, "Mid",G133, "Name",D133,"DV01",N133,"MidYield",J133,"BidYield",I133,"AskYield",K133),"--")</f>
        <v>Not connected</v>
      </c>
      <c r="Z133" s="27" t="str">
        <f t="shared" si="90"/>
        <v>IT0004288608@rbsm Corp</v>
      </c>
      <c r="AA133" s="27">
        <f>_xll.BDP(Z133,"bid")</f>
        <v>55.494</v>
      </c>
      <c r="AB133" s="27">
        <f>_xll.BDP(Z133,"ask")</f>
        <v>56.082999999999998</v>
      </c>
      <c r="AC133" s="27">
        <f t="shared" si="93"/>
        <v>55.788499999999999</v>
      </c>
      <c r="AD133" s="114">
        <f t="shared" si="94"/>
        <v>0.56150000000000233</v>
      </c>
      <c r="AE133" s="27" t="str">
        <f t="shared" si="96"/>
        <v>0</v>
      </c>
      <c r="AF133" s="152">
        <f t="shared" si="97"/>
        <v>0</v>
      </c>
    </row>
    <row r="134" spans="1:32" x14ac:dyDescent="0.2">
      <c r="A134" s="66" t="s">
        <v>254</v>
      </c>
      <c r="B134" s="83">
        <v>50465</v>
      </c>
      <c r="C134" s="131">
        <f>_xll.BDP(A134&amp;" Corp", "days to mty")</f>
        <v>7949</v>
      </c>
      <c r="D134" s="41" t="s">
        <v>255</v>
      </c>
      <c r="E134" s="41" t="s">
        <v>256</v>
      </c>
      <c r="F134" s="130">
        <v>56.12</v>
      </c>
      <c r="G134" s="130">
        <v>56.17</v>
      </c>
      <c r="H134" s="130">
        <f t="shared" si="150"/>
        <v>56.22</v>
      </c>
      <c r="I134" s="26">
        <f>ROUND(_xll.qlBondYieldFromCleanPrice(O134,F134,YieldDayCounter,YieldCompounding,YieldFrequency)*100,3)</f>
        <v>2.69</v>
      </c>
      <c r="J134" s="26">
        <f>ROUND(_xll.qlBondYieldFromCleanPrice(P134,G134,YieldDayCounter,YieldCompounding,YieldFrequency)*100,3)</f>
        <v>2.6859999999999999</v>
      </c>
      <c r="K134" s="26">
        <f>ROUND(_xll.qlBondYieldFromCleanPrice(Q134,H134,YieldDayCounter,YieldCompounding,YieldFrequency)*100,3)</f>
        <v>2.6819999999999999</v>
      </c>
      <c r="L134" s="114">
        <f>_xll.qlBondDurationFromYield(P134,J134,YieldDayCounter,YieldCompounding,YieldFrequency,L$2)</f>
        <v>5.9038643070039178</v>
      </c>
      <c r="M134" s="114">
        <f>_xll.qlBondConvexityFromYield(P134,J134/100,YieldDayCounter,YieldCompounding,YieldFrequency)</f>
        <v>469.75655381735646</v>
      </c>
      <c r="N134" s="115">
        <f>_xll.BDP(A134&amp;" Corp","risk mid")</f>
        <v>11.384025908272477</v>
      </c>
      <c r="O134" s="101" t="str">
        <f>_xll.qlZeroCouponBond(,,"EUR",3,"target",100,$B134,"f",100,,,Trigger)</f>
        <v>obj_00878#0000</v>
      </c>
      <c r="P134" s="101" t="str">
        <f>_xll.qlZeroCouponBond(,,"EUR",3,"target",100,$B134,"f",100,,,Trigger)</f>
        <v>obj_00949#0000</v>
      </c>
      <c r="Q134" s="101" t="str">
        <f>_xll.qlZeroCouponBond(,,"EUR",3,"target",100,$B134,"f",100,,,Trigger)</f>
        <v>obj_00867#0000</v>
      </c>
      <c r="R134" s="117">
        <f t="shared" si="86"/>
        <v>56.22</v>
      </c>
      <c r="S134" s="122">
        <f t="shared" ref="S134" si="153">R134</f>
        <v>56.22</v>
      </c>
      <c r="T134" s="138" t="str">
        <f>IF(UPPER(U$1)="ABCD",_xll.RtContribute($E$3,$E134,$R$3:$S$3,$R134:$S134,"SCOPE:SERVER"),"--")</f>
        <v>Success: Insert Ack on DTSIMI2 for STRIP.IT0004976715 at 10:36:50</v>
      </c>
      <c r="U134" s="142" t="str">
        <f t="shared" si="152"/>
        <v>OK</v>
      </c>
      <c r="V134" s="126" t="str">
        <f t="shared" si="149"/>
        <v>EUR.PRICING.XLS_STRIPS.IT0004976715</v>
      </c>
      <c r="W134" s="126" t="str">
        <f>IF(UPPER($X$1)="ABCD",_xll.MKV_PUBLISHRECORD(V134, "XLS_STRIPS"),"--")</f>
        <v>Not connected</v>
      </c>
      <c r="X134" s="127" t="str">
        <f>IF(UPPER(X$1)="ABCD",_xll.MKV_SUPPLYRECORD(V134, "Bid",F134, "Ask",H134, "Id",A134, "Mid",G134, "Name",D134,"DV01",N134,"MidYield",J134,"BidYield",I134,"AskYield",K134),"--")</f>
        <v>Not connected</v>
      </c>
      <c r="Z134" s="27" t="str">
        <f t="shared" si="90"/>
        <v>IT0004976715@rbsm Corp</v>
      </c>
      <c r="AA134" s="27">
        <f>_xll.BDP(Z134,"bid")</f>
        <v>52.64</v>
      </c>
      <c r="AB134" s="27">
        <f>_xll.BDP(Z134,"ask")</f>
        <v>54.914999999999999</v>
      </c>
      <c r="AC134" s="27">
        <f t="shared" si="93"/>
        <v>53.777500000000003</v>
      </c>
      <c r="AD134" s="114">
        <f t="shared" si="94"/>
        <v>2.3924999999999983</v>
      </c>
      <c r="AE134" s="27">
        <f t="shared" si="96"/>
        <v>0.85499999999999998</v>
      </c>
      <c r="AF134" s="152">
        <f t="shared" si="97"/>
        <v>20455.874999999985</v>
      </c>
    </row>
    <row r="135" spans="1:32" x14ac:dyDescent="0.2">
      <c r="A135" s="66" t="s">
        <v>88</v>
      </c>
      <c r="B135" s="83">
        <v>50618</v>
      </c>
      <c r="C135" s="131">
        <f>_xll.BDP(A135&amp;" Corp", "days to mty")</f>
        <v>8102</v>
      </c>
      <c r="D135" s="41" t="s">
        <v>486</v>
      </c>
      <c r="E135" s="41" t="s">
        <v>487</v>
      </c>
      <c r="F135" s="130">
        <v>55.12</v>
      </c>
      <c r="G135" s="130">
        <v>55.18</v>
      </c>
      <c r="H135" s="130">
        <f t="shared" si="150"/>
        <v>55.24</v>
      </c>
      <c r="I135" s="26">
        <f>ROUND(_xll.qlBondYieldFromCleanPrice(O135,F135,YieldDayCounter,YieldCompounding,YieldFrequency)*100,3)</f>
        <v>2.722</v>
      </c>
      <c r="J135" s="26">
        <f>ROUND(_xll.qlBondYieldFromCleanPrice(P135,G135,YieldDayCounter,YieldCompounding,YieldFrequency)*100,3)</f>
        <v>2.7170000000000001</v>
      </c>
      <c r="K135" s="26">
        <f>ROUND(_xll.qlBondYieldFromCleanPrice(Q135,H135,YieldDayCounter,YieldCompounding,YieldFrequency)*100,3)</f>
        <v>2.7109999999999999</v>
      </c>
      <c r="L135" s="114">
        <f>_xll.qlBondDurationFromYield(P135,J135,YieldDayCounter,YieldCompounding,YieldFrequency,L$2)</f>
        <v>5.9680011055393098</v>
      </c>
      <c r="M135" s="114">
        <f>_xll.qlBondConvexityFromYield(P135,J135/100,YieldDayCounter,YieldCompounding,YieldFrequency)</f>
        <v>487.42473456807824</v>
      </c>
      <c r="N135" s="115">
        <f>_xll.BDP(A135&amp;" Corp","risk mid")</f>
        <v>11.592842714393115</v>
      </c>
      <c r="O135" s="101" t="str">
        <f>_xll.qlZeroCouponBond(,,"EUR",3,"target",100,$B135,"f",100,,,Trigger)</f>
        <v>obj_008dc#0000</v>
      </c>
      <c r="P135" s="101" t="str">
        <f>_xll.qlZeroCouponBond(,,"EUR",3,"target",100,$B135,"f",100,,,Trigger)</f>
        <v>obj_0088a#0000</v>
      </c>
      <c r="Q135" s="101" t="str">
        <f>_xll.qlZeroCouponBond(,,"EUR",3,"target",100,$B135,"f",100,,,Trigger)</f>
        <v>obj_00846#0000</v>
      </c>
      <c r="R135" s="117">
        <f t="shared" si="86"/>
        <v>55.24</v>
      </c>
      <c r="S135" s="122">
        <f t="shared" ref="S135" si="154">R135</f>
        <v>55.24</v>
      </c>
      <c r="T135" s="138" t="str">
        <f>IF(UPPER(U$1)="ABCD",_xll.RtContribute($E$3,$E135,$R$3:$S$3,$R135:$S135,"SCOPE:SERVER"),"--")</f>
        <v>Success: Insert Ack on DTSIMI2 for STRIP.IT0004288616 at 10:36:50</v>
      </c>
      <c r="U135" s="142" t="str">
        <f t="shared" si="152"/>
        <v>OK</v>
      </c>
      <c r="V135" s="126" t="str">
        <f t="shared" si="149"/>
        <v>EUR.PRICING.XLS_STRIPS.IT0004288616</v>
      </c>
      <c r="W135" s="126" t="str">
        <f>IF(UPPER($X$1)="ABCD",_xll.MKV_PUBLISHRECORD(V135, "XLS_STRIPS"),"--")</f>
        <v>Not connected</v>
      </c>
      <c r="X135" s="127" t="str">
        <f>IF(UPPER(X$1)="ABCD",_xll.MKV_SUPPLYRECORD(V135, "Bid",F135, "Ask",H135, "Id",A135, "Mid",G135, "Name",D135,"DV01",N135,"MidYield",J135,"BidYield",I135,"AskYield",K135),"--")</f>
        <v>Not connected</v>
      </c>
      <c r="Z135" s="27" t="str">
        <f t="shared" si="90"/>
        <v>IT0004288616@rbsm Corp</v>
      </c>
      <c r="AA135" s="27">
        <f>_xll.BDP(Z135,"bid")</f>
        <v>53.712000000000003</v>
      </c>
      <c r="AB135" s="27">
        <f>_xll.BDP(Z135,"ask")</f>
        <v>54.884</v>
      </c>
      <c r="AC135" s="27">
        <f t="shared" si="93"/>
        <v>54.298000000000002</v>
      </c>
      <c r="AD135" s="114">
        <f t="shared" si="94"/>
        <v>0.8819999999999979</v>
      </c>
      <c r="AE135" s="27" t="str">
        <f t="shared" si="96"/>
        <v>0</v>
      </c>
      <c r="AF135" s="152">
        <f t="shared" si="97"/>
        <v>0</v>
      </c>
    </row>
    <row r="136" spans="1:32" x14ac:dyDescent="0.2">
      <c r="A136" s="66" t="s">
        <v>257</v>
      </c>
      <c r="B136" s="83">
        <v>50649</v>
      </c>
      <c r="C136" s="131">
        <f>_xll.BDP(A136&amp;" Corp", "days to mty")</f>
        <v>8133</v>
      </c>
      <c r="D136" s="41" t="s">
        <v>258</v>
      </c>
      <c r="E136" s="41" t="s">
        <v>259</v>
      </c>
      <c r="F136" s="130">
        <v>54.92</v>
      </c>
      <c r="G136" s="130">
        <v>54.97</v>
      </c>
      <c r="H136" s="130">
        <f t="shared" si="150"/>
        <v>55.02</v>
      </c>
      <c r="I136" s="26">
        <f>ROUND(_xll.qlBondYieldFromCleanPrice(O136,F136,YieldDayCounter,YieldCompounding,YieldFrequency)*100,3)</f>
        <v>2.7280000000000002</v>
      </c>
      <c r="J136" s="26">
        <f>ROUND(_xll.qlBondYieldFromCleanPrice(P136,G136,YieldDayCounter,YieldCompounding,YieldFrequency)*100,3)</f>
        <v>2.7240000000000002</v>
      </c>
      <c r="K136" s="26">
        <f>ROUND(_xll.qlBondYieldFromCleanPrice(Q136,H136,YieldDayCounter,YieldCompounding,YieldFrequency)*100,3)</f>
        <v>2.72</v>
      </c>
      <c r="L136" s="114">
        <f>_xll.qlBondDurationFromYield(P136,J136,YieldDayCounter,YieldCompounding,YieldFrequency,L$2)</f>
        <v>5.9787935881859209</v>
      </c>
      <c r="M136" s="114">
        <f>_xll.qlBondConvexityFromYield(P136,J136/100,YieldDayCounter,YieldCompounding,YieldFrequency)</f>
        <v>490.88860955341914</v>
      </c>
      <c r="N136" s="115">
        <f>_xll.BDP(A136&amp;" Corp","risk mid")</f>
        <v>11.38260075807267</v>
      </c>
      <c r="O136" s="101" t="str">
        <f>_xll.qlZeroCouponBond(,,"EUR",3,"target",100,$B136,"f",100,,,Trigger)</f>
        <v>obj_008f2#0000</v>
      </c>
      <c r="P136" s="101" t="str">
        <f>_xll.qlZeroCouponBond(,,"EUR",3,"target",100,$B136,"f",100,,,Trigger)</f>
        <v>obj_008eb#0000</v>
      </c>
      <c r="Q136" s="101" t="str">
        <f>_xll.qlZeroCouponBond(,,"EUR",3,"target",100,$B136,"f",100,,,Trigger)</f>
        <v>obj_0096b#0000</v>
      </c>
      <c r="R136" s="117">
        <f t="shared" si="86"/>
        <v>55.02</v>
      </c>
      <c r="S136" s="122">
        <f t="shared" ref="S136" si="155">R136</f>
        <v>55.02</v>
      </c>
      <c r="T136" s="138" t="str">
        <f>IF(UPPER(U$1)="ABCD",_xll.RtContribute($E$3,$E136,$R$3:$S$3,$R136:$S136,"SCOPE:SERVER"),"--")</f>
        <v>Success: Insert Ack on DTSIMI2 for STRIP.IT0004976723 at 10:35:53</v>
      </c>
      <c r="U136" s="142" t="str">
        <f t="shared" si="152"/>
        <v>OK</v>
      </c>
      <c r="V136" s="126" t="str">
        <f t="shared" si="149"/>
        <v>EUR.PRICING.XLS_STRIPS.IT0004976723</v>
      </c>
      <c r="W136" s="126" t="str">
        <f>IF(UPPER($X$1)="ABCD",_xll.MKV_PUBLISHRECORD(V136, "XLS_STRIPS"),"--")</f>
        <v>Not connected</v>
      </c>
      <c r="X136" s="127" t="str">
        <f>IF(UPPER(X$1)="ABCD",_xll.MKV_SUPPLYRECORD(V136, "Bid",F136, "Ask",H136, "Id",A136, "Mid",G136, "Name",D136,"DV01",N136,"MidYield",J136,"BidYield",I136,"AskYield",K136),"--")</f>
        <v>Not connected</v>
      </c>
      <c r="Z136" s="27" t="str">
        <f t="shared" si="90"/>
        <v>IT0004976723@rbsm Corp</v>
      </c>
      <c r="AA136" s="27">
        <f>_xll.BDP(Z136,"bid")</f>
        <v>51.612000000000002</v>
      </c>
      <c r="AB136" s="27">
        <f>_xll.BDP(Z136,"ask")</f>
        <v>53.895000000000003</v>
      </c>
      <c r="AC136" s="27">
        <f t="shared" si="93"/>
        <v>52.753500000000003</v>
      </c>
      <c r="AD136" s="114">
        <f t="shared" si="94"/>
        <v>2.2164999999999964</v>
      </c>
      <c r="AE136" s="27">
        <f t="shared" si="96"/>
        <v>0.85499999999999998</v>
      </c>
      <c r="AF136" s="152">
        <f t="shared" si="97"/>
        <v>18951.074999999968</v>
      </c>
    </row>
    <row r="137" spans="1:32" x14ac:dyDescent="0.2">
      <c r="A137" s="66" t="s">
        <v>89</v>
      </c>
      <c r="B137" s="83">
        <v>50802</v>
      </c>
      <c r="C137" s="131">
        <f>_xll.BDP(A137&amp;" Corp", "days to mty")</f>
        <v>8286</v>
      </c>
      <c r="D137" s="41" t="s">
        <v>488</v>
      </c>
      <c r="E137" s="41" t="s">
        <v>489</v>
      </c>
      <c r="F137" s="130">
        <v>53.9</v>
      </c>
      <c r="G137" s="130">
        <v>53.95</v>
      </c>
      <c r="H137" s="130">
        <f t="shared" si="150"/>
        <v>54</v>
      </c>
      <c r="I137" s="26">
        <f>ROUND(_xll.qlBondYieldFromCleanPrice(O137,F137,YieldDayCounter,YieldCompounding,YieldFrequency)*100,3)</f>
        <v>2.762</v>
      </c>
      <c r="J137" s="26">
        <f>ROUND(_xll.qlBondYieldFromCleanPrice(P137,G137,YieldDayCounter,YieldCompounding,YieldFrequency)*100,3)</f>
        <v>2.758</v>
      </c>
      <c r="K137" s="26">
        <f>ROUND(_xll.qlBondYieldFromCleanPrice(Q137,H137,YieldDayCounter,YieldCompounding,YieldFrequency)*100,3)</f>
        <v>2.754</v>
      </c>
      <c r="L137" s="114">
        <f>_xll.qlBondDurationFromYield(P137,J137,YieldDayCounter,YieldCompounding,YieldFrequency,L$2)</f>
        <v>6.0359393585124046</v>
      </c>
      <c r="M137" s="114">
        <f>_xll.qlBondConvexityFromYield(P137,J137/100,YieldDayCounter,YieldCompounding,YieldFrequency)</f>
        <v>508.75439624644844</v>
      </c>
      <c r="N137" s="115">
        <f>_xll.BDP(A137&amp;" Corp","risk mid")</f>
        <v>11.603589000732129</v>
      </c>
      <c r="O137" s="101" t="str">
        <f>_xll.qlZeroCouponBond(,,"EUR",3,"target",100,$B137,"f",100,,,Trigger)</f>
        <v>obj_00950#0000</v>
      </c>
      <c r="P137" s="101" t="str">
        <f>_xll.qlZeroCouponBond(,,"EUR",3,"target",100,$B137,"f",100,,,Trigger)</f>
        <v>obj_0086a#0000</v>
      </c>
      <c r="Q137" s="101" t="str">
        <f>_xll.qlZeroCouponBond(,,"EUR",3,"target",100,$B137,"f",100,,,Trigger)</f>
        <v>obj_00963#0000</v>
      </c>
      <c r="R137" s="117">
        <f t="shared" si="86"/>
        <v>54</v>
      </c>
      <c r="S137" s="122">
        <f t="shared" ref="S137" si="156">R137</f>
        <v>54</v>
      </c>
      <c r="T137" s="138" t="str">
        <f>IF(UPPER(U$1)="ABCD",_xll.RtContribute($E$3,$E137,$R$3:$S$3,$R137:$S137,"SCOPE:SERVER"),"--")</f>
        <v>Success: Insert Ack on DTSIMI2 for STRIP.IT0004288624 at 10:36:50</v>
      </c>
      <c r="U137" s="142" t="str">
        <f t="shared" si="152"/>
        <v>OK</v>
      </c>
      <c r="V137" s="126" t="str">
        <f t="shared" si="149"/>
        <v>EUR.PRICING.XLS_STRIPS.IT0004288624</v>
      </c>
      <c r="W137" s="126" t="str">
        <f>IF(UPPER($X$1)="ABCD",_xll.MKV_PUBLISHRECORD(V137, "XLS_STRIPS"),"--")</f>
        <v>Not connected</v>
      </c>
      <c r="X137" s="127" t="str">
        <f>IF(UPPER(X$1)="ABCD",_xll.MKV_SUPPLYRECORD(V137, "Bid",F137, "Ask",H137, "Id",A137, "Mid",G137, "Name",D137,"DV01",N137,"MidYield",J137,"BidYield",I137,"AskYield",K137),"--")</f>
        <v>Not connected</v>
      </c>
      <c r="Z137" s="27" t="str">
        <f t="shared" si="90"/>
        <v>IT0004288624@rbsm Corp</v>
      </c>
      <c r="AA137" s="27">
        <f>_xll.BDP(Z137,"bid")</f>
        <v>52.527000000000001</v>
      </c>
      <c r="AB137" s="27">
        <f>_xll.BDP(Z137,"ask")</f>
        <v>53.698</v>
      </c>
      <c r="AC137" s="27">
        <f t="shared" si="93"/>
        <v>53.112499999999997</v>
      </c>
      <c r="AD137" s="114">
        <f t="shared" si="94"/>
        <v>0.83750000000000568</v>
      </c>
      <c r="AE137" s="27" t="str">
        <f t="shared" si="96"/>
        <v>0</v>
      </c>
      <c r="AF137" s="152">
        <f t="shared" si="97"/>
        <v>0</v>
      </c>
    </row>
    <row r="138" spans="1:32" x14ac:dyDescent="0.2">
      <c r="A138" s="66" t="s">
        <v>260</v>
      </c>
      <c r="B138" s="83">
        <v>50830</v>
      </c>
      <c r="C138" s="131">
        <f>_xll.BDP(A138&amp;" Corp", "days to mty")</f>
        <v>8314</v>
      </c>
      <c r="D138" s="41" t="s">
        <v>261</v>
      </c>
      <c r="E138" s="41" t="s">
        <v>262</v>
      </c>
      <c r="F138" s="130">
        <v>53.71</v>
      </c>
      <c r="G138" s="130">
        <v>53.76</v>
      </c>
      <c r="H138" s="130">
        <f t="shared" si="150"/>
        <v>53.81</v>
      </c>
      <c r="I138" s="26">
        <f>ROUND(_xll.qlBondYieldFromCleanPrice(O138,F138,YieldDayCounter,YieldCompounding,YieldFrequency)*100,3)</f>
        <v>2.7679999999999998</v>
      </c>
      <c r="J138" s="26">
        <f>ROUND(_xll.qlBondYieldFromCleanPrice(P138,G138,YieldDayCounter,YieldCompounding,YieldFrequency)*100,3)</f>
        <v>2.7639999999999998</v>
      </c>
      <c r="K138" s="26">
        <f>ROUND(_xll.qlBondYieldFromCleanPrice(Q138,H138,YieldDayCounter,YieldCompounding,YieldFrequency)*100,3)</f>
        <v>2.76</v>
      </c>
      <c r="L138" s="114">
        <f>_xll.qlBondDurationFromYield(P138,J138,YieldDayCounter,YieldCompounding,YieldFrequency,L$2)</f>
        <v>6.0471954929905527</v>
      </c>
      <c r="M138" s="114">
        <f>_xll.qlBondConvexityFromYield(P138,J138/100,YieldDayCounter,YieldCompounding,YieldFrequency)</f>
        <v>512.15109361396458</v>
      </c>
      <c r="N138" s="115">
        <f>_xll.BDP(A138&amp;" Corp","risk mid")</f>
        <v>11.476381839563743</v>
      </c>
      <c r="O138" s="101" t="str">
        <f>_xll.qlZeroCouponBond(,,"EUR",3,"target",100,$B138,"f",100,,,Trigger)</f>
        <v>obj_008d1#0000</v>
      </c>
      <c r="P138" s="101" t="str">
        <f>_xll.qlZeroCouponBond(,,"EUR",3,"target",100,$B138,"f",100,,,Trigger)</f>
        <v>obj_00973#0000</v>
      </c>
      <c r="Q138" s="101" t="str">
        <f>_xll.qlZeroCouponBond(,,"EUR",3,"target",100,$B138,"f",100,,,Trigger)</f>
        <v>obj_008a7#0000</v>
      </c>
      <c r="R138" s="117">
        <f t="shared" si="86"/>
        <v>53.81</v>
      </c>
      <c r="S138" s="122">
        <f t="shared" ref="S138" si="157">R138</f>
        <v>53.81</v>
      </c>
      <c r="T138" s="138" t="str">
        <f>IF(UPPER(U$1)="ABCD",_xll.RtContribute($E$3,$E138,$R$3:$S$3,$R138:$S138,"SCOPE:SERVER"),"--")</f>
        <v>Success: Insert Ack on DTSIMI2 for STRIP.IT0004976731 at 10:36:50</v>
      </c>
      <c r="U138" s="142" t="str">
        <f t="shared" si="152"/>
        <v>OK</v>
      </c>
      <c r="V138" s="126" t="str">
        <f t="shared" si="149"/>
        <v>EUR.PRICING.XLS_STRIPS.IT0004976731</v>
      </c>
      <c r="W138" s="126" t="str">
        <f>IF(UPPER($X$1)="ABCD",_xll.MKV_PUBLISHRECORD(V138, "XLS_STRIPS"),"--")</f>
        <v>Not connected</v>
      </c>
      <c r="X138" s="127" t="str">
        <f>IF(UPPER(X$1)="ABCD",_xll.MKV_SUPPLYRECORD(V138, "Bid",F138, "Ask",H138, "Id",A138, "Mid",G138, "Name",D138,"DV01",N138,"MidYield",J138,"BidYield",I138,"AskYield",K138),"--")</f>
        <v>Not connected</v>
      </c>
      <c r="Z138" s="27" t="str">
        <f t="shared" si="90"/>
        <v>IT0004976731@rbsm Corp</v>
      </c>
      <c r="AA138" s="27">
        <f>_xll.BDP(Z138,"bid")</f>
        <v>50.604999999999997</v>
      </c>
      <c r="AB138" s="27">
        <f>_xll.BDP(Z138,"ask")</f>
        <v>52.893999999999998</v>
      </c>
      <c r="AC138" s="27">
        <f t="shared" si="93"/>
        <v>51.749499999999998</v>
      </c>
      <c r="AD138" s="114">
        <f t="shared" si="94"/>
        <v>2.0105000000000004</v>
      </c>
      <c r="AE138" s="27">
        <f t="shared" si="96"/>
        <v>0.85499999999999998</v>
      </c>
      <c r="AF138" s="152">
        <f t="shared" si="97"/>
        <v>17189.775000000001</v>
      </c>
    </row>
    <row r="139" spans="1:32" x14ac:dyDescent="0.2">
      <c r="A139" s="66" t="s">
        <v>490</v>
      </c>
      <c r="B139" s="83">
        <v>50983</v>
      </c>
      <c r="C139" s="131">
        <f>_xll.BDP(A139&amp;" Corp", "days to mty")</f>
        <v>8467</v>
      </c>
      <c r="D139" s="41" t="s">
        <v>491</v>
      </c>
      <c r="E139" s="41" t="s">
        <v>492</v>
      </c>
      <c r="F139" s="130">
        <v>52.64</v>
      </c>
      <c r="G139" s="130">
        <v>52.69</v>
      </c>
      <c r="H139" s="130">
        <f t="shared" si="150"/>
        <v>52.74</v>
      </c>
      <c r="I139" s="26">
        <f>ROUND(_xll.qlBondYieldFromCleanPrice(O139,F139,YieldDayCounter,YieldCompounding,YieldFrequency)*100,3)</f>
        <v>2.8069999999999999</v>
      </c>
      <c r="J139" s="26">
        <f>ROUND(_xll.qlBondYieldFromCleanPrice(P139,G139,YieldDayCounter,YieldCompounding,YieldFrequency)*100,3)</f>
        <v>2.8029999999999999</v>
      </c>
      <c r="K139" s="26">
        <f>ROUND(_xll.qlBondYieldFromCleanPrice(Q139,H139,YieldDayCounter,YieldCompounding,YieldFrequency)*100,3)</f>
        <v>2.7989999999999999</v>
      </c>
      <c r="L139" s="114">
        <f>_xll.qlBondDurationFromYield(P139,J139,YieldDayCounter,YieldCompounding,YieldFrequency,L$2)</f>
        <v>6.0952742226801107</v>
      </c>
      <c r="M139" s="114">
        <f>_xll.qlBondConvexityFromYield(P139,J139/100,YieldDayCounter,YieldCompounding,YieldFrequency)</f>
        <v>530.35929285250722</v>
      </c>
      <c r="N139" s="115">
        <f>_xll.BDP(A139&amp;" Corp","risk mid")</f>
        <v>12.039428187012646</v>
      </c>
      <c r="O139" s="101" t="str">
        <f>_xll.qlZeroCouponBond(,,"EUR",3,"target",100,$B139,"f",100,,,Trigger)</f>
        <v>obj_00861#0000</v>
      </c>
      <c r="P139" s="101" t="str">
        <f>_xll.qlZeroCouponBond(,,"EUR",3,"target",100,$B139,"f",100,,,Trigger)</f>
        <v>obj_009be#0000</v>
      </c>
      <c r="Q139" s="101" t="str">
        <f>_xll.qlZeroCouponBond(,,"EUR",3,"target",100,$B139,"f",100,,,Trigger)</f>
        <v>obj_0099d#0000</v>
      </c>
      <c r="R139" s="117">
        <f t="shared" si="86"/>
        <v>52.74</v>
      </c>
      <c r="S139" s="122">
        <f t="shared" ref="S139" si="158">R139</f>
        <v>52.74</v>
      </c>
      <c r="T139" s="138" t="str">
        <f>IF(UPPER(U$1)="ABCD",_xll.RtContribute($E$3,$E139,$R$3:$S$3,$R139:$S139,"SCOPE:SERVER"),"--")</f>
        <v>Success: Insert Ack on DTSIMI2 for STRIP.IT0004848690 at 10:36:50</v>
      </c>
      <c r="U139" s="142" t="str">
        <f t="shared" si="152"/>
        <v>OK</v>
      </c>
      <c r="V139" s="126" t="str">
        <f t="shared" si="149"/>
        <v>EUR.PRICING.XLS_STRIPS.IT0004848690</v>
      </c>
      <c r="W139" s="126" t="str">
        <f>IF(UPPER($X$1)="ABCD",_xll.MKV_PUBLISHRECORD(V139, "XLS_STRIPS"),"--")</f>
        <v>Not connected</v>
      </c>
      <c r="X139" s="127" t="str">
        <f>IF(UPPER(X$1)="ABCD",_xll.MKV_SUPPLYRECORD(V139, "Bid",F139, "Ask",H139, "Id",A139, "Mid",G139, "Name",D139,"DV01",N139,"MidYield",J139,"BidYield",I139,"AskYield",K139),"--")</f>
        <v>Not connected</v>
      </c>
      <c r="Z139" s="27" t="str">
        <f t="shared" si="90"/>
        <v>IT0004848690@rbsm Corp</v>
      </c>
      <c r="AA139" s="27">
        <f>_xll.BDP(Z139,"bid")</f>
        <v>53.170999999999999</v>
      </c>
      <c r="AB139" s="27">
        <f>_xll.BDP(Z139,"ask")</f>
        <v>53.531999999999996</v>
      </c>
      <c r="AC139" s="27">
        <f t="shared" si="93"/>
        <v>53.351500000000001</v>
      </c>
      <c r="AD139" s="114">
        <f t="shared" si="94"/>
        <v>-0.66150000000000375</v>
      </c>
      <c r="AE139" s="27" t="str">
        <f t="shared" si="96"/>
        <v>0</v>
      </c>
      <c r="AF139" s="152">
        <f t="shared" si="97"/>
        <v>0</v>
      </c>
    </row>
    <row r="140" spans="1:32" x14ac:dyDescent="0.2">
      <c r="A140" s="66" t="s">
        <v>263</v>
      </c>
      <c r="B140" s="83">
        <v>51014</v>
      </c>
      <c r="C140" s="131">
        <f>_xll.BDP(A140&amp;" Corp", "days to mty")</f>
        <v>8498</v>
      </c>
      <c r="D140" s="41" t="s">
        <v>264</v>
      </c>
      <c r="E140" s="41" t="s">
        <v>265</v>
      </c>
      <c r="F140" s="130">
        <v>52.42</v>
      </c>
      <c r="G140" s="130">
        <v>52.47</v>
      </c>
      <c r="H140" s="130">
        <f t="shared" si="150"/>
        <v>52.52</v>
      </c>
      <c r="I140" s="26">
        <f>ROUND(_xll.qlBondYieldFromCleanPrice(O140,F140,YieldDayCounter,YieldCompounding,YieldFrequency)*100,3)</f>
        <v>2.8149999999999999</v>
      </c>
      <c r="J140" s="26">
        <f>ROUND(_xll.qlBondYieldFromCleanPrice(P140,G140,YieldDayCounter,YieldCompounding,YieldFrequency)*100,3)</f>
        <v>2.8109999999999999</v>
      </c>
      <c r="K140" s="26">
        <f>ROUND(_xll.qlBondYieldFromCleanPrice(Q140,H140,YieldDayCounter,YieldCompounding,YieldFrequency)*100,3)</f>
        <v>2.8069999999999999</v>
      </c>
      <c r="L140" s="114">
        <f>_xll.qlBondDurationFromYield(P140,J140,YieldDayCounter,YieldCompounding,YieldFrequency,L$2)</f>
        <v>6.1047040992926718</v>
      </c>
      <c r="M140" s="114">
        <f>_xll.qlBondConvexityFromYield(P140,J140/100,YieldDayCounter,YieldCompounding,YieldFrequency)</f>
        <v>534.07861015477374</v>
      </c>
      <c r="N140" s="115">
        <f>_xll.BDP(A140&amp;" Corp","risk mid")</f>
        <v>11.463581547741342</v>
      </c>
      <c r="O140" s="101" t="str">
        <f>_xll.qlZeroCouponBond(,,"EUR",3,"target",100,$B140,"f",100,,,Trigger)</f>
        <v>obj_00939#0000</v>
      </c>
      <c r="P140" s="101" t="str">
        <f>_xll.qlZeroCouponBond(,,"EUR",3,"target",100,$B140,"f",100,,,Trigger)</f>
        <v>obj_00889#0000</v>
      </c>
      <c r="Q140" s="101" t="str">
        <f>_xll.qlZeroCouponBond(,,"EUR",3,"target",100,$B140,"f",100,,,Trigger)</f>
        <v>obj_00922#0000</v>
      </c>
      <c r="R140" s="117">
        <f t="shared" si="86"/>
        <v>52.52</v>
      </c>
      <c r="S140" s="122">
        <f t="shared" ref="S140" si="159">R140</f>
        <v>52.52</v>
      </c>
      <c r="T140" s="138" t="str">
        <f>IF(UPPER(U$1)="ABCD",_xll.RtContribute($E$3,$E140,$R$3:$S$3,$R140:$S140,"SCOPE:SERVER"),"--")</f>
        <v>Success: Insert Ack on DTSIMI2 for STRIP.IT0004976749 at 10:36:50</v>
      </c>
      <c r="U140" s="142" t="str">
        <f t="shared" si="152"/>
        <v>OK</v>
      </c>
      <c r="V140" s="126" t="str">
        <f t="shared" si="149"/>
        <v>EUR.PRICING.XLS_STRIPS.IT0004976749</v>
      </c>
      <c r="W140" s="126" t="str">
        <f>IF(UPPER($X$1)="ABCD",_xll.MKV_PUBLISHRECORD(V140, "XLS_STRIPS"),"--")</f>
        <v>Not connected</v>
      </c>
      <c r="X140" s="127" t="str">
        <f>IF(UPPER(X$1)="ABCD",_xll.MKV_SUPPLYRECORD(V140, "Bid",F140, "Ask",H140, "Id",A140, "Mid",G140, "Name",D140,"DV01",N140,"MidYield",J140,"BidYield",I140,"AskYield",K140),"--")</f>
        <v>Not connected</v>
      </c>
      <c r="Z140" s="27" t="str">
        <f t="shared" si="90"/>
        <v>IT0004976749@rbsm Corp</v>
      </c>
      <c r="AA140" s="27">
        <f>_xll.BDP(Z140,"bid")</f>
        <v>49.372</v>
      </c>
      <c r="AB140" s="27">
        <f>_xll.BDP(Z140,"ask")</f>
        <v>51.654000000000003</v>
      </c>
      <c r="AC140" s="27">
        <f t="shared" si="93"/>
        <v>50.513000000000005</v>
      </c>
      <c r="AD140" s="114">
        <f t="shared" si="94"/>
        <v>1.9569999999999936</v>
      </c>
      <c r="AE140" s="27">
        <f t="shared" si="96"/>
        <v>0.83699999999999997</v>
      </c>
      <c r="AF140" s="152">
        <f t="shared" si="97"/>
        <v>16380.089999999946</v>
      </c>
    </row>
    <row r="141" spans="1:32" x14ac:dyDescent="0.2">
      <c r="A141" s="66" t="s">
        <v>266</v>
      </c>
      <c r="B141" s="83">
        <v>51196</v>
      </c>
      <c r="C141" s="131">
        <f>_xll.BDP(A141&amp;" Corp", "days to mty")</f>
        <v>8680</v>
      </c>
      <c r="D141" s="41" t="s">
        <v>267</v>
      </c>
      <c r="E141" s="41" t="s">
        <v>268</v>
      </c>
      <c r="F141" s="130">
        <v>51.1</v>
      </c>
      <c r="G141" s="130">
        <v>51.15</v>
      </c>
      <c r="H141" s="130">
        <f t="shared" si="150"/>
        <v>51.2</v>
      </c>
      <c r="I141" s="26">
        <f>ROUND(_xll.qlBondYieldFromCleanPrice(O141,F141,YieldDayCounter,YieldCompounding,YieldFrequency)*100,3)</f>
        <v>2.8660000000000001</v>
      </c>
      <c r="J141" s="26">
        <f>ROUND(_xll.qlBondYieldFromCleanPrice(P141,G141,YieldDayCounter,YieldCompounding,YieldFrequency)*100,3)</f>
        <v>2.8620000000000001</v>
      </c>
      <c r="K141" s="26">
        <f>ROUND(_xll.qlBondYieldFromCleanPrice(Q141,H141,YieldDayCounter,YieldCompounding,YieldFrequency)*100,3)</f>
        <v>2.8570000000000002</v>
      </c>
      <c r="L141" s="114">
        <f>_xll.qlBondDurationFromYield(P141,J141,YieldDayCounter,YieldCompounding,YieldFrequency,L$2)</f>
        <v>6.1526783624071566</v>
      </c>
      <c r="M141" s="114">
        <f>_xll.qlBondConvexityFromYield(P141,J141/100,YieldDayCounter,YieldCompounding,YieldFrequency)</f>
        <v>556.09120431883605</v>
      </c>
      <c r="N141" s="115">
        <f>_xll.BDP(A141&amp;" Corp","risk mid")</f>
        <v>11.500104406539435</v>
      </c>
      <c r="O141" s="101" t="str">
        <f>_xll.qlZeroCouponBond(,,"EUR",3,"target",100,$B141,"f",100,,,Trigger)</f>
        <v>obj_008df#0000</v>
      </c>
      <c r="P141" s="101" t="str">
        <f>_xll.qlZeroCouponBond(,,"EUR",3,"target",100,$B141,"f",100,,,Trigger)</f>
        <v>obj_00883#0000</v>
      </c>
      <c r="Q141" s="101" t="str">
        <f>_xll.qlZeroCouponBond(,,"EUR",3,"target",100,$B141,"f",100,,,Trigger)</f>
        <v>obj_00844#0000</v>
      </c>
      <c r="R141" s="117">
        <f t="shared" ref="R141:R150" si="160">H141</f>
        <v>51.2</v>
      </c>
      <c r="S141" s="122">
        <f t="shared" ref="S141" si="161">R141</f>
        <v>51.2</v>
      </c>
      <c r="T141" s="138" t="str">
        <f>IF(UPPER(U$1)="ABCD",_xll.RtContribute($E$3,$E141,$R$3:$S$3,$R141:$S141,"SCOPE:SERVER"),"--")</f>
        <v>Success: Insert Ack on DTSIMI2 for STRIP.IT0004976756 at 10:36:50</v>
      </c>
      <c r="U141" s="142" t="str">
        <f t="shared" si="152"/>
        <v>OK</v>
      </c>
      <c r="V141" s="126" t="str">
        <f t="shared" si="149"/>
        <v>EUR.PRICING.XLS_STRIPS.IT0004976756</v>
      </c>
      <c r="W141" s="126" t="str">
        <f>IF(UPPER($X$1)="ABCD",_xll.MKV_PUBLISHRECORD(V141, "XLS_STRIPS"),"--")</f>
        <v>Not connected</v>
      </c>
      <c r="X141" s="127" t="str">
        <f>IF(UPPER(X$1)="ABCD",_xll.MKV_SUPPLYRECORD(V141, "Bid",F141, "Ask",H141, "Id",A141, "Mid",G141, "Name",D141,"DV01",N141,"MidYield",J141,"BidYield",I141,"AskYield",K141),"--")</f>
        <v>Not connected</v>
      </c>
      <c r="Z141" s="27" t="str">
        <f t="shared" si="90"/>
        <v>IT0004976756@rbsm Corp</v>
      </c>
      <c r="AA141" s="27">
        <f>_xll.BDP(Z141,"bid")</f>
        <v>48.383000000000003</v>
      </c>
      <c r="AB141" s="27">
        <f>_xll.BDP(Z141,"ask")</f>
        <v>50.667999999999999</v>
      </c>
      <c r="AC141" s="27">
        <f t="shared" si="93"/>
        <v>49.525500000000001</v>
      </c>
      <c r="AD141" s="114">
        <f t="shared" si="94"/>
        <v>1.6244999999999976</v>
      </c>
      <c r="AE141" s="27">
        <f t="shared" si="96"/>
        <v>0.85499999999999998</v>
      </c>
      <c r="AF141" s="152">
        <f t="shared" si="97"/>
        <v>13889.47499999998</v>
      </c>
    </row>
    <row r="142" spans="1:32" x14ac:dyDescent="0.2">
      <c r="A142" s="66" t="s">
        <v>269</v>
      </c>
      <c r="B142" s="83">
        <v>51380</v>
      </c>
      <c r="C142" s="131">
        <f>_xll.BDP(A142&amp;" Corp", "days to mty")</f>
        <v>8864</v>
      </c>
      <c r="D142" s="41" t="s">
        <v>270</v>
      </c>
      <c r="E142" s="41" t="s">
        <v>271</v>
      </c>
      <c r="F142" s="130">
        <v>49.83</v>
      </c>
      <c r="G142" s="130">
        <v>49.89</v>
      </c>
      <c r="H142" s="130">
        <f t="shared" si="150"/>
        <v>49.95</v>
      </c>
      <c r="I142" s="26">
        <f>ROUND(_xll.qlBondYieldFromCleanPrice(O142,F142,YieldDayCounter,YieldCompounding,YieldFrequency)*100,3)</f>
        <v>2.9119999999999999</v>
      </c>
      <c r="J142" s="26">
        <f>ROUND(_xll.qlBondYieldFromCleanPrice(P142,G142,YieldDayCounter,YieldCompounding,YieldFrequency)*100,3)</f>
        <v>2.9060000000000001</v>
      </c>
      <c r="K142" s="26">
        <f>ROUND(_xll.qlBondYieldFromCleanPrice(Q142,H142,YieldDayCounter,YieldCompounding,YieldFrequency)*100,3)</f>
        <v>2.9009999999999998</v>
      </c>
      <c r="L142" s="114">
        <f>_xll.qlBondDurationFromYield(P142,J142,YieldDayCounter,YieldCompounding,YieldFrequency,L$2)</f>
        <v>6.2136435748281329</v>
      </c>
      <c r="M142" s="114">
        <f>_xll.qlBondConvexityFromYield(P142,J142/100,YieldDayCounter,YieldCompounding,YieldFrequency)</f>
        <v>579.17642534267191</v>
      </c>
      <c r="N142" s="115">
        <f>_xll.BDP(A142&amp;" Corp","risk mid")</f>
        <v>11.510841762130397</v>
      </c>
      <c r="O142" s="101" t="str">
        <f>_xll.qlZeroCouponBond(,,"EUR",3,"target",100,$B142,"f",100,,,Trigger)</f>
        <v>obj_00926#0000</v>
      </c>
      <c r="P142" s="101" t="str">
        <f>_xll.qlZeroCouponBond(,,"EUR",3,"target",100,$B142,"f",100,,,Trigger)</f>
        <v>obj_009d3#0000</v>
      </c>
      <c r="Q142" s="101" t="str">
        <f>_xll.qlZeroCouponBond(,,"EUR",3,"target",100,$B142,"f",100,,,Trigger)</f>
        <v>obj_008d5#0000</v>
      </c>
      <c r="R142" s="117">
        <f t="shared" si="160"/>
        <v>49.95</v>
      </c>
      <c r="S142" s="122">
        <f t="shared" ref="S142" si="162">R142</f>
        <v>49.95</v>
      </c>
      <c r="T142" s="138" t="str">
        <f>IF(UPPER(U$1)="ABCD",_xll.RtContribute($E$3,$E142,$R$3:$S$3,$R142:$S142,"SCOPE:SERVER"),"--")</f>
        <v>Success: Insert Ack on DTSIMI2 for STRIP.IT0004976764 at 10:36:50</v>
      </c>
      <c r="U142" s="142" t="str">
        <f t="shared" si="152"/>
        <v>OK</v>
      </c>
      <c r="V142" s="126" t="str">
        <f t="shared" si="149"/>
        <v>EUR.PRICING.XLS_STRIPS.IT0004976764</v>
      </c>
      <c r="W142" s="126" t="str">
        <f>IF(UPPER($X$1)="ABCD",_xll.MKV_PUBLISHRECORD(V142, "XLS_STRIPS"),"--")</f>
        <v>Not connected</v>
      </c>
      <c r="X142" s="127" t="str">
        <f>IF(UPPER(X$1)="ABCD",_xll.MKV_SUPPLYRECORD(V142, "Bid",F142, "Ask",H142, "Id",A142, "Mid",G142, "Name",D142,"DV01",N142,"MidYield",J142,"BidYield",I142,"AskYield",K142),"--")</f>
        <v>Not connected</v>
      </c>
      <c r="Z142" s="27" t="str">
        <f t="shared" si="90"/>
        <v>IT0004976764@rbsm Corp</v>
      </c>
      <c r="AA142" s="27">
        <f>_xll.BDP(Z142,"bid")</f>
        <v>47.384</v>
      </c>
      <c r="AB142" s="27">
        <f>_xll.BDP(Z142,"ask")</f>
        <v>49.67</v>
      </c>
      <c r="AC142" s="27">
        <f t="shared" si="93"/>
        <v>48.527000000000001</v>
      </c>
      <c r="AD142" s="114">
        <f t="shared" si="94"/>
        <v>1.3629999999999995</v>
      </c>
      <c r="AE142" s="27">
        <f t="shared" si="96"/>
        <v>0.85499999999999998</v>
      </c>
      <c r="AF142" s="152">
        <f t="shared" si="97"/>
        <v>11653.649999999996</v>
      </c>
    </row>
    <row r="143" spans="1:32" x14ac:dyDescent="0.2">
      <c r="A143" s="66" t="s">
        <v>272</v>
      </c>
      <c r="B143" s="83">
        <v>51561</v>
      </c>
      <c r="C143" s="131">
        <f>_xll.BDP(A143&amp;" Corp", "days to mty")</f>
        <v>9045</v>
      </c>
      <c r="D143" s="41" t="s">
        <v>273</v>
      </c>
      <c r="E143" s="41" t="s">
        <v>274</v>
      </c>
      <c r="F143" s="130">
        <v>48.74</v>
      </c>
      <c r="G143" s="130">
        <v>48.79</v>
      </c>
      <c r="H143" s="130">
        <f t="shared" si="150"/>
        <v>48.84</v>
      </c>
      <c r="I143" s="26">
        <f>ROUND(_xll.qlBondYieldFromCleanPrice(O143,F143,YieldDayCounter,YieldCompounding,YieldFrequency)*100,3)</f>
        <v>2.9449999999999998</v>
      </c>
      <c r="J143" s="26">
        <f>ROUND(_xll.qlBondYieldFromCleanPrice(P143,G143,YieldDayCounter,YieldCompounding,YieldFrequency)*100,3)</f>
        <v>2.9409999999999998</v>
      </c>
      <c r="K143" s="26">
        <f>ROUND(_xll.qlBondYieldFromCleanPrice(Q143,H143,YieldDayCounter,YieldCompounding,YieldFrequency)*100,3)</f>
        <v>2.9359999999999999</v>
      </c>
      <c r="L143" s="114">
        <f>_xll.qlBondDurationFromYield(P143,J143,YieldDayCounter,YieldCompounding,YieldFrequency,L$2)</f>
        <v>6.2830864845512409</v>
      </c>
      <c r="M143" s="114">
        <f>_xll.qlBondConvexityFromYield(P143,J143/100,YieldDayCounter,YieldCompounding,YieldFrequency)</f>
        <v>601.97198273060769</v>
      </c>
      <c r="N143" s="115">
        <f>_xll.BDP(A143&amp;" Corp","risk mid")</f>
        <v>11.527820720603899</v>
      </c>
      <c r="O143" s="101" t="str">
        <f>_xll.qlZeroCouponBond(,,"EUR",3,"target",100,$B143,"f",100,,,Trigger)</f>
        <v>obj_009bc#0000</v>
      </c>
      <c r="P143" s="101" t="str">
        <f>_xll.qlZeroCouponBond(,,"EUR",3,"target",100,$B143,"f",100,,,Trigger)</f>
        <v>obj_009af#0000</v>
      </c>
      <c r="Q143" s="101" t="str">
        <f>_xll.qlZeroCouponBond(,,"EUR",3,"target",100,$B143,"f",100,,,Trigger)</f>
        <v>obj_00970#0000</v>
      </c>
      <c r="R143" s="117">
        <f t="shared" si="160"/>
        <v>48.84</v>
      </c>
      <c r="S143" s="122">
        <f t="shared" ref="S143" si="163">R143</f>
        <v>48.84</v>
      </c>
      <c r="T143" s="138" t="str">
        <f>IF(UPPER(U$1)="ABCD",_xll.RtContribute($E$3,$E143,$R$3:$S$3,$R143:$S143,"SCOPE:SERVER"),"--")</f>
        <v>Success: Insert Ack on DTSIMI2 for STRIP.IT0004976772 at 10:36:50</v>
      </c>
      <c r="U143" s="142" t="str">
        <f t="shared" si="152"/>
        <v>OK</v>
      </c>
      <c r="V143" s="126" t="str">
        <f t="shared" si="149"/>
        <v>EUR.PRICING.XLS_STRIPS.IT0004976772</v>
      </c>
      <c r="W143" s="126" t="str">
        <f>IF(UPPER($X$1)="ABCD",_xll.MKV_PUBLISHRECORD(V143, "XLS_STRIPS"),"--")</f>
        <v>Not connected</v>
      </c>
      <c r="X143" s="127" t="str">
        <f>IF(UPPER(X$1)="ABCD",_xll.MKV_SUPPLYRECORD(V143, "Bid",F143, "Ask",H143, "Id",A143, "Mid",G143, "Name",D143,"DV01",N143,"MidYield",J143,"BidYield",I143,"AskYield",K143),"--")</f>
        <v>Not connected</v>
      </c>
      <c r="Z143" s="27" t="str">
        <f t="shared" ref="Z143:Z150" si="164">RIGHT(E143,12)&amp;"@"&amp;$Z$13&amp;" Corp"</f>
        <v>IT0004976772@rbsm Corp</v>
      </c>
      <c r="AA143" s="27">
        <f>_xll.BDP(Z143,"bid")</f>
        <v>46.423000000000002</v>
      </c>
      <c r="AB143" s="27">
        <f>_xll.BDP(Z143,"ask")</f>
        <v>48.709000000000003</v>
      </c>
      <c r="AC143" s="27">
        <f t="shared" si="93"/>
        <v>47.566000000000003</v>
      </c>
      <c r="AD143" s="114">
        <f t="shared" si="94"/>
        <v>1.2239999999999966</v>
      </c>
      <c r="AE143" s="27">
        <f t="shared" si="96"/>
        <v>0.48499999999999999</v>
      </c>
      <c r="AF143" s="152">
        <f t="shared" si="97"/>
        <v>5936.3999999999842</v>
      </c>
    </row>
    <row r="144" spans="1:32" x14ac:dyDescent="0.2">
      <c r="A144" s="66" t="s">
        <v>275</v>
      </c>
      <c r="B144" s="83">
        <v>51745</v>
      </c>
      <c r="C144" s="131">
        <f>_xll.BDP(A144&amp;" Corp", "days to mty")</f>
        <v>9229</v>
      </c>
      <c r="D144" s="41" t="s">
        <v>276</v>
      </c>
      <c r="E144" s="41" t="s">
        <v>277</v>
      </c>
      <c r="F144" s="130">
        <v>47.78</v>
      </c>
      <c r="G144" s="130">
        <v>47.84</v>
      </c>
      <c r="H144" s="130">
        <f t="shared" si="150"/>
        <v>47.9</v>
      </c>
      <c r="I144" s="26">
        <f>ROUND(_xll.qlBondYieldFromCleanPrice(O144,F144,YieldDayCounter,YieldCompounding,YieldFrequency)*100,3)</f>
        <v>2.9660000000000002</v>
      </c>
      <c r="J144" s="26">
        <f>ROUND(_xll.qlBondYieldFromCleanPrice(P144,G144,YieldDayCounter,YieldCompounding,YieldFrequency)*100,3)</f>
        <v>2.9609999999999999</v>
      </c>
      <c r="K144" s="26">
        <f>ROUND(_xll.qlBondYieldFromCleanPrice(Q144,H144,YieldDayCounter,YieldCompounding,YieldFrequency)*100,3)</f>
        <v>2.956</v>
      </c>
      <c r="L144" s="114">
        <f>_xll.qlBondDurationFromYield(P144,J144,YieldDayCounter,YieldCompounding,YieldFrequency,L$2)</f>
        <v>6.3791364713056122</v>
      </c>
      <c r="M144" s="114">
        <f>_xll.qlBondConvexityFromYield(P144,J144/100,YieldDayCounter,YieldCompounding,YieldFrequency)</f>
        <v>626.10080784947183</v>
      </c>
      <c r="N144" s="115">
        <f>_xll.BDP(A144&amp;" Corp","risk mid")</f>
        <v>11.537698733285495</v>
      </c>
      <c r="O144" s="101" t="str">
        <f>_xll.qlZeroCouponBond(,,"EUR",3,"target",100,$B144,"f",100,,,Trigger)</f>
        <v>obj_009b2#0000</v>
      </c>
      <c r="P144" s="101" t="str">
        <f>_xll.qlZeroCouponBond(,,"EUR",3,"target",100,$B144,"f",100,,,Trigger)</f>
        <v>obj_0098f#0000</v>
      </c>
      <c r="Q144" s="101" t="str">
        <f>_xll.qlZeroCouponBond(,,"EUR",3,"target",100,$B144,"f",100,,,Trigger)</f>
        <v>obj_0086d#0000</v>
      </c>
      <c r="R144" s="117">
        <f t="shared" si="160"/>
        <v>47.9</v>
      </c>
      <c r="S144" s="122">
        <f t="shared" ref="S144" si="165">R144</f>
        <v>47.9</v>
      </c>
      <c r="T144" s="138" t="str">
        <f>IF(UPPER(U$1)="ABCD",_xll.RtContribute($E$3,$E144,$R$3:$S$3,$R144:$S144,"SCOPE:SERVER"),"--")</f>
        <v>Success: Insert Ack on DTSIMI2 for STRIP.IT0004976780 at 10:36:50</v>
      </c>
      <c r="U144" s="142" t="str">
        <f t="shared" si="152"/>
        <v>OK</v>
      </c>
      <c r="V144" s="126" t="str">
        <f t="shared" si="149"/>
        <v>EUR.PRICING.XLS_STRIPS.IT0004976780</v>
      </c>
      <c r="W144" s="126" t="str">
        <f>IF(UPPER($X$1)="ABCD",_xll.MKV_PUBLISHRECORD(V144, "XLS_STRIPS"),"--")</f>
        <v>Not connected</v>
      </c>
      <c r="X144" s="127" t="str">
        <f>IF(UPPER(X$1)="ABCD",_xll.MKV_SUPPLYRECORD(V144, "Bid",F144, "Ask",H144, "Id",A144, "Mid",G144, "Name",D144,"DV01",N144,"MidYield",J144,"BidYield",I144,"AskYield",K144),"--")</f>
        <v>Not connected</v>
      </c>
      <c r="Z144" s="27" t="str">
        <f t="shared" si="164"/>
        <v>IT0004976780@rbsm Corp</v>
      </c>
      <c r="AA144" s="27">
        <f>_xll.BDP(Z144,"bid")</f>
        <v>45.448</v>
      </c>
      <c r="AB144" s="27">
        <f>_xll.BDP(Z144,"ask")</f>
        <v>47.731999999999999</v>
      </c>
      <c r="AC144" s="27">
        <f t="shared" si="93"/>
        <v>46.59</v>
      </c>
      <c r="AD144" s="114">
        <f t="shared" si="94"/>
        <v>1.25</v>
      </c>
      <c r="AE144" s="27" t="str">
        <f t="shared" si="96"/>
        <v>0</v>
      </c>
      <c r="AF144" s="152">
        <f t="shared" si="97"/>
        <v>0</v>
      </c>
    </row>
    <row r="145" spans="1:32" x14ac:dyDescent="0.2">
      <c r="A145" s="66" t="s">
        <v>278</v>
      </c>
      <c r="B145" s="83">
        <v>51926</v>
      </c>
      <c r="C145" s="131">
        <f>_xll.BDP(A145&amp;" Corp", "days to mty")</f>
        <v>9410</v>
      </c>
      <c r="D145" s="41" t="s">
        <v>279</v>
      </c>
      <c r="E145" s="41" t="s">
        <v>280</v>
      </c>
      <c r="F145" s="130">
        <v>46.97</v>
      </c>
      <c r="G145" s="130">
        <v>47.02</v>
      </c>
      <c r="H145" s="130">
        <f t="shared" si="150"/>
        <v>47.07</v>
      </c>
      <c r="I145" s="26">
        <f>ROUND(_xll.qlBondYieldFromCleanPrice(O145,F145,YieldDayCounter,YieldCompounding,YieldFrequency)*100,3)</f>
        <v>2.976</v>
      </c>
      <c r="J145" s="26">
        <f>ROUND(_xll.qlBondYieldFromCleanPrice(P145,G145,YieldDayCounter,YieldCompounding,YieldFrequency)*100,3)</f>
        <v>2.972</v>
      </c>
      <c r="K145" s="26">
        <f>ROUND(_xll.qlBondYieldFromCleanPrice(Q145,H145,YieldDayCounter,YieldCompounding,YieldFrequency)*100,3)</f>
        <v>2.968</v>
      </c>
      <c r="L145" s="114">
        <f>_xll.qlBondDurationFromYield(P145,J145,YieldDayCounter,YieldCompounding,YieldFrequency,L$2)</f>
        <v>6.4871911600380745</v>
      </c>
      <c r="M145" s="114">
        <f>_xll.qlBondConvexityFromYield(P145,J145/100,YieldDayCounter,YieldCompounding,YieldFrequency)</f>
        <v>650.47309613958248</v>
      </c>
      <c r="N145" s="115">
        <f>_xll.BDP(A145&amp;" Corp","risk mid")</f>
        <v>11.549250857870774</v>
      </c>
      <c r="O145" s="101" t="str">
        <f>_xll.qlZeroCouponBond(,,"EUR",3,"target",100,$B145,"f",100,,,Trigger)</f>
        <v>obj_00940#0000</v>
      </c>
      <c r="P145" s="101" t="str">
        <f>_xll.qlZeroCouponBond(,,"EUR",3,"target",100,$B145,"f",100,,,Trigger)</f>
        <v>obj_009a6#0000</v>
      </c>
      <c r="Q145" s="101" t="str">
        <f>_xll.qlZeroCouponBond(,,"EUR",3,"target",100,$B145,"f",100,,,Trigger)</f>
        <v>obj_009ae#0000</v>
      </c>
      <c r="R145" s="117">
        <f t="shared" si="160"/>
        <v>47.07</v>
      </c>
      <c r="S145" s="122">
        <f t="shared" ref="S145" si="166">R145</f>
        <v>47.07</v>
      </c>
      <c r="T145" s="138" t="str">
        <f>IF(UPPER(U$1)="ABCD",_xll.RtContribute($E$3,$E145,$R$3:$S$3,$R145:$S145,"SCOPE:SERVER"),"--")</f>
        <v>Success: Insert Ack on DTSIMI2 for STRIP.IT0004976798 at 10:36:50</v>
      </c>
      <c r="U145" s="142" t="str">
        <f t="shared" si="152"/>
        <v>OK</v>
      </c>
      <c r="V145" s="126" t="str">
        <f t="shared" si="149"/>
        <v>EUR.PRICING.XLS_STRIPS.IT0004976798</v>
      </c>
      <c r="W145" s="126" t="str">
        <f>IF(UPPER($X$1)="ABCD",_xll.MKV_PUBLISHRECORD(V145, "XLS_STRIPS"),"--")</f>
        <v>Not connected</v>
      </c>
      <c r="X145" s="127" t="str">
        <f>IF(UPPER(X$1)="ABCD",_xll.MKV_SUPPLYRECORD(V145, "Bid",F145, "Ask",H145, "Id",A145, "Mid",G145, "Name",D145,"DV01",N145,"MidYield",J145,"BidYield",I145,"AskYield",K145),"--")</f>
        <v>Not connected</v>
      </c>
      <c r="Z145" s="27" t="str">
        <f t="shared" si="164"/>
        <v>IT0004976798@rbsm Corp</v>
      </c>
      <c r="AA145" s="27">
        <f>_xll.BDP(Z145,"bid")</f>
        <v>44.496000000000002</v>
      </c>
      <c r="AB145" s="27">
        <f>_xll.BDP(Z145,"ask")</f>
        <v>46.777000000000001</v>
      </c>
      <c r="AC145" s="27">
        <f t="shared" ref="AC145:AC150" si="167">AVERAGE(AA145:AB145)</f>
        <v>45.636499999999998</v>
      </c>
      <c r="AD145" s="114">
        <f t="shared" ref="AD145:AD150" si="168">+G145-AC145</f>
        <v>1.3835000000000051</v>
      </c>
      <c r="AE145" s="27">
        <f t="shared" si="96"/>
        <v>0.17899999999999999</v>
      </c>
      <c r="AF145" s="152">
        <f t="shared" si="97"/>
        <v>2476.4650000000092</v>
      </c>
    </row>
    <row r="146" spans="1:32" x14ac:dyDescent="0.2">
      <c r="A146" s="66" t="s">
        <v>281</v>
      </c>
      <c r="B146" s="83">
        <v>52110</v>
      </c>
      <c r="C146" s="131">
        <f>_xll.BDP(A146&amp;" Corp", "days to mty")</f>
        <v>9594</v>
      </c>
      <c r="D146" s="41" t="s">
        <v>282</v>
      </c>
      <c r="E146" s="41" t="s">
        <v>283</v>
      </c>
      <c r="F146" s="130">
        <v>46.26</v>
      </c>
      <c r="G146" s="130">
        <v>46.31</v>
      </c>
      <c r="H146" s="130">
        <f t="shared" si="150"/>
        <v>46.36</v>
      </c>
      <c r="I146" s="26">
        <f>ROUND(_xll.qlBondYieldFromCleanPrice(O146,F146,YieldDayCounter,YieldCompounding,YieldFrequency)*100,3)</f>
        <v>2.9790000000000001</v>
      </c>
      <c r="J146" s="26">
        <f>ROUND(_xll.qlBondYieldFromCleanPrice(P146,G146,YieldDayCounter,YieldCompounding,YieldFrequency)*100,3)</f>
        <v>2.9740000000000002</v>
      </c>
      <c r="K146" s="26">
        <f>ROUND(_xll.qlBondYieldFromCleanPrice(Q146,H146,YieldDayCounter,YieldCompounding,YieldFrequency)*100,3)</f>
        <v>2.97</v>
      </c>
      <c r="L146" s="114">
        <f>_xll.qlBondDurationFromYield(P146,J146,YieldDayCounter,YieldCompounding,YieldFrequency,L$2)</f>
        <v>6.6092167394072385</v>
      </c>
      <c r="M146" s="114">
        <f>_xll.qlBondConvexityFromYield(P146,J146/100,YieldDayCounter,YieldCompounding,YieldFrequency)</f>
        <v>675.34957031320687</v>
      </c>
      <c r="N146" s="115">
        <f>_xll.BDP(A146&amp;" Corp","risk mid")</f>
        <v>11.53563254566059</v>
      </c>
      <c r="O146" s="101" t="str">
        <f>_xll.qlZeroCouponBond(,,"EUR",3,"target",100,$B146,"f",100,,,Trigger)</f>
        <v>obj_00951#0000</v>
      </c>
      <c r="P146" s="101" t="str">
        <f>_xll.qlZeroCouponBond(,,"EUR",3,"target",100,$B146,"f",100,,,Trigger)</f>
        <v>obj_00907#0000</v>
      </c>
      <c r="Q146" s="101" t="str">
        <f>_xll.qlZeroCouponBond(,,"EUR",3,"target",100,$B146,"f",100,,,Trigger)</f>
        <v>obj_008d9#0000</v>
      </c>
      <c r="R146" s="117">
        <f t="shared" si="160"/>
        <v>46.36</v>
      </c>
      <c r="S146" s="122">
        <f t="shared" ref="S146" si="169">R146</f>
        <v>46.36</v>
      </c>
      <c r="T146" s="138" t="str">
        <f>IF(UPPER(U$1)="ABCD",_xll.RtContribute($E$3,$E146,$R$3:$S$3,$R146:$S146,"SCOPE:SERVER"),"--")</f>
        <v>Success: Insert Ack on DTSIMI2 for STRIP.IT0004976806 at 10:36:50</v>
      </c>
      <c r="U146" s="142" t="str">
        <f t="shared" si="152"/>
        <v>OK</v>
      </c>
      <c r="V146" s="126" t="str">
        <f t="shared" si="149"/>
        <v>EUR.PRICING.XLS_STRIPS.IT0004976806</v>
      </c>
      <c r="W146" s="126" t="str">
        <f>IF(UPPER($X$1)="ABCD",_xll.MKV_PUBLISHRECORD(V146, "XLS_STRIPS"),"--")</f>
        <v>Not connected</v>
      </c>
      <c r="X146" s="127" t="str">
        <f>IF(UPPER(X$1)="ABCD",_xll.MKV_SUPPLYRECORD(V146, "Bid",F146, "Ask",H146, "Id",A146, "Mid",G146, "Name",D146,"DV01",N146,"MidYield",J146,"BidYield",I146,"AskYield",K146),"--")</f>
        <v>Not connected</v>
      </c>
      <c r="Z146" s="27" t="str">
        <f t="shared" si="164"/>
        <v>IT0004976806@rbsm Corp</v>
      </c>
      <c r="AA146" s="27">
        <f>_xll.BDP(Z146,"bid")</f>
        <v>43.554000000000002</v>
      </c>
      <c r="AB146" s="27">
        <f>_xll.BDP(Z146,"ask")</f>
        <v>45.83</v>
      </c>
      <c r="AC146" s="27">
        <f t="shared" si="167"/>
        <v>44.692</v>
      </c>
      <c r="AD146" s="114">
        <f t="shared" si="168"/>
        <v>1.6180000000000021</v>
      </c>
      <c r="AE146" s="27">
        <f t="shared" ref="AE146:AE150" si="170">IF(ISNUMBER(VLOOKUP(LEFT(Z146,12),$AM$17:$AN$150,2,FALSE)),VLOOKUP(LEFT(Z146,12),$AM$17:$AN$150,2,FALSE),"0")</f>
        <v>0.37</v>
      </c>
      <c r="AF146" s="152">
        <f t="shared" ref="AF146:AF150" si="171">AE146*AD146*10000</f>
        <v>5986.6000000000076</v>
      </c>
    </row>
    <row r="147" spans="1:32" x14ac:dyDescent="0.2">
      <c r="A147" s="66" t="s">
        <v>284</v>
      </c>
      <c r="B147" s="83">
        <v>52291</v>
      </c>
      <c r="C147" s="131">
        <f>_xll.BDP(A147&amp;" Corp", "days to mty")</f>
        <v>9775</v>
      </c>
      <c r="D147" s="41" t="s">
        <v>285</v>
      </c>
      <c r="E147" s="41" t="s">
        <v>286</v>
      </c>
      <c r="F147" s="130">
        <v>45.65</v>
      </c>
      <c r="G147" s="130">
        <v>45.7</v>
      </c>
      <c r="H147" s="130">
        <f t="shared" si="150"/>
        <v>45.75</v>
      </c>
      <c r="I147" s="26">
        <f>ROUND(_xll.qlBondYieldFromCleanPrice(O147,F147,YieldDayCounter,YieldCompounding,YieldFrequency)*100,3)</f>
        <v>2.9729999999999999</v>
      </c>
      <c r="J147" s="26">
        <f>ROUND(_xll.qlBondYieldFromCleanPrice(P147,G147,YieldDayCounter,YieldCompounding,YieldFrequency)*100,3)</f>
        <v>2.9689999999999999</v>
      </c>
      <c r="K147" s="26">
        <f>ROUND(_xll.qlBondYieldFromCleanPrice(Q147,H147,YieldDayCounter,YieldCompounding,YieldFrequency)*100,3)</f>
        <v>2.9649999999999999</v>
      </c>
      <c r="L147" s="114">
        <f>_xll.qlBondDurationFromYield(P147,J147,YieldDayCounter,YieldCompounding,YieldFrequency,L$2)</f>
        <v>6.743356906435837</v>
      </c>
      <c r="M147" s="114">
        <f>_xll.qlBondConvexityFromYield(P147,J147/100,YieldDayCounter,YieldCompounding,YieldFrequency)</f>
        <v>700.86164001031352</v>
      </c>
      <c r="N147" s="115">
        <f>_xll.BDP(A147&amp;" Corp","risk mid")</f>
        <v>11.537648851047422</v>
      </c>
      <c r="O147" s="101" t="str">
        <f>_xll.qlZeroCouponBond(,,"EUR",3,"target",100,$B147,"f",100,,,Trigger)</f>
        <v>obj_00874#0000</v>
      </c>
      <c r="P147" s="101" t="str">
        <f>_xll.qlZeroCouponBond(,,"EUR",3,"target",100,$B147,"f",100,,,Trigger)</f>
        <v>obj_009dc#0000</v>
      </c>
      <c r="Q147" s="101" t="str">
        <f>_xll.qlZeroCouponBond(,,"EUR",3,"target",100,$B147,"f",100,,,Trigger)</f>
        <v>obj_008f6#0000</v>
      </c>
      <c r="R147" s="117">
        <f t="shared" si="160"/>
        <v>45.75</v>
      </c>
      <c r="S147" s="122">
        <f t="shared" ref="S147" si="172">R147</f>
        <v>45.75</v>
      </c>
      <c r="T147" s="138" t="str">
        <f>IF(UPPER(U$1)="ABCD",_xll.RtContribute($E$3,$E147,$R$3:$S$3,$R147:$S147,"SCOPE:SERVER"),"--")</f>
        <v>Success: Insert Ack on DTSIMI2 for STRIP.IT0004976814 at 10:35:53</v>
      </c>
      <c r="U147" s="142" t="str">
        <f t="shared" si="152"/>
        <v>OK</v>
      </c>
      <c r="V147" s="126" t="str">
        <f t="shared" si="149"/>
        <v>EUR.PRICING.XLS_STRIPS.IT0004976814</v>
      </c>
      <c r="W147" s="126" t="str">
        <f>IF(UPPER($X$1)="ABCD",_xll.MKV_PUBLISHRECORD(V147, "XLS_STRIPS"),"--")</f>
        <v>Not connected</v>
      </c>
      <c r="X147" s="127" t="str">
        <f>IF(UPPER(X$1)="ABCD",_xll.MKV_SUPPLYRECORD(V147, "Bid",F147, "Ask",H147, "Id",A147, "Mid",G147, "Name",D147,"DV01",N147,"MidYield",J147,"BidYield",I147,"AskYield",K147),"--")</f>
        <v>Not connected</v>
      </c>
      <c r="Z147" s="27" t="str">
        <f t="shared" si="164"/>
        <v>IT0004976814@rbsm Corp</v>
      </c>
      <c r="AA147" s="27">
        <f>_xll.BDP(Z147,"bid")</f>
        <v>42.622999999999998</v>
      </c>
      <c r="AB147" s="27">
        <f>_xll.BDP(Z147,"ask")</f>
        <v>44.893999999999998</v>
      </c>
      <c r="AC147" s="27">
        <f t="shared" si="167"/>
        <v>43.758499999999998</v>
      </c>
      <c r="AD147" s="114">
        <f t="shared" si="168"/>
        <v>1.9415000000000049</v>
      </c>
      <c r="AE147" s="27" t="str">
        <f t="shared" si="170"/>
        <v>0</v>
      </c>
      <c r="AF147" s="152">
        <f t="shared" si="171"/>
        <v>0</v>
      </c>
    </row>
    <row r="148" spans="1:32" x14ac:dyDescent="0.2">
      <c r="A148" s="66" t="s">
        <v>287</v>
      </c>
      <c r="B148" s="83">
        <v>52475</v>
      </c>
      <c r="C148" s="131">
        <f>_xll.BDP(A148&amp;" Corp", "days to mty")</f>
        <v>9959</v>
      </c>
      <c r="D148" s="41" t="s">
        <v>288</v>
      </c>
      <c r="E148" s="41" t="s">
        <v>289</v>
      </c>
      <c r="F148" s="130">
        <v>45.12</v>
      </c>
      <c r="G148" s="130">
        <v>45.17</v>
      </c>
      <c r="H148" s="130">
        <f t="shared" si="150"/>
        <v>45.22</v>
      </c>
      <c r="I148" s="26">
        <f>ROUND(_xll.qlBondYieldFromCleanPrice(O148,F148,YieldDayCounter,YieldCompounding,YieldFrequency)*100,3)</f>
        <v>2.9620000000000002</v>
      </c>
      <c r="J148" s="26">
        <f>ROUND(_xll.qlBondYieldFromCleanPrice(P148,G148,YieldDayCounter,YieldCompounding,YieldFrequency)*100,3)</f>
        <v>2.9580000000000002</v>
      </c>
      <c r="K148" s="26">
        <f>ROUND(_xll.qlBondYieldFromCleanPrice(Q148,H148,YieldDayCounter,YieldCompounding,YieldFrequency)*100,3)</f>
        <v>2.9540000000000002</v>
      </c>
      <c r="L148" s="114">
        <f>_xll.qlBondDurationFromYield(P148,J148,YieldDayCounter,YieldCompounding,YieldFrequency,L$2)</f>
        <v>6.8885869940384969</v>
      </c>
      <c r="M148" s="114">
        <f>_xll.qlBondConvexityFromYield(P148,J148/100,YieldDayCounter,YieldCompounding,YieldFrequency)</f>
        <v>727.00123993178579</v>
      </c>
      <c r="N148" s="115">
        <f>_xll.BDP(A148&amp;" Corp","risk mid")</f>
        <v>11.404861307988767</v>
      </c>
      <c r="O148" s="101" t="str">
        <f>_xll.qlZeroCouponBond(,,"EUR",3,"target",100,$B148,"f",100,,,Trigger)</f>
        <v>obj_00898#0000</v>
      </c>
      <c r="P148" s="101" t="str">
        <f>_xll.qlZeroCouponBond(,,"EUR",3,"target",100,$B148,"f",100,,,Trigger)</f>
        <v>obj_0097d#0000</v>
      </c>
      <c r="Q148" s="101" t="str">
        <f>_xll.qlZeroCouponBond(,,"EUR",3,"target",100,$B148,"f",100,,,Trigger)</f>
        <v>obj_0088b#0000</v>
      </c>
      <c r="R148" s="117">
        <f t="shared" si="160"/>
        <v>45.22</v>
      </c>
      <c r="S148" s="122">
        <f t="shared" ref="S148" si="173">R148</f>
        <v>45.22</v>
      </c>
      <c r="T148" s="138" t="str">
        <f>IF(UPPER(U$1)="ABCD",_xll.RtContribute($E$3,$E148,$R$3:$S$3,$R148:$S148,"SCOPE:SERVER"),"--")</f>
        <v>Success: Insert Ack on DTSIMI2 for STRIP.IT0004976822 at 10:36:50</v>
      </c>
      <c r="U148" s="142" t="str">
        <f t="shared" si="152"/>
        <v>OK</v>
      </c>
      <c r="V148" s="126" t="str">
        <f t="shared" si="149"/>
        <v>EUR.PRICING.XLS_STRIPS.IT0004976822</v>
      </c>
      <c r="W148" s="126" t="str">
        <f>IF(UPPER($X$1)="ABCD",_xll.MKV_PUBLISHRECORD(V148, "XLS_STRIPS"),"--")</f>
        <v>Not connected</v>
      </c>
      <c r="X148" s="127" t="str">
        <f>IF(UPPER(X$1)="ABCD",_xll.MKV_SUPPLYRECORD(V148, "Bid",F148, "Ask",H148, "Id",A148, "Mid",G148, "Name",D148,"DV01",N148,"MidYield",J148,"BidYield",I148,"AskYield",K148),"--")</f>
        <v>Not connected</v>
      </c>
      <c r="Z148" s="27" t="str">
        <f t="shared" si="164"/>
        <v>IT0004976822@rbsm Corp</v>
      </c>
      <c r="AA148" s="27">
        <f>_xll.BDP(Z148,"bid")</f>
        <v>41.698999999999998</v>
      </c>
      <c r="AB148" s="27">
        <f>_xll.BDP(Z148,"ask")</f>
        <v>43.962000000000003</v>
      </c>
      <c r="AC148" s="27">
        <f t="shared" si="167"/>
        <v>42.830500000000001</v>
      </c>
      <c r="AD148" s="114">
        <f t="shared" si="168"/>
        <v>2.339500000000001</v>
      </c>
      <c r="AE148" s="27" t="str">
        <f t="shared" si="170"/>
        <v>0</v>
      </c>
      <c r="AF148" s="152">
        <f t="shared" si="171"/>
        <v>0</v>
      </c>
    </row>
    <row r="149" spans="1:32" x14ac:dyDescent="0.2">
      <c r="A149" s="66" t="s">
        <v>290</v>
      </c>
      <c r="B149" s="83">
        <v>52657</v>
      </c>
      <c r="C149" s="131">
        <f>_xll.BDP(A149&amp;" Corp", "days to mty")</f>
        <v>10141</v>
      </c>
      <c r="D149" s="41" t="s">
        <v>291</v>
      </c>
      <c r="E149" s="41" t="s">
        <v>292</v>
      </c>
      <c r="F149" s="130">
        <v>44.65</v>
      </c>
      <c r="G149" s="130">
        <v>44.71</v>
      </c>
      <c r="H149" s="130">
        <f t="shared" si="150"/>
        <v>44.77</v>
      </c>
      <c r="I149" s="26">
        <f>ROUND(_xll.qlBondYieldFromCleanPrice(O149,F149,YieldDayCounter,YieldCompounding,YieldFrequency)*100,3)</f>
        <v>2.9470000000000001</v>
      </c>
      <c r="J149" s="26">
        <f>ROUND(_xll.qlBondYieldFromCleanPrice(P149,G149,YieldDayCounter,YieldCompounding,YieldFrequency)*100,3)</f>
        <v>2.9420000000000002</v>
      </c>
      <c r="K149" s="26">
        <f>ROUND(_xll.qlBondYieldFromCleanPrice(Q149,H149,YieldDayCounter,YieldCompounding,YieldFrequency)*100,3)</f>
        <v>2.9369999999999998</v>
      </c>
      <c r="L149" s="114">
        <f>_xll.qlBondDurationFromYield(P149,J149,YieldDayCounter,YieldCompounding,YieldFrequency,L$2)</f>
        <v>7.0425276092380624</v>
      </c>
      <c r="M149" s="114">
        <f>_xll.qlBondConvexityFromYield(P149,J149/100,YieldDayCounter,YieldCompounding,YieldFrequency)</f>
        <v>753.4833827553424</v>
      </c>
      <c r="N149" s="115">
        <f>_xll.BDP(A149&amp;" Corp","risk mid")</f>
        <v>11.365466708863536</v>
      </c>
      <c r="O149" s="101" t="str">
        <f>_xll.qlZeroCouponBond(,,"EUR",3,"target",100,$B149,"f",100,,,Trigger)</f>
        <v>obj_008da#0000</v>
      </c>
      <c r="P149" s="101" t="str">
        <f>_xll.qlZeroCouponBond(,,"EUR",3,"target",100,$B149,"f",100,,,Trigger)</f>
        <v>obj_00903#0000</v>
      </c>
      <c r="Q149" s="101" t="str">
        <f>_xll.qlZeroCouponBond(,,"EUR",3,"target",100,$B149,"f",100,,,Trigger)</f>
        <v>obj_00886#0000</v>
      </c>
      <c r="R149" s="117">
        <f t="shared" si="160"/>
        <v>44.77</v>
      </c>
      <c r="S149" s="122">
        <f t="shared" ref="S149" si="174">R149</f>
        <v>44.77</v>
      </c>
      <c r="T149" s="138" t="str">
        <f>IF(UPPER(U$1)="ABCD",_xll.RtContribute($E$3,$E149,$R$3:$S$3,$R149:$S149,"SCOPE:SERVER"),"--")</f>
        <v>Success: Insert Ack on DTSIMI2 for STRIP.IT0004976830 at 10:36:17</v>
      </c>
      <c r="U149" s="142" t="str">
        <f t="shared" si="152"/>
        <v>OK</v>
      </c>
      <c r="V149" s="126" t="str">
        <f t="shared" si="149"/>
        <v>EUR.PRICING.XLS_STRIPS.IT0004976830</v>
      </c>
      <c r="W149" s="126" t="str">
        <f>IF(UPPER($X$1)="ABCD",_xll.MKV_PUBLISHRECORD(V149, "XLS_STRIPS"),"--")</f>
        <v>Not connected</v>
      </c>
      <c r="X149" s="127" t="str">
        <f>IF(UPPER(X$1)="ABCD",_xll.MKV_SUPPLYRECORD(V149, "Bid",F149, "Ask",H149, "Id",A149, "Mid",G149, "Name",D149,"DV01",N149,"MidYield",J149,"BidYield",I149,"AskYield",K149),"--")</f>
        <v>Not connected</v>
      </c>
      <c r="Z149" s="27" t="str">
        <f t="shared" si="164"/>
        <v>IT0004976830@rbsm Corp</v>
      </c>
      <c r="AA149" s="27">
        <f>_xll.BDP(Z149,"bid")</f>
        <v>40.781999999999996</v>
      </c>
      <c r="AB149" s="27">
        <f>_xll.BDP(Z149,"ask")</f>
        <v>43.036999999999999</v>
      </c>
      <c r="AC149" s="27">
        <f t="shared" si="167"/>
        <v>41.909499999999994</v>
      </c>
      <c r="AD149" s="114">
        <f t="shared" si="168"/>
        <v>2.8005000000000067</v>
      </c>
      <c r="AE149" s="27" t="str">
        <f t="shared" si="170"/>
        <v>0</v>
      </c>
      <c r="AF149" s="152">
        <f t="shared" si="171"/>
        <v>0</v>
      </c>
    </row>
    <row r="150" spans="1:32" x14ac:dyDescent="0.2">
      <c r="A150" s="66" t="s">
        <v>293</v>
      </c>
      <c r="B150" s="83">
        <v>52841</v>
      </c>
      <c r="C150" s="131">
        <f>_xll.BDP(A150&amp;" Corp", "days to mty")</f>
        <v>10325</v>
      </c>
      <c r="D150" s="41" t="s">
        <v>294</v>
      </c>
      <c r="E150" s="41" t="s">
        <v>295</v>
      </c>
      <c r="F150" s="130">
        <v>44.23</v>
      </c>
      <c r="G150" s="130">
        <v>44.29</v>
      </c>
      <c r="H150" s="130">
        <f t="shared" si="150"/>
        <v>44.35</v>
      </c>
      <c r="I150" s="26">
        <f>ROUND(_xll.qlBondYieldFromCleanPrice(O150,F150,YieldDayCounter,YieldCompounding,YieldFrequency)*100,3)</f>
        <v>2.9279999999999999</v>
      </c>
      <c r="J150" s="26">
        <f>ROUND(_xll.qlBondYieldFromCleanPrice(P150,G150,YieldDayCounter,YieldCompounding,YieldFrequency)*100,3)</f>
        <v>2.923</v>
      </c>
      <c r="K150" s="26">
        <f>ROUND(_xll.qlBondYieldFromCleanPrice(Q150,H150,YieldDayCounter,YieldCompounding,YieldFrequency)*100,3)</f>
        <v>2.9180000000000001</v>
      </c>
      <c r="L150" s="114">
        <f>_xll.qlBondDurationFromYield(P150,J150,YieldDayCounter,YieldCompounding,YieldFrequency,L$2)</f>
        <v>7.2049521596748338</v>
      </c>
      <c r="M150" s="114">
        <f>_xll.qlBondConvexityFromYield(P150,J150/100,YieldDayCounter,YieldCompounding,YieldFrequency)</f>
        <v>780.86052866153761</v>
      </c>
      <c r="N150" s="115">
        <f>_xll.BDP(A150&amp;" Corp","risk mid")</f>
        <v>12.135883721208174</v>
      </c>
      <c r="O150" s="101" t="str">
        <f>_xll.qlZeroCouponBond(,,"EUR",3,"target",100,$B150,"f",100,,,Trigger)</f>
        <v>obj_009a5#0000</v>
      </c>
      <c r="P150" s="101" t="str">
        <f>_xll.qlZeroCouponBond(,,"EUR",3,"target",100,$B150,"f",100,,,Trigger)</f>
        <v>obj_009a2#0000</v>
      </c>
      <c r="Q150" s="101" t="str">
        <f>_xll.qlZeroCouponBond(,,"EUR",3,"target",100,$B150,"f",100,,,Trigger)</f>
        <v>obj_00853#0000</v>
      </c>
      <c r="R150" s="117">
        <f t="shared" si="160"/>
        <v>44.35</v>
      </c>
      <c r="S150" s="123">
        <f t="shared" ref="S150" si="175">R150</f>
        <v>44.35</v>
      </c>
      <c r="T150" s="139" t="str">
        <f>IF(UPPER(U$1)="ABCD",_xll.RtContribute($E$3,$E150,$R$3:$S$3,$R150:$S150,"SCOPE:SERVER"),"--")</f>
        <v>Success: Insert Ack on DTSIMI2 for STRIP.IT0004976848 at 10:35:30</v>
      </c>
      <c r="U150" s="143" t="str">
        <f t="shared" si="152"/>
        <v>OK</v>
      </c>
      <c r="V150" s="128" t="str">
        <f t="shared" si="149"/>
        <v>EUR.PRICING.XLS_STRIPS.IT0004976848</v>
      </c>
      <c r="W150" s="128" t="str">
        <f>IF(UPPER($X$1)="ABCD",_xll.MKV_PUBLISHRECORD(V150, "XLS_STRIPS"),"--")</f>
        <v>Not connected</v>
      </c>
      <c r="X150" s="129" t="str">
        <f>IF(UPPER(X$1)="ABCD",_xll.MKV_SUPPLYRECORD(V150, "Bid",F150, "Ask",H150, "Id",A150, "Mid",G150, "Name",D150,"DV01",N150,"MidYield",J150,"BidYield",I150,"AskYield",K150),"--")</f>
        <v>Not connected</v>
      </c>
      <c r="Z150" s="27" t="str">
        <f t="shared" si="164"/>
        <v>IT0004976848@rbsm Corp</v>
      </c>
      <c r="AA150" s="27">
        <f>_xll.BDP(Z150,"bid")</f>
        <v>44.073</v>
      </c>
      <c r="AB150" s="27">
        <f>_xll.BDP(Z150,"ask")</f>
        <v>45.55</v>
      </c>
      <c r="AC150" s="27">
        <f t="shared" si="167"/>
        <v>44.811499999999995</v>
      </c>
      <c r="AD150" s="114">
        <f t="shared" si="168"/>
        <v>-0.52149999999999608</v>
      </c>
      <c r="AE150" s="27" t="str">
        <f t="shared" si="170"/>
        <v>0</v>
      </c>
      <c r="AF150" s="152">
        <f t="shared" si="171"/>
        <v>0</v>
      </c>
    </row>
  </sheetData>
  <phoneticPr fontId="2" type="noConversion"/>
  <dataValidations disablePrompts="1" count="1">
    <dataValidation type="list" allowBlank="1" showInputMessage="1" showErrorMessage="1" sqref="L2:N2">
      <formula1>"Macaulay,Modified,Simple"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20"/>
  <sheetViews>
    <sheetView workbookViewId="0">
      <selection activeCell="C5" sqref="C5"/>
    </sheetView>
  </sheetViews>
  <sheetFormatPr defaultRowHeight="12.75" x14ac:dyDescent="0.2"/>
  <cols>
    <col min="2" max="2" width="14.7109375" bestFit="1" customWidth="1"/>
    <col min="3" max="3" width="15.5703125" bestFit="1" customWidth="1"/>
  </cols>
  <sheetData>
    <row r="4" spans="2:3" ht="13.5" thickBot="1" x14ac:dyDescent="0.25"/>
    <row r="5" spans="2:3" x14ac:dyDescent="0.2">
      <c r="B5" s="104" t="s">
        <v>522</v>
      </c>
      <c r="C5" s="110" t="str">
        <f>_xll.qlFloatingRateBond(,C7,C8,C9,C10,C11,C6,C13,C14,C15,,,C16,C17,,C18)</f>
        <v>obj_00a23#0000</v>
      </c>
    </row>
    <row r="6" spans="2:3" ht="13.5" thickBot="1" x14ac:dyDescent="0.25">
      <c r="B6" s="106" t="s">
        <v>512</v>
      </c>
      <c r="C6" s="111" t="str">
        <f>_xll.qlSchedule(,BondSettlementDate,C12,"6m","target","f",,"backward",,,,,Trigger)</f>
        <v>obj_00a10#0000</v>
      </c>
    </row>
    <row r="7" spans="2:3" x14ac:dyDescent="0.2">
      <c r="B7" s="105" t="s">
        <v>513</v>
      </c>
      <c r="C7" s="107" t="s">
        <v>524</v>
      </c>
    </row>
    <row r="8" spans="2:3" x14ac:dyDescent="0.2">
      <c r="B8" s="105" t="s">
        <v>514</v>
      </c>
      <c r="C8" s="107" t="s">
        <v>510</v>
      </c>
    </row>
    <row r="9" spans="2:3" x14ac:dyDescent="0.2">
      <c r="B9" s="105" t="s">
        <v>515</v>
      </c>
      <c r="C9" s="108">
        <v>2</v>
      </c>
    </row>
    <row r="10" spans="2:3" x14ac:dyDescent="0.2">
      <c r="B10" s="105" t="s">
        <v>516</v>
      </c>
      <c r="C10" s="107" t="s">
        <v>511</v>
      </c>
    </row>
    <row r="11" spans="2:3" x14ac:dyDescent="0.2">
      <c r="B11" s="105" t="s">
        <v>517</v>
      </c>
      <c r="C11" s="107">
        <v>100</v>
      </c>
    </row>
    <row r="12" spans="2:3" x14ac:dyDescent="0.2">
      <c r="B12" s="105" t="s">
        <v>525</v>
      </c>
      <c r="C12" s="112" t="s">
        <v>529</v>
      </c>
    </row>
    <row r="13" spans="2:3" x14ac:dyDescent="0.2">
      <c r="B13" s="105" t="s">
        <v>518</v>
      </c>
      <c r="C13" s="107">
        <v>2</v>
      </c>
    </row>
    <row r="14" spans="2:3" x14ac:dyDescent="0.2">
      <c r="B14" s="105" t="s">
        <v>519</v>
      </c>
      <c r="C14" s="107" t="b">
        <v>0</v>
      </c>
    </row>
    <row r="15" spans="2:3" x14ac:dyDescent="0.2">
      <c r="B15" s="105" t="s">
        <v>520</v>
      </c>
      <c r="C15" s="107" t="s">
        <v>523</v>
      </c>
    </row>
    <row r="16" spans="2:3" x14ac:dyDescent="0.2">
      <c r="B16" s="105" t="s">
        <v>521</v>
      </c>
      <c r="C16" s="107" t="s">
        <v>21</v>
      </c>
    </row>
    <row r="17" spans="2:3" x14ac:dyDescent="0.2">
      <c r="B17" s="105" t="s">
        <v>495</v>
      </c>
      <c r="C17" s="113">
        <v>8.0000000000000002E-3</v>
      </c>
    </row>
    <row r="18" spans="2:3" ht="13.5" thickBot="1" x14ac:dyDescent="0.25">
      <c r="B18" s="106" t="s">
        <v>5</v>
      </c>
      <c r="C18" s="109">
        <v>100</v>
      </c>
    </row>
    <row r="20" spans="2:3" x14ac:dyDescent="0.2">
      <c r="C20">
        <f>_xll.qlBondCleanPriceFromYieldTermStructure(C5,BtpCurve)</f>
        <v>101.51092933600948</v>
      </c>
    </row>
  </sheetData>
  <dataValidations count="4">
    <dataValidation type="list" allowBlank="1" showInputMessage="1" showErrorMessage="1" sqref="C8">
      <formula1>"EUR,USD,GBP,JPY,CHF"</formula1>
    </dataValidation>
    <dataValidation type="list" allowBlank="1" showInputMessage="1" showErrorMessage="1" sqref="C10">
      <formula1>"Following,Modified Following,Preceding,Modified Preceding,Unadjusted"</formula1>
    </dataValidation>
    <dataValidation type="list" allowBlank="1" showInputMessage="1" showErrorMessage="1" sqref="C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C16">
      <formula1>"EuriborSW,Euribor2W,Euribor3W,Euribor1M,Euribor2M,Euribor3M,Euribor4M,Euribor5M,Euribor6M,Euribor7M,Euribor8M,Euribor9M,Euribor10M,Euribor11M,Euribor1Y"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90469C22459C44875563D5730524EA" ma:contentTypeVersion="0" ma:contentTypeDescription="Creare un nuovo documento." ma:contentTypeScope="" ma:versionID="702f7eed18a86877226a06434f33e4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e2c2bff39701977361371fca1d156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27894E-76EA-4A57-86D8-24BFD4CD6C35}">
  <ds:schemaRefs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9F7E1E-BB72-4EBC-B55A-F5256417A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8D01E2-1532-4E38-A6FF-DA5A99CF65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General Settings</vt:lpstr>
      <vt:lpstr>BtpCurve</vt:lpstr>
      <vt:lpstr>Bond Analysis</vt:lpstr>
      <vt:lpstr>Contribution</vt:lpstr>
      <vt:lpstr>CCT</vt:lpstr>
      <vt:lpstr>AswIndex</vt:lpstr>
      <vt:lpstr>BondPricingEngine</vt:lpstr>
      <vt:lpstr>BondSettlementDate</vt:lpstr>
      <vt:lpstr>BtpCurve</vt:lpstr>
      <vt:lpstr>Descriptions</vt:lpstr>
      <vt:lpstr>DiscountingCurve</vt:lpstr>
      <vt:lpstr>ExcludeMarchSeptember</vt:lpstr>
      <vt:lpstr>IgnoreResiduePremium</vt:lpstr>
      <vt:lpstr>ParAsw</vt:lpstr>
      <vt:lpstr>PriceSelector</vt:lpstr>
      <vt:lpstr>PriceTrigger</vt:lpstr>
      <vt:lpstr>ReferenceBond</vt:lpstr>
      <vt:lpstr>ReferenceBondAccruedAmount</vt:lpstr>
      <vt:lpstr>ReferenceBondDescription</vt:lpstr>
      <vt:lpstr>ReferenceBondISIN</vt:lpstr>
      <vt:lpstr>ReferenceBondPrice</vt:lpstr>
      <vt:lpstr>ReferenceBondPrincipaPremium</vt:lpstr>
      <vt:lpstr>Trigger</vt:lpstr>
      <vt:lpstr>YieldCompounding</vt:lpstr>
      <vt:lpstr>YieldCurveInterpolation</vt:lpstr>
      <vt:lpstr>YieldCurveTraits</vt:lpstr>
      <vt:lpstr>YieldDayCounter</vt:lpstr>
      <vt:lpstr>YieldFrequency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MURRONE MASSIMILIANO</cp:lastModifiedBy>
  <dcterms:created xsi:type="dcterms:W3CDTF">2009-02-27T08:24:03Z</dcterms:created>
  <dcterms:modified xsi:type="dcterms:W3CDTF">2016-05-24T08:36:54Z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0x010100E390469C22459C44875563D5730524EA</vt:lpwstr>
  </property>
</Properties>
</file>