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" yWindow="15" windowWidth="19080" windowHeight="1180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  <sheet name="Euribor" sheetId="20" r:id="rId7"/>
    <sheet name="Quote" sheetId="19" r:id="rId8"/>
  </sheets>
  <definedNames>
    <definedName name="BumpValue">GeneralSettings!$O$3</definedName>
    <definedName name="BumpValue1M">GeneralSettings!#REF!</definedName>
    <definedName name="BumpValue1Y">GeneralSettings!#REF!</definedName>
    <definedName name="BumpValue3MFUT">GeneralSettings!#REF!</definedName>
    <definedName name="BumpValue6M">GeneralSettings!#REF!</definedName>
    <definedName name="BumpValueON">GeneralSettings!#REF!</definedName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EUR3M!$H$35</definedName>
    <definedName name="IncludeFlag" localSheetId="4">EUR1M!$Q$3:$Q$91</definedName>
    <definedName name="IncludeFlag" localSheetId="5">EUR1Y!$Q$3:$Q$115</definedName>
    <definedName name="IncludeFlag" localSheetId="2">EUR3M!$Q$3:$Q$125</definedName>
    <definedName name="IncludeFlag" localSheetId="3">EUR6M!$R$3:$R$115</definedName>
    <definedName name="IncludeFlag" localSheetId="1">EURON!$O$3:$O$91</definedName>
    <definedName name="JumpDates_1M">EUR1M!$AG$11:$AG$23</definedName>
    <definedName name="JumpDates_3M">EUR3M!$AG$11:$AG$23</definedName>
    <definedName name="JumpDates_6M">EUR6M!$AH$11:$AH$23</definedName>
    <definedName name="JumpDates_ON">EURON!$AE$11:$AE$23</definedName>
    <definedName name="JumpQuotes_1M">EUR1M!$AM$11:$AM$23</definedName>
    <definedName name="JumpQuotes_3M">EUR3M!$AM$11:$AM$23</definedName>
    <definedName name="JumpQuotes_6M">EUR6M!$AN$11:$AN$23</definedName>
    <definedName name="JumpQuotes_ON">EURON!$AK$11:$AK$23</definedName>
    <definedName name="JumpSuffix">GeneralSettings!$I$9</definedName>
    <definedName name="MinDistance" localSheetId="4">EUR1M!$S$3:$S$91</definedName>
    <definedName name="MinDistance" localSheetId="5">EUR1Y!$S$3:$S$115</definedName>
    <definedName name="MinDistance" localSheetId="2">EUR3M!$S$3:$S$125</definedName>
    <definedName name="MinDistance" localSheetId="3">EUR6M!$T$3:$T$115</definedName>
    <definedName name="MinDistance" localSheetId="1">EURON!$Q$3:$Q$91</definedName>
    <definedName name="ObjectOverwrite">GeneralSettings!$D$6</definedName>
    <definedName name="Permanent">GeneralSettings!$D$4</definedName>
    <definedName name="PillarDate">GeneralSettings!$D$8</definedName>
    <definedName name="PriceTickValue">GeneralSettings!$D$10</definedName>
    <definedName name="Priority" localSheetId="4">EUR1M!$R$3:$R$91</definedName>
    <definedName name="Priority" localSheetId="5">EUR1Y!$R$3:$R$115</definedName>
    <definedName name="Priority" localSheetId="2">EUR3M!$R$3:$R$125</definedName>
    <definedName name="Priority" localSheetId="3">EUR6M!$S$3:$S$115</definedName>
    <definedName name="Priority" localSheetId="1">EURON!$P$3:$P$91</definedName>
    <definedName name="QuoteSuffix">GeneralSettings!$I$8</definedName>
    <definedName name="RateHelpers" localSheetId="4">EUR1M!$N$3:$N$91</definedName>
    <definedName name="RateHelpers" localSheetId="5">EUR1Y!$N$3:$N$115</definedName>
    <definedName name="RateHelpers" localSheetId="2">EUR3M!$N$3:$N$125</definedName>
    <definedName name="RateHelpers" localSheetId="3">EUR6M!$O$3:$O$115</definedName>
    <definedName name="RateHelpers" localSheetId="1">EURON!$L$3:$L$91</definedName>
    <definedName name="RateHelpers1M">EUR1M!$X$3:$X$91</definedName>
    <definedName name="RateHelpers1Y">EUR1Y!$X$3:$X$115</definedName>
    <definedName name="RateHelpers3M">EUR3M!$X$3:$X$125</definedName>
    <definedName name="RateHelpers6M">EUR6M!$Y$3:$Y$115</definedName>
    <definedName name="RateHelpersON">EURON!$V$3:$V$91</definedName>
    <definedName name="RateTickValue">GeneralSettings!$D$9</definedName>
    <definedName name="Sensitivity" localSheetId="4">EUR1M!$AK$8</definedName>
    <definedName name="Sensitivity" localSheetId="5">EUR1Y!$AH$8</definedName>
    <definedName name="Sensitivity" localSheetId="2">EUR3M!$AK$8</definedName>
    <definedName name="Sensitivity" localSheetId="3">EUR6M!$AL$8</definedName>
    <definedName name="Sensitivity" localSheetId="1">EURON!$AI$8</definedName>
    <definedName name="Settlementdate">GeneralSettings!$I$4</definedName>
    <definedName name="Stub" localSheetId="7">Quote!$BA$2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aits" localSheetId="6">Euribor!#REF!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</definedNames>
  <calcPr calcId="145621"/>
</workbook>
</file>

<file path=xl/calcChain.xml><?xml version="1.0" encoding="utf-8"?>
<calcChain xmlns="http://schemas.openxmlformats.org/spreadsheetml/2006/main">
  <c r="X33" i="19" l="1"/>
  <c r="X32" i="19"/>
  <c r="X31" i="19"/>
  <c r="X30" i="19"/>
  <c r="X29" i="19"/>
  <c r="X28" i="19"/>
  <c r="X27" i="19"/>
  <c r="X26" i="19"/>
  <c r="X25" i="19"/>
  <c r="X24" i="19"/>
  <c r="X23" i="19"/>
  <c r="X22" i="19"/>
  <c r="W23" i="19"/>
  <c r="W24" i="19"/>
  <c r="W25" i="19"/>
  <c r="W26" i="19"/>
  <c r="W27" i="19"/>
  <c r="W28" i="19"/>
  <c r="W29" i="19"/>
  <c r="W30" i="19"/>
  <c r="W31" i="19"/>
  <c r="W32" i="19"/>
  <c r="W33" i="19"/>
  <c r="W22" i="19"/>
  <c r="M32" i="15"/>
  <c r="M31" i="15"/>
  <c r="M30" i="15"/>
  <c r="M29" i="15"/>
  <c r="M28" i="15"/>
  <c r="M27" i="15"/>
  <c r="M26" i="15"/>
  <c r="M25" i="15"/>
  <c r="M24" i="15"/>
  <c r="M23" i="15"/>
  <c r="M22" i="15"/>
  <c r="M21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D46" i="1"/>
  <c r="I31" i="1"/>
  <c r="D31" i="1"/>
  <c r="I16" i="1"/>
  <c r="D16" i="1"/>
  <c r="Y33" i="19"/>
  <c r="Y27" i="19"/>
  <c r="Y24" i="19"/>
  <c r="Y25" i="19"/>
  <c r="Y28" i="19"/>
  <c r="D9" i="20"/>
  <c r="Y23" i="19"/>
  <c r="E6" i="20"/>
  <c r="Y29" i="19"/>
  <c r="E8" i="20"/>
  <c r="Y22" i="19"/>
  <c r="D7" i="20"/>
  <c r="E11" i="20"/>
  <c r="Y30" i="19"/>
  <c r="D12" i="20"/>
  <c r="Y31" i="19"/>
  <c r="D4" i="20"/>
  <c r="E5" i="20"/>
  <c r="Y26" i="19"/>
  <c r="D10" i="20"/>
  <c r="Y32" i="19"/>
  <c r="AA29" i="19"/>
  <c r="AA30" i="19"/>
  <c r="Z22" i="19"/>
  <c r="AA31" i="19"/>
  <c r="AA26" i="19"/>
  <c r="AA28" i="19"/>
  <c r="Z30" i="19"/>
  <c r="Z32" i="19"/>
  <c r="Z25" i="19"/>
  <c r="AA23" i="19"/>
  <c r="AA33" i="19"/>
  <c r="AA27" i="19"/>
  <c r="AA22" i="19"/>
  <c r="Z27" i="19"/>
  <c r="Z29" i="19"/>
  <c r="AA25" i="19"/>
  <c r="Z23" i="19"/>
  <c r="Z24" i="19"/>
  <c r="Z33" i="19"/>
  <c r="AA24" i="19"/>
  <c r="Z31" i="19"/>
  <c r="Z28" i="19"/>
  <c r="AA32" i="19"/>
  <c r="Z26" i="19"/>
  <c r="H27" i="15" l="1"/>
  <c r="H24" i="15"/>
  <c r="H33" i="15"/>
  <c r="H32" i="15"/>
  <c r="H26" i="15"/>
  <c r="H30" i="15"/>
  <c r="H25" i="15"/>
  <c r="H34" i="15"/>
  <c r="H28" i="15"/>
  <c r="H29" i="15"/>
  <c r="H23" i="15"/>
  <c r="H31" i="15"/>
  <c r="AB24" i="19"/>
  <c r="AB32" i="19"/>
  <c r="AB29" i="19"/>
  <c r="AB26" i="19"/>
  <c r="AB23" i="19"/>
  <c r="AB31" i="19"/>
  <c r="AB28" i="19"/>
  <c r="AB25" i="19"/>
  <c r="AB33" i="19"/>
  <c r="AB30" i="19"/>
  <c r="AB27" i="19"/>
  <c r="AB22" i="19"/>
  <c r="H87" i="15"/>
  <c r="H88" i="15"/>
  <c r="D10" i="1"/>
  <c r="E9" i="20"/>
  <c r="F6" i="20"/>
  <c r="F8" i="20"/>
  <c r="E10" i="20"/>
  <c r="E12" i="20"/>
  <c r="F5" i="20"/>
  <c r="F11" i="20"/>
  <c r="E7" i="20"/>
  <c r="E4" i="20"/>
  <c r="AD23" i="19"/>
  <c r="AD32" i="19"/>
  <c r="AD25" i="19"/>
  <c r="AD31" i="19"/>
  <c r="AD24" i="19"/>
  <c r="AD28" i="19"/>
  <c r="AD33" i="19"/>
  <c r="AD29" i="19"/>
  <c r="AD26" i="19"/>
  <c r="AD22" i="19"/>
  <c r="AD30" i="19"/>
  <c r="AD27" i="19"/>
  <c r="H90" i="15" l="1"/>
  <c r="F7" i="20"/>
  <c r="F9" i="20"/>
  <c r="F10" i="20"/>
  <c r="F12" i="20"/>
  <c r="F4" i="20"/>
  <c r="I25" i="20" l="1"/>
  <c r="I22" i="20"/>
  <c r="I19" i="20"/>
  <c r="I16" i="20"/>
  <c r="H12" i="20"/>
  <c r="H11" i="20"/>
  <c r="H10" i="20"/>
  <c r="H9" i="20"/>
  <c r="H8" i="20"/>
  <c r="H7" i="20"/>
  <c r="H6" i="20"/>
  <c r="H5" i="20"/>
  <c r="K9" i="20"/>
  <c r="K8" i="20"/>
  <c r="K12" i="20"/>
  <c r="F15" i="20"/>
  <c r="K5" i="20"/>
  <c r="K6" i="20"/>
  <c r="G8" i="15"/>
  <c r="K7" i="20"/>
  <c r="K11" i="20"/>
  <c r="K10" i="20"/>
  <c r="H3" i="20"/>
  <c r="H24" i="20"/>
  <c r="H21" i="20"/>
  <c r="H15" i="20"/>
  <c r="H18" i="20"/>
  <c r="D7" i="1" l="1"/>
  <c r="G6" i="16"/>
  <c r="G6" i="18"/>
  <c r="G6" i="17"/>
  <c r="G6" i="15"/>
  <c r="G7" i="17"/>
  <c r="G7" i="15"/>
  <c r="G7" i="16"/>
  <c r="G7" i="18"/>
  <c r="G10" i="15"/>
  <c r="G10" i="16"/>
  <c r="G10" i="18"/>
  <c r="G17" i="18"/>
  <c r="H39" i="1"/>
  <c r="H24" i="1"/>
  <c r="C39" i="1"/>
  <c r="C54" i="1"/>
  <c r="C24" i="1"/>
  <c r="M6" i="20"/>
  <c r="M11" i="20"/>
  <c r="M5" i="20"/>
  <c r="M10" i="20"/>
  <c r="M7" i="20"/>
  <c r="M9" i="20"/>
  <c r="M8" i="20"/>
  <c r="L16" i="20"/>
  <c r="G5" i="18" l="1"/>
  <c r="G5" i="16"/>
  <c r="G5" i="15"/>
  <c r="G5" i="17"/>
  <c r="E1" i="14"/>
  <c r="G14" i="18"/>
  <c r="G14" i="16"/>
  <c r="G11" i="18"/>
  <c r="G11" i="16"/>
  <c r="G11" i="15"/>
  <c r="G9" i="15"/>
  <c r="G9" i="16"/>
  <c r="G9" i="17"/>
  <c r="G9" i="18"/>
  <c r="G20" i="18"/>
  <c r="N68" i="18"/>
  <c r="N69" i="18"/>
  <c r="N70" i="18"/>
  <c r="N71" i="18"/>
  <c r="N72" i="18"/>
  <c r="N73" i="18"/>
  <c r="N74" i="18"/>
  <c r="N75" i="18"/>
  <c r="N67" i="18"/>
  <c r="N66" i="18"/>
  <c r="N65" i="18"/>
  <c r="N64" i="18"/>
  <c r="N63" i="18"/>
  <c r="N62" i="18"/>
  <c r="N61" i="18"/>
  <c r="N60" i="18"/>
  <c r="N59" i="18"/>
  <c r="N58" i="18"/>
  <c r="N57" i="18"/>
  <c r="N56" i="18"/>
  <c r="N55" i="18"/>
  <c r="N54" i="18"/>
  <c r="N53" i="18"/>
  <c r="N52" i="18"/>
  <c r="N51" i="18"/>
  <c r="N50" i="18"/>
  <c r="N49" i="18"/>
  <c r="N48" i="18"/>
  <c r="N47" i="18"/>
  <c r="N46" i="18"/>
  <c r="N45" i="18"/>
  <c r="N44" i="18"/>
  <c r="N43" i="18"/>
  <c r="N42" i="18"/>
  <c r="N41" i="18"/>
  <c r="N40" i="18"/>
  <c r="N39" i="18"/>
  <c r="N38" i="18"/>
  <c r="N37" i="18"/>
  <c r="N36" i="18"/>
  <c r="N35" i="18"/>
  <c r="N34" i="18"/>
  <c r="N33" i="18"/>
  <c r="N4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A71" i="18"/>
  <c r="M67" i="18" s="1"/>
  <c r="B71" i="18"/>
  <c r="A72" i="18"/>
  <c r="M68" i="18" s="1"/>
  <c r="B72" i="18"/>
  <c r="A73" i="18"/>
  <c r="M69" i="18" s="1"/>
  <c r="B73" i="18"/>
  <c r="A74" i="18"/>
  <c r="M70" i="18" s="1"/>
  <c r="B74" i="18"/>
  <c r="A75" i="18"/>
  <c r="M71" i="18" s="1"/>
  <c r="B75" i="18"/>
  <c r="A76" i="18"/>
  <c r="M72" i="18" s="1"/>
  <c r="B76" i="18"/>
  <c r="A77" i="18"/>
  <c r="M73" i="18" s="1"/>
  <c r="B77" i="18"/>
  <c r="A78" i="18"/>
  <c r="M74" i="18" s="1"/>
  <c r="B78" i="18"/>
  <c r="A79" i="18"/>
  <c r="M75" i="18" s="1"/>
  <c r="B79" i="18"/>
  <c r="A80" i="18"/>
  <c r="M76" i="18" s="1"/>
  <c r="B80" i="18"/>
  <c r="A81" i="18"/>
  <c r="M77" i="18" s="1"/>
  <c r="B81" i="18"/>
  <c r="A82" i="18"/>
  <c r="M78" i="18" s="1"/>
  <c r="B82" i="18"/>
  <c r="A83" i="18"/>
  <c r="M79" i="18" s="1"/>
  <c r="B83" i="18"/>
  <c r="A84" i="18"/>
  <c r="M80" i="18" s="1"/>
  <c r="B84" i="18"/>
  <c r="A85" i="18"/>
  <c r="M81" i="18" s="1"/>
  <c r="B85" i="18"/>
  <c r="A86" i="18"/>
  <c r="M82" i="18" s="1"/>
  <c r="B86" i="18"/>
  <c r="A87" i="18"/>
  <c r="M83" i="18" s="1"/>
  <c r="B87" i="18"/>
  <c r="A88" i="18"/>
  <c r="M84" i="18" s="1"/>
  <c r="B88" i="18"/>
  <c r="A89" i="18"/>
  <c r="M85" i="18" s="1"/>
  <c r="B89" i="18"/>
  <c r="A90" i="18"/>
  <c r="M86" i="18" s="1"/>
  <c r="B90" i="18"/>
  <c r="A91" i="18"/>
  <c r="M87" i="18" s="1"/>
  <c r="B91" i="18"/>
  <c r="A92" i="18"/>
  <c r="M88" i="18" s="1"/>
  <c r="B92" i="18"/>
  <c r="A93" i="18"/>
  <c r="M89" i="18" s="1"/>
  <c r="B93" i="18"/>
  <c r="A94" i="18"/>
  <c r="M90" i="18" s="1"/>
  <c r="B94" i="18"/>
  <c r="A95" i="18"/>
  <c r="M91" i="18" s="1"/>
  <c r="B95" i="18"/>
  <c r="A96" i="18"/>
  <c r="M92" i="18" s="1"/>
  <c r="B96" i="18"/>
  <c r="A97" i="18"/>
  <c r="M93" i="18" s="1"/>
  <c r="B97" i="18"/>
  <c r="A98" i="18"/>
  <c r="M94" i="18" s="1"/>
  <c r="B98" i="18"/>
  <c r="A99" i="18"/>
  <c r="M95" i="18" s="1"/>
  <c r="B99" i="18"/>
  <c r="A100" i="18"/>
  <c r="M96" i="18" s="1"/>
  <c r="B100" i="18"/>
  <c r="A101" i="18"/>
  <c r="M97" i="18" s="1"/>
  <c r="B101" i="18"/>
  <c r="A102" i="18"/>
  <c r="M98" i="18" s="1"/>
  <c r="B102" i="18"/>
  <c r="A103" i="18"/>
  <c r="M99" i="18" s="1"/>
  <c r="B103" i="18"/>
  <c r="A104" i="18"/>
  <c r="M100" i="18" s="1"/>
  <c r="B104" i="18"/>
  <c r="A105" i="18"/>
  <c r="M101" i="18" s="1"/>
  <c r="B105" i="18"/>
  <c r="A106" i="18"/>
  <c r="M102" i="18" s="1"/>
  <c r="B106" i="18"/>
  <c r="A107" i="18"/>
  <c r="M103" i="18" s="1"/>
  <c r="B107" i="18"/>
  <c r="A108" i="18"/>
  <c r="M104" i="18" s="1"/>
  <c r="B108" i="18"/>
  <c r="A109" i="18"/>
  <c r="M105" i="18" s="1"/>
  <c r="B109" i="18"/>
  <c r="A110" i="18"/>
  <c r="M106" i="18" s="1"/>
  <c r="B110" i="18"/>
  <c r="A111" i="18"/>
  <c r="M107" i="18" s="1"/>
  <c r="B111" i="18"/>
  <c r="A112" i="18"/>
  <c r="M108" i="18" s="1"/>
  <c r="B112" i="18"/>
  <c r="A113" i="18"/>
  <c r="M109" i="18" s="1"/>
  <c r="B113" i="18"/>
  <c r="A114" i="18"/>
  <c r="M110" i="18" s="1"/>
  <c r="B114" i="18"/>
  <c r="A115" i="18"/>
  <c r="M111" i="18" s="1"/>
  <c r="B115" i="18"/>
  <c r="A116" i="18"/>
  <c r="M112" i="18" s="1"/>
  <c r="B116" i="18"/>
  <c r="A117" i="18"/>
  <c r="M113" i="18" s="1"/>
  <c r="B117" i="18"/>
  <c r="A118" i="18"/>
  <c r="M114" i="18" s="1"/>
  <c r="B118" i="18"/>
  <c r="A119" i="18"/>
  <c r="M115" i="18" s="1"/>
  <c r="B119" i="18"/>
  <c r="A50" i="18"/>
  <c r="M46" i="18" s="1"/>
  <c r="B50" i="18"/>
  <c r="A51" i="18"/>
  <c r="M47" i="18" s="1"/>
  <c r="B51" i="18"/>
  <c r="A52" i="18"/>
  <c r="M48" i="18" s="1"/>
  <c r="B52" i="18"/>
  <c r="A53" i="18"/>
  <c r="M49" i="18" s="1"/>
  <c r="B53" i="18"/>
  <c r="A54" i="18"/>
  <c r="M50" i="18" s="1"/>
  <c r="B54" i="18"/>
  <c r="A55" i="18"/>
  <c r="M51" i="18" s="1"/>
  <c r="B55" i="18"/>
  <c r="A56" i="18"/>
  <c r="M52" i="18" s="1"/>
  <c r="B56" i="18"/>
  <c r="A57" i="18"/>
  <c r="M53" i="18" s="1"/>
  <c r="B57" i="18"/>
  <c r="A58" i="18"/>
  <c r="M54" i="18" s="1"/>
  <c r="B58" i="18"/>
  <c r="A59" i="18"/>
  <c r="M55" i="18" s="1"/>
  <c r="B59" i="18"/>
  <c r="A60" i="18"/>
  <c r="M56" i="18" s="1"/>
  <c r="B60" i="18"/>
  <c r="A61" i="18"/>
  <c r="M57" i="18" s="1"/>
  <c r="B61" i="18"/>
  <c r="A62" i="18"/>
  <c r="M58" i="18" s="1"/>
  <c r="B62" i="18"/>
  <c r="A63" i="18"/>
  <c r="M59" i="18" s="1"/>
  <c r="B63" i="18"/>
  <c r="A64" i="18"/>
  <c r="M60" i="18" s="1"/>
  <c r="B64" i="18"/>
  <c r="A65" i="18"/>
  <c r="M61" i="18" s="1"/>
  <c r="B65" i="18"/>
  <c r="A66" i="18"/>
  <c r="M62" i="18" s="1"/>
  <c r="B66" i="18"/>
  <c r="A67" i="18"/>
  <c r="M63" i="18" s="1"/>
  <c r="B67" i="18"/>
  <c r="A68" i="18"/>
  <c r="M64" i="18" s="1"/>
  <c r="B68" i="18"/>
  <c r="A69" i="18"/>
  <c r="M65" i="18" s="1"/>
  <c r="B69" i="18"/>
  <c r="A70" i="18"/>
  <c r="M66" i="18" s="1"/>
  <c r="B70" i="18"/>
  <c r="B49" i="18"/>
  <c r="A49" i="18"/>
  <c r="M45" i="18" s="1"/>
  <c r="H46" i="18"/>
  <c r="H45" i="18"/>
  <c r="H44" i="18"/>
  <c r="H43" i="18"/>
  <c r="H42" i="18"/>
  <c r="H41" i="18"/>
  <c r="H40" i="18"/>
  <c r="H39" i="18"/>
  <c r="H38" i="18"/>
  <c r="H37" i="18"/>
  <c r="H36" i="18"/>
  <c r="H35" i="18"/>
  <c r="A46" i="18"/>
  <c r="M44" i="18" s="1"/>
  <c r="A45" i="18"/>
  <c r="M43" i="18" s="1"/>
  <c r="A44" i="18"/>
  <c r="M42" i="18" s="1"/>
  <c r="A43" i="18"/>
  <c r="M41" i="18" s="1"/>
  <c r="A42" i="18"/>
  <c r="M40" i="18" s="1"/>
  <c r="A41" i="18"/>
  <c r="M39" i="18" s="1"/>
  <c r="A40" i="18"/>
  <c r="M38" i="18" s="1"/>
  <c r="A39" i="18"/>
  <c r="M37" i="18" s="1"/>
  <c r="A38" i="18"/>
  <c r="M36" i="18" s="1"/>
  <c r="A37" i="18"/>
  <c r="M35" i="18" s="1"/>
  <c r="A36" i="18"/>
  <c r="M34" i="18" s="1"/>
  <c r="A35" i="18"/>
  <c r="M33" i="18" s="1"/>
  <c r="A34" i="18"/>
  <c r="M32" i="18" s="1"/>
  <c r="A33" i="18"/>
  <c r="M31" i="18" s="1"/>
  <c r="A32" i="18"/>
  <c r="M30" i="18" s="1"/>
  <c r="A31" i="18"/>
  <c r="M29" i="18" s="1"/>
  <c r="A30" i="18"/>
  <c r="M28" i="18" s="1"/>
  <c r="A29" i="18"/>
  <c r="M27" i="18" s="1"/>
  <c r="A28" i="18"/>
  <c r="M26" i="18" s="1"/>
  <c r="A27" i="18"/>
  <c r="M25" i="18" s="1"/>
  <c r="A26" i="18"/>
  <c r="M24" i="18" s="1"/>
  <c r="A25" i="18"/>
  <c r="M23" i="18" s="1"/>
  <c r="A24" i="18"/>
  <c r="M22" i="18" s="1"/>
  <c r="A23" i="18"/>
  <c r="M21" i="18" s="1"/>
  <c r="H4" i="18"/>
  <c r="H3" i="18"/>
  <c r="A15" i="18"/>
  <c r="M15" i="18" s="1"/>
  <c r="B15" i="18"/>
  <c r="C15" i="18" s="1"/>
  <c r="A16" i="18"/>
  <c r="M16" i="18" s="1"/>
  <c r="B16" i="18"/>
  <c r="C16" i="18" s="1"/>
  <c r="A17" i="18"/>
  <c r="M17" i="18" s="1"/>
  <c r="B17" i="18"/>
  <c r="C17" i="18" s="1"/>
  <c r="A18" i="18"/>
  <c r="M18" i="18" s="1"/>
  <c r="B18" i="18"/>
  <c r="C18" i="18" s="1"/>
  <c r="A19" i="18"/>
  <c r="M19" i="18" s="1"/>
  <c r="B19" i="18"/>
  <c r="A20" i="18"/>
  <c r="M20" i="18" s="1"/>
  <c r="B20" i="18"/>
  <c r="B14" i="18"/>
  <c r="C14" i="18" s="1"/>
  <c r="A14" i="18"/>
  <c r="M14" i="18" s="1"/>
  <c r="B13" i="18"/>
  <c r="A13" i="18"/>
  <c r="M13" i="18" s="1"/>
  <c r="B12" i="18"/>
  <c r="A12" i="18"/>
  <c r="M12" i="18" s="1"/>
  <c r="B11" i="18"/>
  <c r="A11" i="18"/>
  <c r="M11" i="18" s="1"/>
  <c r="B10" i="18"/>
  <c r="A10" i="18"/>
  <c r="M10" i="18" s="1"/>
  <c r="B9" i="18"/>
  <c r="A9" i="18"/>
  <c r="M9" i="18" s="1"/>
  <c r="B8" i="18"/>
  <c r="A8" i="18"/>
  <c r="M8" i="18" s="1"/>
  <c r="B7" i="18"/>
  <c r="A7" i="18"/>
  <c r="M7" i="18" s="1"/>
  <c r="B6" i="18"/>
  <c r="A6" i="18"/>
  <c r="M6" i="18" s="1"/>
  <c r="B5" i="18"/>
  <c r="A5" i="18"/>
  <c r="M5" i="18" s="1"/>
  <c r="B4" i="18"/>
  <c r="A4" i="18"/>
  <c r="M4" i="18" s="1"/>
  <c r="B3" i="18"/>
  <c r="A3" i="18"/>
  <c r="M72" i="17"/>
  <c r="M65" i="17"/>
  <c r="N47" i="17"/>
  <c r="N46" i="17"/>
  <c r="N44" i="17"/>
  <c r="N43" i="17"/>
  <c r="N41" i="17"/>
  <c r="N40" i="17"/>
  <c r="N38" i="17"/>
  <c r="N37" i="17"/>
  <c r="N36" i="17"/>
  <c r="N22" i="17"/>
  <c r="N23" i="17"/>
  <c r="N21" i="17"/>
  <c r="N4" i="17"/>
  <c r="N10" i="17"/>
  <c r="N11" i="17"/>
  <c r="N12" i="17"/>
  <c r="N13" i="17"/>
  <c r="N14" i="17"/>
  <c r="N15" i="17"/>
  <c r="N16" i="17"/>
  <c r="N17" i="17"/>
  <c r="N18" i="17"/>
  <c r="N19" i="17"/>
  <c r="N20" i="17"/>
  <c r="H51" i="17"/>
  <c r="H50" i="17"/>
  <c r="H48" i="17"/>
  <c r="H47" i="17"/>
  <c r="H45" i="17"/>
  <c r="H44" i="17"/>
  <c r="H42" i="17"/>
  <c r="H41" i="17"/>
  <c r="H40" i="17"/>
  <c r="A89" i="17"/>
  <c r="M85" i="17" s="1"/>
  <c r="B89" i="17"/>
  <c r="A90" i="17"/>
  <c r="M86" i="17" s="1"/>
  <c r="B90" i="17"/>
  <c r="A91" i="17"/>
  <c r="M87" i="17" s="1"/>
  <c r="B91" i="17"/>
  <c r="A92" i="17"/>
  <c r="M88" i="17" s="1"/>
  <c r="B92" i="17"/>
  <c r="A93" i="17"/>
  <c r="M89" i="17" s="1"/>
  <c r="B93" i="17"/>
  <c r="A94" i="17"/>
  <c r="M90" i="17" s="1"/>
  <c r="B94" i="17"/>
  <c r="A95" i="17"/>
  <c r="M91" i="17" s="1"/>
  <c r="B95" i="17"/>
  <c r="A55" i="17"/>
  <c r="M51" i="17" s="1"/>
  <c r="B55" i="17"/>
  <c r="A56" i="17"/>
  <c r="M52" i="17" s="1"/>
  <c r="B56" i="17"/>
  <c r="A57" i="17"/>
  <c r="M53" i="17" s="1"/>
  <c r="B57" i="17"/>
  <c r="A58" i="17"/>
  <c r="M54" i="17" s="1"/>
  <c r="B58" i="17"/>
  <c r="A59" i="17"/>
  <c r="M55" i="17" s="1"/>
  <c r="B59" i="17"/>
  <c r="A60" i="17"/>
  <c r="M56" i="17" s="1"/>
  <c r="B60" i="17"/>
  <c r="A61" i="17"/>
  <c r="M57" i="17" s="1"/>
  <c r="B61" i="17"/>
  <c r="A62" i="17"/>
  <c r="M58" i="17" s="1"/>
  <c r="B62" i="17"/>
  <c r="A63" i="17"/>
  <c r="M59" i="17" s="1"/>
  <c r="B63" i="17"/>
  <c r="A64" i="17"/>
  <c r="M60" i="17" s="1"/>
  <c r="B64" i="17"/>
  <c r="A65" i="17"/>
  <c r="M61" i="17" s="1"/>
  <c r="B65" i="17"/>
  <c r="A66" i="17"/>
  <c r="M62" i="17" s="1"/>
  <c r="B66" i="17"/>
  <c r="A67" i="17"/>
  <c r="M63" i="17" s="1"/>
  <c r="B67" i="17"/>
  <c r="A68" i="17"/>
  <c r="M64" i="17" s="1"/>
  <c r="B68" i="17"/>
  <c r="A69" i="17"/>
  <c r="B69" i="17"/>
  <c r="A70" i="17"/>
  <c r="M66" i="17" s="1"/>
  <c r="B70" i="17"/>
  <c r="A71" i="17"/>
  <c r="M67" i="17" s="1"/>
  <c r="B71" i="17"/>
  <c r="A72" i="17"/>
  <c r="M68" i="17" s="1"/>
  <c r="B72" i="17"/>
  <c r="A73" i="17"/>
  <c r="M69" i="17" s="1"/>
  <c r="B73" i="17"/>
  <c r="A74" i="17"/>
  <c r="M70" i="17" s="1"/>
  <c r="B74" i="17"/>
  <c r="A75" i="17"/>
  <c r="M71" i="17" s="1"/>
  <c r="B75" i="17"/>
  <c r="A76" i="17"/>
  <c r="B76" i="17"/>
  <c r="A77" i="17"/>
  <c r="M73" i="17" s="1"/>
  <c r="B77" i="17"/>
  <c r="A78" i="17"/>
  <c r="M74" i="17" s="1"/>
  <c r="B78" i="17"/>
  <c r="A79" i="17"/>
  <c r="M75" i="17" s="1"/>
  <c r="B79" i="17"/>
  <c r="A80" i="17"/>
  <c r="M76" i="17" s="1"/>
  <c r="B80" i="17"/>
  <c r="A81" i="17"/>
  <c r="M77" i="17" s="1"/>
  <c r="B81" i="17"/>
  <c r="A82" i="17"/>
  <c r="M78" i="17" s="1"/>
  <c r="B82" i="17"/>
  <c r="A83" i="17"/>
  <c r="M79" i="17" s="1"/>
  <c r="B83" i="17"/>
  <c r="A84" i="17"/>
  <c r="M80" i="17" s="1"/>
  <c r="B84" i="17"/>
  <c r="A85" i="17"/>
  <c r="M81" i="17" s="1"/>
  <c r="B85" i="17"/>
  <c r="A86" i="17"/>
  <c r="M82" i="17" s="1"/>
  <c r="B86" i="17"/>
  <c r="A87" i="17"/>
  <c r="M83" i="17" s="1"/>
  <c r="B87" i="17"/>
  <c r="A88" i="17"/>
  <c r="M84" i="17" s="1"/>
  <c r="B88" i="17"/>
  <c r="A53" i="17"/>
  <c r="M49" i="17" s="1"/>
  <c r="B53" i="17"/>
  <c r="A54" i="17"/>
  <c r="M50" i="17" s="1"/>
  <c r="B54" i="17"/>
  <c r="A41" i="17"/>
  <c r="M37" i="17" s="1"/>
  <c r="B41" i="17"/>
  <c r="A42" i="17"/>
  <c r="M38" i="17" s="1"/>
  <c r="B42" i="17"/>
  <c r="A43" i="17"/>
  <c r="M39" i="17" s="1"/>
  <c r="B43" i="17"/>
  <c r="A44" i="17"/>
  <c r="M40" i="17" s="1"/>
  <c r="B44" i="17"/>
  <c r="A45" i="17"/>
  <c r="M41" i="17" s="1"/>
  <c r="B45" i="17"/>
  <c r="A46" i="17"/>
  <c r="M42" i="17" s="1"/>
  <c r="B46" i="17"/>
  <c r="A47" i="17"/>
  <c r="M43" i="17" s="1"/>
  <c r="B47" i="17"/>
  <c r="A48" i="17"/>
  <c r="M44" i="17" s="1"/>
  <c r="B48" i="17"/>
  <c r="A49" i="17"/>
  <c r="M45" i="17" s="1"/>
  <c r="B49" i="17"/>
  <c r="A50" i="17"/>
  <c r="M46" i="17" s="1"/>
  <c r="B50" i="17"/>
  <c r="A51" i="17"/>
  <c r="M47" i="17" s="1"/>
  <c r="B51" i="17"/>
  <c r="A52" i="17"/>
  <c r="M48" i="17" s="1"/>
  <c r="B52" i="17"/>
  <c r="B40" i="17"/>
  <c r="A40" i="17"/>
  <c r="M36" i="17" s="1"/>
  <c r="H25" i="17"/>
  <c r="H24" i="17"/>
  <c r="H23" i="17"/>
  <c r="B37" i="17"/>
  <c r="A37" i="17"/>
  <c r="M35" i="17" s="1"/>
  <c r="B36" i="17"/>
  <c r="A36" i="17"/>
  <c r="M34" i="17" s="1"/>
  <c r="B35" i="17"/>
  <c r="A35" i="17"/>
  <c r="M33" i="17" s="1"/>
  <c r="B34" i="17"/>
  <c r="A34" i="17"/>
  <c r="M32" i="17" s="1"/>
  <c r="B33" i="17"/>
  <c r="A33" i="17"/>
  <c r="M31" i="17" s="1"/>
  <c r="B32" i="17"/>
  <c r="A32" i="17"/>
  <c r="M30" i="17" s="1"/>
  <c r="B31" i="17"/>
  <c r="A31" i="17"/>
  <c r="M29" i="17" s="1"/>
  <c r="B30" i="17"/>
  <c r="A30" i="17"/>
  <c r="M28" i="17" s="1"/>
  <c r="B29" i="17"/>
  <c r="A29" i="17"/>
  <c r="M27" i="17" s="1"/>
  <c r="B28" i="17"/>
  <c r="A28" i="17"/>
  <c r="M26" i="17" s="1"/>
  <c r="B27" i="17"/>
  <c r="A27" i="17"/>
  <c r="M25" i="17" s="1"/>
  <c r="B26" i="17"/>
  <c r="A26" i="17"/>
  <c r="M24" i="17" s="1"/>
  <c r="B25" i="17"/>
  <c r="A25" i="17"/>
  <c r="M23" i="17" s="1"/>
  <c r="B24" i="17"/>
  <c r="A24" i="17"/>
  <c r="M22" i="17" s="1"/>
  <c r="B23" i="17"/>
  <c r="A23" i="17"/>
  <c r="M21" i="17" s="1"/>
  <c r="H3" i="17"/>
  <c r="H4" i="17"/>
  <c r="H10" i="17"/>
  <c r="H11" i="17"/>
  <c r="H12" i="17"/>
  <c r="H13" i="17"/>
  <c r="H14" i="17"/>
  <c r="H20" i="17"/>
  <c r="H19" i="17"/>
  <c r="H18" i="17"/>
  <c r="H17" i="17"/>
  <c r="H16" i="17"/>
  <c r="H15" i="17"/>
  <c r="A7" i="17"/>
  <c r="M7" i="17" s="1"/>
  <c r="B7" i="17"/>
  <c r="A8" i="17"/>
  <c r="M8" i="17" s="1"/>
  <c r="B8" i="17"/>
  <c r="A9" i="17"/>
  <c r="M9" i="17" s="1"/>
  <c r="B9" i="17"/>
  <c r="A10" i="17"/>
  <c r="M10" i="17" s="1"/>
  <c r="B10" i="17"/>
  <c r="A11" i="17"/>
  <c r="M11" i="17" s="1"/>
  <c r="B11" i="17"/>
  <c r="A12" i="17"/>
  <c r="M12" i="17" s="1"/>
  <c r="B12" i="17"/>
  <c r="A13" i="17"/>
  <c r="M13" i="17" s="1"/>
  <c r="B13" i="17"/>
  <c r="A14" i="17"/>
  <c r="M14" i="17" s="1"/>
  <c r="B14" i="17"/>
  <c r="A15" i="17"/>
  <c r="M15" i="17" s="1"/>
  <c r="B15" i="17"/>
  <c r="A16" i="17"/>
  <c r="M16" i="17" s="1"/>
  <c r="B16" i="17"/>
  <c r="A17" i="17"/>
  <c r="M17" i="17" s="1"/>
  <c r="B17" i="17"/>
  <c r="A18" i="17"/>
  <c r="M18" i="17" s="1"/>
  <c r="B18" i="17"/>
  <c r="A19" i="17"/>
  <c r="M19" i="17" s="1"/>
  <c r="B19" i="17"/>
  <c r="A20" i="17"/>
  <c r="M20" i="17" s="1"/>
  <c r="B20" i="17"/>
  <c r="B6" i="17"/>
  <c r="A6" i="17"/>
  <c r="M6" i="17" s="1"/>
  <c r="B5" i="17"/>
  <c r="A5" i="17"/>
  <c r="M5" i="17" s="1"/>
  <c r="B4" i="17"/>
  <c r="A4" i="17"/>
  <c r="M4" i="17" s="1"/>
  <c r="B3" i="17"/>
  <c r="A3" i="17"/>
  <c r="O64" i="16"/>
  <c r="O65" i="16"/>
  <c r="O66" i="16"/>
  <c r="O67" i="16"/>
  <c r="O68" i="16"/>
  <c r="O69" i="16"/>
  <c r="O70" i="16"/>
  <c r="O71" i="16"/>
  <c r="O72" i="16"/>
  <c r="O73" i="16"/>
  <c r="O74" i="16"/>
  <c r="O7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45" i="16"/>
  <c r="N41" i="16"/>
  <c r="O41" i="16"/>
  <c r="N42" i="16"/>
  <c r="O42" i="16"/>
  <c r="N43" i="16"/>
  <c r="O43" i="16"/>
  <c r="N44" i="16"/>
  <c r="O40" i="16"/>
  <c r="N40" i="16"/>
  <c r="O39" i="16"/>
  <c r="N39" i="16"/>
  <c r="N38" i="16"/>
  <c r="N37" i="16"/>
  <c r="N36" i="16"/>
  <c r="N35" i="16"/>
  <c r="N34" i="16"/>
  <c r="N33" i="16"/>
  <c r="N32" i="16"/>
  <c r="N31" i="16"/>
  <c r="N30" i="16"/>
  <c r="N29" i="16"/>
  <c r="N28" i="16"/>
  <c r="N27" i="16"/>
  <c r="N26" i="16"/>
  <c r="N25" i="16"/>
  <c r="N24" i="16"/>
  <c r="N23" i="16"/>
  <c r="N22" i="16"/>
  <c r="O4" i="16"/>
  <c r="O15" i="16"/>
  <c r="O16" i="16"/>
  <c r="O17" i="16"/>
  <c r="O18" i="16"/>
  <c r="O19" i="16"/>
  <c r="O20" i="16"/>
  <c r="A50" i="16"/>
  <c r="N46" i="16" s="1"/>
  <c r="B50" i="16"/>
  <c r="A51" i="16"/>
  <c r="N47" i="16" s="1"/>
  <c r="B51" i="16"/>
  <c r="A52" i="16"/>
  <c r="N48" i="16" s="1"/>
  <c r="B52" i="16"/>
  <c r="A53" i="16"/>
  <c r="N49" i="16" s="1"/>
  <c r="B53" i="16"/>
  <c r="A54" i="16"/>
  <c r="N50" i="16" s="1"/>
  <c r="B54" i="16"/>
  <c r="A55" i="16"/>
  <c r="N51" i="16" s="1"/>
  <c r="B55" i="16"/>
  <c r="A56" i="16"/>
  <c r="N52" i="16" s="1"/>
  <c r="B56" i="16"/>
  <c r="A57" i="16"/>
  <c r="N53" i="16" s="1"/>
  <c r="B57" i="16"/>
  <c r="A58" i="16"/>
  <c r="N54" i="16" s="1"/>
  <c r="B58" i="16"/>
  <c r="A59" i="16"/>
  <c r="N55" i="16" s="1"/>
  <c r="B59" i="16"/>
  <c r="A60" i="16"/>
  <c r="N56" i="16" s="1"/>
  <c r="B60" i="16"/>
  <c r="A61" i="16"/>
  <c r="N57" i="16" s="1"/>
  <c r="B61" i="16"/>
  <c r="A62" i="16"/>
  <c r="N58" i="16" s="1"/>
  <c r="B62" i="16"/>
  <c r="A63" i="16"/>
  <c r="N59" i="16" s="1"/>
  <c r="B63" i="16"/>
  <c r="A64" i="16"/>
  <c r="N60" i="16" s="1"/>
  <c r="B64" i="16"/>
  <c r="A65" i="16"/>
  <c r="N61" i="16" s="1"/>
  <c r="B65" i="16"/>
  <c r="A66" i="16"/>
  <c r="N62" i="16" s="1"/>
  <c r="B66" i="16"/>
  <c r="A67" i="16"/>
  <c r="N63" i="16" s="1"/>
  <c r="B67" i="16"/>
  <c r="A68" i="16"/>
  <c r="N64" i="16" s="1"/>
  <c r="B68" i="16"/>
  <c r="A69" i="16"/>
  <c r="N65" i="16" s="1"/>
  <c r="B69" i="16"/>
  <c r="A70" i="16"/>
  <c r="N66" i="16" s="1"/>
  <c r="B70" i="16"/>
  <c r="A71" i="16"/>
  <c r="N67" i="16" s="1"/>
  <c r="B71" i="16"/>
  <c r="A72" i="16"/>
  <c r="N68" i="16" s="1"/>
  <c r="B72" i="16"/>
  <c r="A73" i="16"/>
  <c r="N69" i="16" s="1"/>
  <c r="B73" i="16"/>
  <c r="A74" i="16"/>
  <c r="N70" i="16" s="1"/>
  <c r="B74" i="16"/>
  <c r="A75" i="16"/>
  <c r="N71" i="16" s="1"/>
  <c r="B75" i="16"/>
  <c r="A76" i="16"/>
  <c r="N72" i="16" s="1"/>
  <c r="B76" i="16"/>
  <c r="A77" i="16"/>
  <c r="N73" i="16" s="1"/>
  <c r="B77" i="16"/>
  <c r="A78" i="16"/>
  <c r="N74" i="16" s="1"/>
  <c r="B78" i="16"/>
  <c r="A79" i="16"/>
  <c r="N75" i="16" s="1"/>
  <c r="B79" i="16"/>
  <c r="A80" i="16"/>
  <c r="N76" i="16" s="1"/>
  <c r="B80" i="16"/>
  <c r="A81" i="16"/>
  <c r="N77" i="16" s="1"/>
  <c r="B81" i="16"/>
  <c r="A82" i="16"/>
  <c r="N78" i="16" s="1"/>
  <c r="B82" i="16"/>
  <c r="A83" i="16"/>
  <c r="N79" i="16" s="1"/>
  <c r="B83" i="16"/>
  <c r="A84" i="16"/>
  <c r="N80" i="16" s="1"/>
  <c r="B84" i="16"/>
  <c r="A85" i="16"/>
  <c r="N81" i="16" s="1"/>
  <c r="B85" i="16"/>
  <c r="A86" i="16"/>
  <c r="N82" i="16" s="1"/>
  <c r="B86" i="16"/>
  <c r="A87" i="16"/>
  <c r="N83" i="16" s="1"/>
  <c r="B87" i="16"/>
  <c r="A88" i="16"/>
  <c r="N84" i="16" s="1"/>
  <c r="B88" i="16"/>
  <c r="A89" i="16"/>
  <c r="N85" i="16" s="1"/>
  <c r="B89" i="16"/>
  <c r="A90" i="16"/>
  <c r="N86" i="16" s="1"/>
  <c r="B90" i="16"/>
  <c r="A91" i="16"/>
  <c r="N87" i="16" s="1"/>
  <c r="B91" i="16"/>
  <c r="A92" i="16"/>
  <c r="N88" i="16" s="1"/>
  <c r="B92" i="16"/>
  <c r="A93" i="16"/>
  <c r="N89" i="16" s="1"/>
  <c r="B93" i="16"/>
  <c r="A94" i="16"/>
  <c r="N90" i="16" s="1"/>
  <c r="B94" i="16"/>
  <c r="A95" i="16"/>
  <c r="N91" i="16" s="1"/>
  <c r="B95" i="16"/>
  <c r="A96" i="16"/>
  <c r="N92" i="16" s="1"/>
  <c r="B96" i="16"/>
  <c r="A97" i="16"/>
  <c r="N93" i="16" s="1"/>
  <c r="B97" i="16"/>
  <c r="A98" i="16"/>
  <c r="N94" i="16" s="1"/>
  <c r="B98" i="16"/>
  <c r="A99" i="16"/>
  <c r="N95" i="16" s="1"/>
  <c r="B99" i="16"/>
  <c r="A100" i="16"/>
  <c r="N96" i="16" s="1"/>
  <c r="B100" i="16"/>
  <c r="A101" i="16"/>
  <c r="N97" i="16" s="1"/>
  <c r="B101" i="16"/>
  <c r="A102" i="16"/>
  <c r="N98" i="16" s="1"/>
  <c r="B102" i="16"/>
  <c r="A103" i="16"/>
  <c r="N99" i="16" s="1"/>
  <c r="B103" i="16"/>
  <c r="A104" i="16"/>
  <c r="N100" i="16" s="1"/>
  <c r="B104" i="16"/>
  <c r="A105" i="16"/>
  <c r="N101" i="16" s="1"/>
  <c r="B105" i="16"/>
  <c r="A106" i="16"/>
  <c r="N102" i="16" s="1"/>
  <c r="B106" i="16"/>
  <c r="A107" i="16"/>
  <c r="N103" i="16" s="1"/>
  <c r="B107" i="16"/>
  <c r="A108" i="16"/>
  <c r="N104" i="16" s="1"/>
  <c r="B108" i="16"/>
  <c r="A109" i="16"/>
  <c r="N105" i="16" s="1"/>
  <c r="B109" i="16"/>
  <c r="A110" i="16"/>
  <c r="N106" i="16" s="1"/>
  <c r="B110" i="16"/>
  <c r="A111" i="16"/>
  <c r="N107" i="16" s="1"/>
  <c r="B111" i="16"/>
  <c r="A112" i="16"/>
  <c r="N108" i="16" s="1"/>
  <c r="B112" i="16"/>
  <c r="A113" i="16"/>
  <c r="N109" i="16" s="1"/>
  <c r="B113" i="16"/>
  <c r="A114" i="16"/>
  <c r="N110" i="16" s="1"/>
  <c r="B114" i="16"/>
  <c r="A115" i="16"/>
  <c r="N111" i="16" s="1"/>
  <c r="B115" i="16"/>
  <c r="A116" i="16"/>
  <c r="N112" i="16" s="1"/>
  <c r="B116" i="16"/>
  <c r="A117" i="16"/>
  <c r="N113" i="16" s="1"/>
  <c r="B117" i="16"/>
  <c r="A118" i="16"/>
  <c r="N114" i="16" s="1"/>
  <c r="B118" i="16"/>
  <c r="A119" i="16"/>
  <c r="N115" i="16" s="1"/>
  <c r="B119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B49" i="16"/>
  <c r="A49" i="16"/>
  <c r="N45" i="16" s="1"/>
  <c r="H45" i="16"/>
  <c r="H44" i="16"/>
  <c r="H43" i="16"/>
  <c r="H42" i="16"/>
  <c r="H41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31" i="16"/>
  <c r="C32" i="16"/>
  <c r="A23" i="16"/>
  <c r="N21" i="16" s="1"/>
  <c r="H20" i="16"/>
  <c r="H19" i="16"/>
  <c r="H18" i="16"/>
  <c r="H17" i="16"/>
  <c r="H16" i="16"/>
  <c r="H15" i="16"/>
  <c r="H4" i="16"/>
  <c r="H3" i="16"/>
  <c r="A17" i="16"/>
  <c r="N17" i="16" s="1"/>
  <c r="B17" i="16"/>
  <c r="A18" i="16"/>
  <c r="N18" i="16" s="1"/>
  <c r="B18" i="16"/>
  <c r="A19" i="16"/>
  <c r="N19" i="16" s="1"/>
  <c r="B19" i="16"/>
  <c r="A20" i="16"/>
  <c r="N20" i="16" s="1"/>
  <c r="B20" i="16"/>
  <c r="A11" i="16"/>
  <c r="N11" i="16" s="1"/>
  <c r="B11" i="16"/>
  <c r="A12" i="16"/>
  <c r="N12" i="16" s="1"/>
  <c r="B12" i="16"/>
  <c r="A13" i="16"/>
  <c r="N13" i="16" s="1"/>
  <c r="B13" i="16"/>
  <c r="A14" i="16"/>
  <c r="N14" i="16" s="1"/>
  <c r="B14" i="16"/>
  <c r="A15" i="16"/>
  <c r="N15" i="16" s="1"/>
  <c r="B15" i="16"/>
  <c r="A16" i="16"/>
  <c r="N16" i="16" s="1"/>
  <c r="B16" i="16"/>
  <c r="B10" i="16"/>
  <c r="A10" i="16"/>
  <c r="N10" i="16" s="1"/>
  <c r="B9" i="16"/>
  <c r="A9" i="16"/>
  <c r="N9" i="16" s="1"/>
  <c r="B8" i="16"/>
  <c r="A8" i="16"/>
  <c r="N8" i="16" s="1"/>
  <c r="B7" i="16"/>
  <c r="A7" i="16"/>
  <c r="N7" i="16" s="1"/>
  <c r="B6" i="16"/>
  <c r="A6" i="16"/>
  <c r="N6" i="16" s="1"/>
  <c r="B5" i="16"/>
  <c r="A5" i="16"/>
  <c r="N5" i="16" s="1"/>
  <c r="B4" i="16"/>
  <c r="A4" i="16"/>
  <c r="N4" i="16" s="1"/>
  <c r="B3" i="16"/>
  <c r="A3" i="16"/>
  <c r="M122" i="15"/>
  <c r="M123" i="15"/>
  <c r="M124" i="15"/>
  <c r="M125" i="15"/>
  <c r="M56" i="15"/>
  <c r="N56" i="15"/>
  <c r="M57" i="15"/>
  <c r="N57" i="15"/>
  <c r="M58" i="15"/>
  <c r="N58" i="15"/>
  <c r="M59" i="15"/>
  <c r="N59" i="15"/>
  <c r="M60" i="15"/>
  <c r="N60" i="15"/>
  <c r="M61" i="15"/>
  <c r="N61" i="15"/>
  <c r="M62" i="15"/>
  <c r="N62" i="15"/>
  <c r="M63" i="15"/>
  <c r="N63" i="15"/>
  <c r="M64" i="15"/>
  <c r="N64" i="15"/>
  <c r="M65" i="15"/>
  <c r="N65" i="15"/>
  <c r="M66" i="15"/>
  <c r="N66" i="15"/>
  <c r="M67" i="15"/>
  <c r="N67" i="15"/>
  <c r="M68" i="15"/>
  <c r="N68" i="15"/>
  <c r="M69" i="15"/>
  <c r="N69" i="15"/>
  <c r="M70" i="15"/>
  <c r="N70" i="15"/>
  <c r="M71" i="15"/>
  <c r="N71" i="15"/>
  <c r="M72" i="15"/>
  <c r="N72" i="15"/>
  <c r="M73" i="15"/>
  <c r="N73" i="15"/>
  <c r="M74" i="15"/>
  <c r="N74" i="15"/>
  <c r="M75" i="15"/>
  <c r="N75" i="15"/>
  <c r="M76" i="15"/>
  <c r="N76" i="15"/>
  <c r="M77" i="15"/>
  <c r="N77" i="15"/>
  <c r="M78" i="15"/>
  <c r="N78" i="15"/>
  <c r="M79" i="15"/>
  <c r="N79" i="15"/>
  <c r="M80" i="15"/>
  <c r="N80" i="15"/>
  <c r="M81" i="15"/>
  <c r="N81" i="15"/>
  <c r="M82" i="15"/>
  <c r="N82" i="15"/>
  <c r="M83" i="15"/>
  <c r="N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N4" i="15"/>
  <c r="N12" i="15"/>
  <c r="N13" i="15"/>
  <c r="N14" i="15"/>
  <c r="N15" i="15"/>
  <c r="N16" i="15"/>
  <c r="N17" i="15"/>
  <c r="N18" i="15"/>
  <c r="N19" i="15"/>
  <c r="N20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H58" i="15"/>
  <c r="H57" i="15"/>
  <c r="H56" i="15"/>
  <c r="H55" i="15"/>
  <c r="H54" i="15"/>
  <c r="H53" i="15"/>
  <c r="H52" i="15"/>
  <c r="H51" i="15"/>
  <c r="H50" i="15"/>
  <c r="H49" i="15"/>
  <c r="H48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20" i="15"/>
  <c r="H19" i="15"/>
  <c r="H18" i="15"/>
  <c r="H17" i="15"/>
  <c r="H16" i="15"/>
  <c r="H15" i="15"/>
  <c r="H14" i="15"/>
  <c r="H13" i="15"/>
  <c r="H12" i="15"/>
  <c r="H4" i="15"/>
  <c r="H3" i="15"/>
  <c r="F90" i="14"/>
  <c r="F89" i="14"/>
  <c r="F88" i="14"/>
  <c r="F87" i="14"/>
  <c r="F85" i="14"/>
  <c r="F84" i="14"/>
  <c r="F83" i="14"/>
  <c r="F82" i="14"/>
  <c r="F53" i="14"/>
  <c r="F52" i="14"/>
  <c r="F51" i="14"/>
  <c r="F37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AQ45" i="19"/>
  <c r="AQ44" i="19"/>
  <c r="AQ43" i="19"/>
  <c r="AQ42" i="19"/>
  <c r="AQ41" i="19"/>
  <c r="AQ40" i="19"/>
  <c r="AQ39" i="19"/>
  <c r="AQ38" i="19"/>
  <c r="AQ37" i="19"/>
  <c r="AQ36" i="19"/>
  <c r="AQ35" i="19"/>
  <c r="AQ34" i="19"/>
  <c r="AQ33" i="19"/>
  <c r="AR33" i="19" s="1"/>
  <c r="AQ32" i="19"/>
  <c r="AR32" i="19" s="1"/>
  <c r="AQ31" i="19"/>
  <c r="AR31" i="19" s="1"/>
  <c r="AQ30" i="19"/>
  <c r="AR30" i="19" s="1"/>
  <c r="AQ29" i="19"/>
  <c r="AQ28" i="19"/>
  <c r="AQ27" i="19"/>
  <c r="AR27" i="19" s="1"/>
  <c r="AQ26" i="19"/>
  <c r="AQ25" i="19"/>
  <c r="AR25" i="19" s="1"/>
  <c r="AQ24" i="19"/>
  <c r="AR24" i="19" s="1"/>
  <c r="AQ23" i="19"/>
  <c r="AR23" i="19" s="1"/>
  <c r="AQ22" i="19"/>
  <c r="AR22" i="19" s="1"/>
  <c r="AG45" i="19"/>
  <c r="AG44" i="19"/>
  <c r="AG43" i="19"/>
  <c r="AG42" i="19"/>
  <c r="AG41" i="19"/>
  <c r="AG40" i="19"/>
  <c r="AG39" i="19"/>
  <c r="AH39" i="19" s="1"/>
  <c r="AG38" i="19"/>
  <c r="AH38" i="19" s="1"/>
  <c r="AG37" i="19"/>
  <c r="AG36" i="19"/>
  <c r="AG35" i="19"/>
  <c r="AG34" i="19"/>
  <c r="AG33" i="19"/>
  <c r="AH33" i="19" s="1"/>
  <c r="AG32" i="19"/>
  <c r="AH32" i="19" s="1"/>
  <c r="AG31" i="19"/>
  <c r="AH31" i="19" s="1"/>
  <c r="AG30" i="19"/>
  <c r="AH30" i="19" s="1"/>
  <c r="AG29" i="19"/>
  <c r="AG28" i="19"/>
  <c r="AG27" i="19"/>
  <c r="AH27" i="19" s="1"/>
  <c r="AG26" i="19"/>
  <c r="AH26" i="19" s="1"/>
  <c r="AG25" i="19"/>
  <c r="AG24" i="19"/>
  <c r="AH24" i="19" s="1"/>
  <c r="AG23" i="19"/>
  <c r="AH23" i="19" s="1"/>
  <c r="AG22" i="19"/>
  <c r="AH22" i="19" s="1"/>
  <c r="AH45" i="19"/>
  <c r="AH37" i="19"/>
  <c r="AH36" i="19"/>
  <c r="AH35" i="19"/>
  <c r="AR21" i="19"/>
  <c r="AR20" i="19"/>
  <c r="AR19" i="19"/>
  <c r="AR18" i="19"/>
  <c r="AR17" i="19"/>
  <c r="AR16" i="19"/>
  <c r="AR15" i="19"/>
  <c r="AR14" i="19"/>
  <c r="AR13" i="19"/>
  <c r="AR12" i="19"/>
  <c r="AR11" i="19"/>
  <c r="AR10" i="19"/>
  <c r="AR9" i="19"/>
  <c r="AR8" i="19"/>
  <c r="AR7" i="19"/>
  <c r="AR6" i="19"/>
  <c r="AH15" i="19"/>
  <c r="AH14" i="19"/>
  <c r="AH13" i="19"/>
  <c r="AH12" i="19"/>
  <c r="AH11" i="19"/>
  <c r="AH10" i="19"/>
  <c r="AH9" i="19"/>
  <c r="AH8" i="19"/>
  <c r="AH7" i="19"/>
  <c r="AH6" i="19"/>
  <c r="X12" i="19"/>
  <c r="X11" i="19"/>
  <c r="X10" i="19"/>
  <c r="X9" i="19"/>
  <c r="X8" i="19"/>
  <c r="X7" i="19"/>
  <c r="X6" i="19"/>
  <c r="N10" i="19"/>
  <c r="N9" i="19"/>
  <c r="N8" i="19"/>
  <c r="N7" i="19"/>
  <c r="N6" i="19"/>
  <c r="L88" i="14"/>
  <c r="L87" i="14"/>
  <c r="L86" i="14"/>
  <c r="L85" i="14"/>
  <c r="L83" i="14"/>
  <c r="L82" i="14"/>
  <c r="L81" i="14"/>
  <c r="L80" i="14"/>
  <c r="L51" i="14"/>
  <c r="L50" i="14"/>
  <c r="L49" i="14"/>
  <c r="L35" i="14"/>
  <c r="K82" i="14"/>
  <c r="K83" i="14"/>
  <c r="K84" i="14"/>
  <c r="K85" i="14"/>
  <c r="K86" i="14"/>
  <c r="K87" i="14"/>
  <c r="K88" i="14"/>
  <c r="K89" i="14"/>
  <c r="K90" i="14"/>
  <c r="K9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AR116" i="19"/>
  <c r="AH116" i="19"/>
  <c r="X116" i="19"/>
  <c r="N116" i="19"/>
  <c r="D116" i="19"/>
  <c r="AR115" i="19"/>
  <c r="AH115" i="19"/>
  <c r="X115" i="19"/>
  <c r="N115" i="19"/>
  <c r="D115" i="19"/>
  <c r="AR114" i="19"/>
  <c r="AH114" i="19"/>
  <c r="X114" i="19"/>
  <c r="N114" i="19"/>
  <c r="D114" i="19"/>
  <c r="AR113" i="19"/>
  <c r="AH113" i="19"/>
  <c r="X113" i="19"/>
  <c r="N113" i="19"/>
  <c r="AR112" i="19"/>
  <c r="AH112" i="19"/>
  <c r="X112" i="19"/>
  <c r="N112" i="19"/>
  <c r="AR111" i="19"/>
  <c r="AH111" i="19"/>
  <c r="X111" i="19"/>
  <c r="N111" i="19"/>
  <c r="AR110" i="19"/>
  <c r="AH110" i="19"/>
  <c r="X110" i="19"/>
  <c r="N110" i="19"/>
  <c r="AR109" i="19"/>
  <c r="AH109" i="19"/>
  <c r="X109" i="19"/>
  <c r="N109" i="19"/>
  <c r="D109" i="19"/>
  <c r="AR108" i="19"/>
  <c r="AH108" i="19"/>
  <c r="X108" i="19"/>
  <c r="N108" i="19"/>
  <c r="AR107" i="19"/>
  <c r="AH107" i="19"/>
  <c r="X107" i="19"/>
  <c r="N107" i="19"/>
  <c r="AR106" i="19"/>
  <c r="AH106" i="19"/>
  <c r="X106" i="19"/>
  <c r="N106" i="19"/>
  <c r="AR105" i="19"/>
  <c r="AH105" i="19"/>
  <c r="X105" i="19"/>
  <c r="N105" i="19"/>
  <c r="AR104" i="19"/>
  <c r="AH104" i="19"/>
  <c r="X104" i="19"/>
  <c r="N104" i="19"/>
  <c r="D104" i="19"/>
  <c r="AR103" i="19"/>
  <c r="AH103" i="19"/>
  <c r="X103" i="19"/>
  <c r="N103" i="19"/>
  <c r="D103" i="19"/>
  <c r="AR102" i="19"/>
  <c r="AH102" i="19"/>
  <c r="X102" i="19"/>
  <c r="N102" i="19"/>
  <c r="D102" i="19"/>
  <c r="AR101" i="19"/>
  <c r="AH101" i="19"/>
  <c r="X101" i="19"/>
  <c r="N101" i="19"/>
  <c r="D101" i="19"/>
  <c r="AR100" i="19"/>
  <c r="AH100" i="19"/>
  <c r="X100" i="19"/>
  <c r="N100" i="19"/>
  <c r="D100" i="19"/>
  <c r="AR99" i="19"/>
  <c r="AH99" i="19"/>
  <c r="X99" i="19"/>
  <c r="N99" i="19"/>
  <c r="D99" i="19"/>
  <c r="AR98" i="19"/>
  <c r="AH98" i="19"/>
  <c r="X98" i="19"/>
  <c r="N98" i="19"/>
  <c r="D98" i="19"/>
  <c r="AR97" i="19"/>
  <c r="AH97" i="19"/>
  <c r="X97" i="19"/>
  <c r="N97" i="19"/>
  <c r="D97" i="19"/>
  <c r="AR96" i="19"/>
  <c r="AH96" i="19"/>
  <c r="X96" i="19"/>
  <c r="N96" i="19"/>
  <c r="D96" i="19"/>
  <c r="AR95" i="19"/>
  <c r="AH95" i="19"/>
  <c r="X95" i="19"/>
  <c r="N95" i="19"/>
  <c r="D95" i="19"/>
  <c r="AR94" i="19"/>
  <c r="AH94" i="19"/>
  <c r="X94" i="19"/>
  <c r="N94" i="19"/>
  <c r="D94" i="19"/>
  <c r="AR93" i="19"/>
  <c r="AH93" i="19"/>
  <c r="X93" i="19"/>
  <c r="N93" i="19"/>
  <c r="D93" i="19"/>
  <c r="AR92" i="19"/>
  <c r="AH92" i="19"/>
  <c r="X92" i="19"/>
  <c r="N92" i="19"/>
  <c r="D92" i="19"/>
  <c r="AR91" i="19"/>
  <c r="AH91" i="19"/>
  <c r="X91" i="19"/>
  <c r="N91" i="19"/>
  <c r="D91" i="19"/>
  <c r="AR90" i="19"/>
  <c r="AH90" i="19"/>
  <c r="X90" i="19"/>
  <c r="N90" i="19"/>
  <c r="D90" i="19"/>
  <c r="AR89" i="19"/>
  <c r="AH89" i="19"/>
  <c r="X89" i="19"/>
  <c r="N89" i="19"/>
  <c r="D89" i="19"/>
  <c r="AR88" i="19"/>
  <c r="AH88" i="19"/>
  <c r="X88" i="19"/>
  <c r="N88" i="19"/>
  <c r="D88" i="19"/>
  <c r="AR87" i="19"/>
  <c r="AH87" i="19"/>
  <c r="X87" i="19"/>
  <c r="N87" i="19"/>
  <c r="D87" i="19"/>
  <c r="AR86" i="19"/>
  <c r="AH86" i="19"/>
  <c r="X86" i="19"/>
  <c r="N86" i="19"/>
  <c r="D86" i="19"/>
  <c r="AR85" i="19"/>
  <c r="AH85" i="19"/>
  <c r="X85" i="19"/>
  <c r="N85" i="19"/>
  <c r="D85" i="19"/>
  <c r="AR84" i="19"/>
  <c r="AH84" i="19"/>
  <c r="X84" i="19"/>
  <c r="N84" i="19"/>
  <c r="D84" i="19"/>
  <c r="AR83" i="19"/>
  <c r="AH83" i="19"/>
  <c r="X83" i="19"/>
  <c r="N83" i="19"/>
  <c r="D83" i="19"/>
  <c r="AR82" i="19"/>
  <c r="AH82" i="19"/>
  <c r="X82" i="19"/>
  <c r="N82" i="19"/>
  <c r="D82" i="19"/>
  <c r="AR81" i="19"/>
  <c r="AH81" i="19"/>
  <c r="X81" i="19"/>
  <c r="N81" i="19"/>
  <c r="D81" i="19"/>
  <c r="AR80" i="19"/>
  <c r="AH80" i="19"/>
  <c r="X80" i="19"/>
  <c r="N80" i="19"/>
  <c r="D80" i="19"/>
  <c r="AR79" i="19"/>
  <c r="AH79" i="19"/>
  <c r="X79" i="19"/>
  <c r="N79" i="19"/>
  <c r="D79" i="19"/>
  <c r="AR78" i="19"/>
  <c r="AH78" i="19"/>
  <c r="X78" i="19"/>
  <c r="N78" i="19"/>
  <c r="D78" i="19"/>
  <c r="AR77" i="19"/>
  <c r="AH77" i="19"/>
  <c r="X77" i="19"/>
  <c r="N77" i="19"/>
  <c r="D77" i="19"/>
  <c r="N76" i="19"/>
  <c r="N75" i="19"/>
  <c r="N74" i="19"/>
  <c r="N73" i="19"/>
  <c r="D73" i="19"/>
  <c r="D72" i="19"/>
  <c r="D71" i="19"/>
  <c r="N70" i="19"/>
  <c r="D70" i="19"/>
  <c r="D69" i="19"/>
  <c r="D68" i="19"/>
  <c r="N67" i="19"/>
  <c r="D67" i="19"/>
  <c r="D66" i="19"/>
  <c r="D65" i="19"/>
  <c r="N64" i="19"/>
  <c r="D64" i="19"/>
  <c r="D63" i="19"/>
  <c r="D62" i="19"/>
  <c r="D61" i="19"/>
  <c r="N60" i="19"/>
  <c r="N59" i="19"/>
  <c r="D59" i="19"/>
  <c r="N58" i="19"/>
  <c r="D58" i="19"/>
  <c r="N57" i="19"/>
  <c r="D57" i="19"/>
  <c r="N56" i="19"/>
  <c r="D56" i="19"/>
  <c r="N55" i="19"/>
  <c r="D55" i="19"/>
  <c r="N54" i="19"/>
  <c r="D54" i="19"/>
  <c r="N53" i="19"/>
  <c r="D53" i="19"/>
  <c r="N52" i="19"/>
  <c r="D52" i="19"/>
  <c r="N51" i="19"/>
  <c r="D51" i="19"/>
  <c r="N50" i="19"/>
  <c r="D50" i="19"/>
  <c r="N49" i="19"/>
  <c r="D49" i="19"/>
  <c r="D48" i="19"/>
  <c r="D47" i="19"/>
  <c r="D46" i="19"/>
  <c r="R45" i="19"/>
  <c r="O45" i="19"/>
  <c r="N45" i="19"/>
  <c r="R44" i="19"/>
  <c r="O44" i="19"/>
  <c r="N44" i="19"/>
  <c r="R43" i="19"/>
  <c r="O43" i="19"/>
  <c r="N43" i="19"/>
  <c r="R42" i="19"/>
  <c r="O42" i="19"/>
  <c r="N42" i="19"/>
  <c r="R41" i="19"/>
  <c r="O41" i="19"/>
  <c r="N41" i="19"/>
  <c r="R40" i="19"/>
  <c r="O40" i="19"/>
  <c r="N40" i="19"/>
  <c r="R39" i="19"/>
  <c r="O39" i="19"/>
  <c r="N39" i="19"/>
  <c r="R38" i="19"/>
  <c r="O38" i="19"/>
  <c r="N38" i="19"/>
  <c r="R37" i="19"/>
  <c r="O37" i="19"/>
  <c r="N37" i="19"/>
  <c r="R36" i="19"/>
  <c r="O36" i="19"/>
  <c r="N36" i="19"/>
  <c r="R35" i="19"/>
  <c r="O35" i="19"/>
  <c r="N35" i="19"/>
  <c r="AH34" i="19"/>
  <c r="R34" i="19"/>
  <c r="O34" i="19"/>
  <c r="N34" i="19"/>
  <c r="R33" i="19"/>
  <c r="O33" i="19"/>
  <c r="N33" i="19"/>
  <c r="R32" i="19"/>
  <c r="O32" i="19"/>
  <c r="N32" i="19"/>
  <c r="R31" i="19"/>
  <c r="O31" i="19"/>
  <c r="N31" i="19"/>
  <c r="R30" i="19"/>
  <c r="O30" i="19"/>
  <c r="N30" i="19"/>
  <c r="AR29" i="19"/>
  <c r="AH29" i="19"/>
  <c r="R29" i="19"/>
  <c r="O29" i="19"/>
  <c r="N29" i="19"/>
  <c r="BA28" i="19"/>
  <c r="AR28" i="19"/>
  <c r="AH28" i="19"/>
  <c r="R28" i="19"/>
  <c r="O28" i="19"/>
  <c r="N28" i="19"/>
  <c r="BA27" i="19"/>
  <c r="R27" i="19"/>
  <c r="O27" i="19"/>
  <c r="N27" i="19"/>
  <c r="BA26" i="19"/>
  <c r="AR26" i="19"/>
  <c r="R26" i="19"/>
  <c r="O26" i="19"/>
  <c r="N26" i="19"/>
  <c r="BA25" i="19"/>
  <c r="AH25" i="19"/>
  <c r="R25" i="19"/>
  <c r="O25" i="19"/>
  <c r="N25" i="19"/>
  <c r="BA24" i="19"/>
  <c r="R24" i="19"/>
  <c r="O24" i="19"/>
  <c r="N24" i="19"/>
  <c r="BA23" i="19"/>
  <c r="R23" i="19"/>
  <c r="O23" i="19"/>
  <c r="N23" i="19"/>
  <c r="R22" i="19"/>
  <c r="O22" i="19"/>
  <c r="N22" i="19"/>
  <c r="D6" i="19"/>
  <c r="D5" i="19"/>
  <c r="D4" i="19"/>
  <c r="V19" i="16"/>
  <c r="Q43" i="16"/>
  <c r="S87" i="14"/>
  <c r="V64" i="16"/>
  <c r="T65" i="18"/>
  <c r="P67" i="16"/>
  <c r="P70" i="18"/>
  <c r="P70" i="16"/>
  <c r="U59" i="18"/>
  <c r="U49" i="16"/>
  <c r="O59" i="18"/>
  <c r="O93" i="19"/>
  <c r="P69" i="16"/>
  <c r="E65" i="19"/>
  <c r="AI37" i="19"/>
  <c r="N81" i="14"/>
  <c r="Y84" i="19"/>
  <c r="AS32" i="19"/>
  <c r="Q72" i="16"/>
  <c r="AI86" i="19"/>
  <c r="G15" i="18"/>
  <c r="O110" i="19"/>
  <c r="P15" i="16"/>
  <c r="AI6" i="19"/>
  <c r="P62" i="16"/>
  <c r="AS19" i="19"/>
  <c r="AI25" i="19"/>
  <c r="E99" i="19"/>
  <c r="O107" i="19"/>
  <c r="P16" i="16"/>
  <c r="O73" i="18"/>
  <c r="Q68" i="16"/>
  <c r="P75" i="16"/>
  <c r="O51" i="19"/>
  <c r="G12" i="16"/>
  <c r="Y102" i="19"/>
  <c r="O60" i="18"/>
  <c r="O67" i="18"/>
  <c r="AS105" i="19"/>
  <c r="E88" i="19"/>
  <c r="Q58" i="16"/>
  <c r="E116" i="19"/>
  <c r="O112" i="19"/>
  <c r="U74" i="18"/>
  <c r="V17" i="16"/>
  <c r="V16" i="16"/>
  <c r="G16" i="18"/>
  <c r="V52" i="16"/>
  <c r="U46" i="16"/>
  <c r="V74" i="16"/>
  <c r="U42" i="16"/>
  <c r="P66" i="16"/>
  <c r="G13" i="16"/>
  <c r="AS30" i="19"/>
  <c r="P67" i="18"/>
  <c r="AI33" i="19"/>
  <c r="E67" i="19"/>
  <c r="AS116" i="19"/>
  <c r="U73" i="18"/>
  <c r="AS79" i="19"/>
  <c r="AS11" i="19"/>
  <c r="U45" i="16"/>
  <c r="N49" i="14"/>
  <c r="T57" i="18"/>
  <c r="AI95" i="19"/>
  <c r="P64" i="16"/>
  <c r="P52" i="16"/>
  <c r="AI113" i="19"/>
  <c r="O8" i="19"/>
  <c r="E47" i="19"/>
  <c r="E51" i="19"/>
  <c r="AI108" i="19"/>
  <c r="Q45" i="16"/>
  <c r="N86" i="14"/>
  <c r="Q41" i="16"/>
  <c r="E59" i="19"/>
  <c r="N83" i="14"/>
  <c r="P59" i="18"/>
  <c r="V58" i="16"/>
  <c r="P50" i="16"/>
  <c r="Y116" i="19"/>
  <c r="V56" i="16"/>
  <c r="Q59" i="16"/>
  <c r="AS31" i="19"/>
  <c r="V69" i="16"/>
  <c r="P69" i="18"/>
  <c r="R88" i="14"/>
  <c r="U66" i="18"/>
  <c r="Y90" i="19"/>
  <c r="V70" i="16"/>
  <c r="O50" i="19"/>
  <c r="V53" i="16"/>
  <c r="AS20" i="19"/>
  <c r="O63" i="18"/>
  <c r="U16" i="16"/>
  <c r="R82" i="14"/>
  <c r="O65" i="18"/>
  <c r="M86" i="14"/>
  <c r="Q69" i="16"/>
  <c r="AI91" i="19"/>
  <c r="P75" i="18"/>
  <c r="U51" i="16"/>
  <c r="P59" i="16"/>
  <c r="O62" i="18"/>
  <c r="Y6" i="19"/>
  <c r="Y107" i="19"/>
  <c r="M83" i="14"/>
  <c r="Y97" i="19"/>
  <c r="AI87" i="19"/>
  <c r="V55" i="16"/>
  <c r="AS16" i="19"/>
  <c r="Q70" i="16"/>
  <c r="AI112" i="19"/>
  <c r="U54" i="18"/>
  <c r="O70" i="18"/>
  <c r="L5" i="20"/>
  <c r="U62" i="16"/>
  <c r="Y80" i="19"/>
  <c r="AS113" i="19"/>
  <c r="AI23" i="19"/>
  <c r="E81" i="19"/>
  <c r="V46" i="16"/>
  <c r="E68" i="19"/>
  <c r="S81" i="14"/>
  <c r="O60" i="19"/>
  <c r="AI88" i="19"/>
  <c r="T56" i="18"/>
  <c r="AS95" i="19"/>
  <c r="U56" i="18"/>
  <c r="E97" i="19"/>
  <c r="AS99" i="19"/>
  <c r="E4" i="19"/>
  <c r="V71" i="16"/>
  <c r="E95" i="19"/>
  <c r="E92" i="19"/>
  <c r="P19" i="16"/>
  <c r="AI14" i="19"/>
  <c r="U52" i="16"/>
  <c r="E53" i="19"/>
  <c r="O6" i="19"/>
  <c r="O7" i="19"/>
  <c r="Q66" i="16"/>
  <c r="AS25" i="19"/>
  <c r="P55" i="18"/>
  <c r="AI106" i="19"/>
  <c r="AS112" i="19"/>
  <c r="Y95" i="19"/>
  <c r="AS12" i="19"/>
  <c r="O80" i="19"/>
  <c r="AI83" i="19"/>
  <c r="O76" i="19"/>
  <c r="T69" i="18"/>
  <c r="U59" i="16"/>
  <c r="E109" i="19"/>
  <c r="R49" i="14"/>
  <c r="P71" i="16"/>
  <c r="E77" i="19"/>
  <c r="U70" i="16"/>
  <c r="T75" i="18"/>
  <c r="Y103" i="19"/>
  <c r="E71" i="19"/>
  <c r="U64" i="16"/>
  <c r="M51" i="14"/>
  <c r="E93" i="19"/>
  <c r="P40" i="16"/>
  <c r="P68" i="16"/>
  <c r="T68" i="18"/>
  <c r="Q47" i="16"/>
  <c r="O55" i="19"/>
  <c r="P60" i="16"/>
  <c r="O66" i="18"/>
  <c r="U75" i="18"/>
  <c r="AI97" i="19"/>
  <c r="Y93" i="19"/>
  <c r="AI39" i="19"/>
  <c r="O49" i="19"/>
  <c r="U41" i="16"/>
  <c r="P42" i="16"/>
  <c r="O94" i="19"/>
  <c r="AI98" i="19"/>
  <c r="AI7" i="19"/>
  <c r="Y104" i="19"/>
  <c r="Y8" i="19"/>
  <c r="L7" i="20"/>
  <c r="AI36" i="19"/>
  <c r="E64" i="19"/>
  <c r="G18" i="18"/>
  <c r="S82" i="14"/>
  <c r="AI111" i="19"/>
  <c r="E104" i="19"/>
  <c r="E58" i="19"/>
  <c r="AI107" i="19"/>
  <c r="U63" i="16"/>
  <c r="AS27" i="19"/>
  <c r="V72" i="16"/>
  <c r="AS89" i="19"/>
  <c r="Y77" i="19"/>
  <c r="AI84" i="19"/>
  <c r="U68" i="16"/>
  <c r="AI82" i="19"/>
  <c r="Q67" i="16"/>
  <c r="O74" i="19"/>
  <c r="Y96" i="19"/>
  <c r="V51" i="16"/>
  <c r="P56" i="18"/>
  <c r="AS24" i="19"/>
  <c r="O69" i="18"/>
  <c r="AI13" i="19"/>
  <c r="O83" i="19"/>
  <c r="P60" i="18"/>
  <c r="T73" i="18"/>
  <c r="AI79" i="19"/>
  <c r="E91" i="19"/>
  <c r="AI103" i="19"/>
  <c r="N35" i="14"/>
  <c r="O57" i="19"/>
  <c r="P53" i="16"/>
  <c r="U57" i="16"/>
  <c r="O56" i="19"/>
  <c r="O67" i="19"/>
  <c r="AI38" i="19"/>
  <c r="P56" i="16"/>
  <c r="Q39" i="16"/>
  <c r="AS28" i="19"/>
  <c r="V66" i="16"/>
  <c r="AS100" i="19"/>
  <c r="AI116" i="19"/>
  <c r="T61" i="18"/>
  <c r="O61" i="18"/>
  <c r="O104" i="19"/>
  <c r="P39" i="16"/>
  <c r="M12" i="20"/>
  <c r="U18" i="16"/>
  <c r="M87" i="14"/>
  <c r="O89" i="19"/>
  <c r="U68" i="18"/>
  <c r="AS96" i="19"/>
  <c r="O74" i="18"/>
  <c r="Q17" i="16"/>
  <c r="U15" i="16"/>
  <c r="O64" i="18"/>
  <c r="P74" i="16"/>
  <c r="O10" i="19"/>
  <c r="O115" i="19"/>
  <c r="Q46" i="16"/>
  <c r="AS111" i="19"/>
  <c r="Y88" i="19"/>
  <c r="V65" i="16"/>
  <c r="O87" i="19"/>
  <c r="AS103" i="19"/>
  <c r="U39" i="16"/>
  <c r="Y111" i="19"/>
  <c r="O81" i="19"/>
  <c r="V4" i="16"/>
  <c r="AS109" i="19"/>
  <c r="Y91" i="19"/>
  <c r="R35" i="14"/>
  <c r="Q62" i="16"/>
  <c r="E5" i="19"/>
  <c r="U4" i="16"/>
  <c r="AS22" i="19"/>
  <c r="Q55" i="16"/>
  <c r="O56" i="18"/>
  <c r="AI12" i="19"/>
  <c r="O96" i="19"/>
  <c r="E96" i="19"/>
  <c r="Y82" i="19"/>
  <c r="P63" i="16"/>
  <c r="E78" i="19"/>
  <c r="N82" i="14"/>
  <c r="Y78" i="19"/>
  <c r="O58" i="18"/>
  <c r="Y92" i="19"/>
  <c r="O55" i="18"/>
  <c r="S86" i="14"/>
  <c r="V42" i="16"/>
  <c r="U69" i="16"/>
  <c r="Y105" i="19"/>
  <c r="Q63" i="16"/>
  <c r="V47" i="16"/>
  <c r="AI80" i="19"/>
  <c r="AS17" i="19"/>
  <c r="AS33" i="19"/>
  <c r="L11" i="20"/>
  <c r="V50" i="16"/>
  <c r="V75" i="16"/>
  <c r="U60" i="18"/>
  <c r="E82" i="19"/>
  <c r="AS15" i="19"/>
  <c r="AS93" i="19"/>
  <c r="Y115" i="19"/>
  <c r="Y114" i="19"/>
  <c r="O77" i="19"/>
  <c r="T60" i="18"/>
  <c r="AS102" i="19"/>
  <c r="L9" i="20"/>
  <c r="AS82" i="19"/>
  <c r="N80" i="14"/>
  <c r="U70" i="18"/>
  <c r="M82" i="14"/>
  <c r="E79" i="19"/>
  <c r="P63" i="18"/>
  <c r="P17" i="16"/>
  <c r="AS78" i="19"/>
  <c r="P43" i="16"/>
  <c r="E87" i="19"/>
  <c r="U69" i="18"/>
  <c r="P45" i="16"/>
  <c r="T74" i="18"/>
  <c r="V49" i="16"/>
  <c r="L10" i="20"/>
  <c r="P54" i="18"/>
  <c r="T67" i="18"/>
  <c r="Q15" i="16"/>
  <c r="O82" i="19"/>
  <c r="AS80" i="19"/>
  <c r="Q73" i="16"/>
  <c r="V68" i="16"/>
  <c r="R81" i="14"/>
  <c r="S51" i="14"/>
  <c r="P61" i="16"/>
  <c r="AS85" i="19"/>
  <c r="Q52" i="16"/>
  <c r="AI10" i="19"/>
  <c r="L8" i="20"/>
  <c r="P47" i="16"/>
  <c r="O79" i="19"/>
  <c r="AS88" i="19"/>
  <c r="AI105" i="19"/>
  <c r="G8" i="17"/>
  <c r="T62" i="18"/>
  <c r="Y10" i="19"/>
  <c r="O59" i="19"/>
  <c r="U71" i="18"/>
  <c r="P49" i="16"/>
  <c r="P61" i="18"/>
  <c r="P68" i="18"/>
  <c r="Y98" i="19"/>
  <c r="AI101" i="19"/>
  <c r="P4" i="16"/>
  <c r="R80" i="14"/>
  <c r="V62" i="16"/>
  <c r="AI77" i="19"/>
  <c r="Q54" i="16"/>
  <c r="E101" i="19"/>
  <c r="AS106" i="19"/>
  <c r="AS18" i="19"/>
  <c r="E54" i="19"/>
  <c r="O58" i="19"/>
  <c r="N87" i="14"/>
  <c r="E115" i="19"/>
  <c r="Q74" i="16"/>
  <c r="Q51" i="16"/>
  <c r="Y112" i="19"/>
  <c r="E100" i="19"/>
  <c r="V18" i="16"/>
  <c r="AI11" i="19"/>
  <c r="O85" i="19"/>
  <c r="R87" i="14"/>
  <c r="Y7" i="19"/>
  <c r="Y101" i="19"/>
  <c r="R83" i="14"/>
  <c r="E50" i="19"/>
  <c r="N88" i="14"/>
  <c r="M35" i="14"/>
  <c r="O73" i="19"/>
  <c r="E102" i="19"/>
  <c r="Y110" i="19"/>
  <c r="Q60" i="16"/>
  <c r="U62" i="18"/>
  <c r="AI100" i="19"/>
  <c r="U72" i="16"/>
  <c r="T64" i="18"/>
  <c r="AI22" i="19"/>
  <c r="Q65" i="16"/>
  <c r="E114" i="19"/>
  <c r="AI30" i="19"/>
  <c r="Q61" i="16"/>
  <c r="T66" i="18"/>
  <c r="AI35" i="19"/>
  <c r="Q75" i="16"/>
  <c r="E94" i="19"/>
  <c r="V45" i="16"/>
  <c r="O114" i="19"/>
  <c r="AI26" i="19"/>
  <c r="U43" i="16"/>
  <c r="O54" i="19"/>
  <c r="T70" i="18"/>
  <c r="AS7" i="19"/>
  <c r="AS77" i="19"/>
  <c r="Q57" i="16"/>
  <c r="L6" i="20"/>
  <c r="U66" i="16"/>
  <c r="E85" i="19"/>
  <c r="U61" i="18"/>
  <c r="P46" i="16"/>
  <c r="U47" i="16"/>
  <c r="AI15" i="19"/>
  <c r="M80" i="14"/>
  <c r="O102" i="19"/>
  <c r="AI31" i="19"/>
  <c r="V20" i="16"/>
  <c r="E56" i="19"/>
  <c r="U64" i="18"/>
  <c r="V61" i="16"/>
  <c r="V60" i="16"/>
  <c r="O92" i="19"/>
  <c r="AI85" i="19"/>
  <c r="AS97" i="19"/>
  <c r="Q16" i="16"/>
  <c r="E6" i="19"/>
  <c r="E73" i="19"/>
  <c r="M49" i="14"/>
  <c r="AI114" i="19"/>
  <c r="AS114" i="19"/>
  <c r="U72" i="18"/>
  <c r="E86" i="19"/>
  <c r="E55" i="19"/>
  <c r="E46" i="19"/>
  <c r="P65" i="16"/>
  <c r="T63" i="18"/>
  <c r="U17" i="16"/>
  <c r="E70" i="19"/>
  <c r="AI90" i="19"/>
  <c r="Q56" i="16"/>
  <c r="V67" i="16"/>
  <c r="S50" i="14"/>
  <c r="Y85" i="19"/>
  <c r="N51" i="14"/>
  <c r="U57" i="18"/>
  <c r="AI92" i="19"/>
  <c r="O88" i="19"/>
  <c r="AS101" i="19"/>
  <c r="Y79" i="19"/>
  <c r="S80" i="14"/>
  <c r="O111" i="19"/>
  <c r="Y86" i="19"/>
  <c r="U60" i="16"/>
  <c r="M50" i="14"/>
  <c r="AI45" i="19"/>
  <c r="P73" i="18"/>
  <c r="E90" i="19"/>
  <c r="O3" i="1"/>
  <c r="AS81" i="19"/>
  <c r="Q19" i="16"/>
  <c r="R86" i="14"/>
  <c r="V40" i="16"/>
  <c r="P18" i="16"/>
  <c r="O54" i="18"/>
  <c r="E80" i="19"/>
  <c r="AI29" i="19"/>
  <c r="E61" i="19"/>
  <c r="U58" i="16"/>
  <c r="P66" i="18"/>
  <c r="N50" i="14"/>
  <c r="E57" i="19"/>
  <c r="AS86" i="19"/>
  <c r="O70" i="19"/>
  <c r="G8" i="16"/>
  <c r="AS107" i="19"/>
  <c r="T59" i="18"/>
  <c r="U61" i="16"/>
  <c r="Y94" i="19"/>
  <c r="Y81" i="19"/>
  <c r="O9" i="19"/>
  <c r="U55" i="16"/>
  <c r="T58" i="18"/>
  <c r="O99" i="19"/>
  <c r="V39" i="16"/>
  <c r="U67" i="18"/>
  <c r="AS108" i="19"/>
  <c r="O72" i="18"/>
  <c r="U48" i="16"/>
  <c r="AI94" i="19"/>
  <c r="O113" i="19"/>
  <c r="M85" i="14"/>
  <c r="R51" i="14"/>
  <c r="R50" i="14"/>
  <c r="P72" i="16"/>
  <c r="AS8" i="19"/>
  <c r="U53" i="16"/>
  <c r="O57" i="18"/>
  <c r="AI8" i="19"/>
  <c r="O101" i="19"/>
  <c r="O78" i="19"/>
  <c r="AI93" i="19"/>
  <c r="P64" i="18"/>
  <c r="O103" i="19"/>
  <c r="AI115" i="19"/>
  <c r="O106" i="19"/>
  <c r="P57" i="18"/>
  <c r="U58" i="18"/>
  <c r="Q53" i="16"/>
  <c r="V73" i="16"/>
  <c r="P48" i="16"/>
  <c r="Y11" i="19"/>
  <c r="O105" i="19"/>
  <c r="O95" i="19"/>
  <c r="E52" i="19"/>
  <c r="U75" i="16"/>
  <c r="AS115" i="19"/>
  <c r="AI9" i="19"/>
  <c r="P20" i="16"/>
  <c r="AI34" i="19"/>
  <c r="AI27" i="19"/>
  <c r="AS6" i="19"/>
  <c r="T71" i="18"/>
  <c r="S35" i="14"/>
  <c r="AS21" i="19"/>
  <c r="E98" i="19"/>
  <c r="Y113" i="19"/>
  <c r="T72" i="18"/>
  <c r="U73" i="16"/>
  <c r="O75" i="19"/>
  <c r="Q48" i="16"/>
  <c r="AS84" i="19"/>
  <c r="U65" i="18"/>
  <c r="Q50" i="16"/>
  <c r="P54" i="16"/>
  <c r="AI78" i="19"/>
  <c r="Y9" i="19"/>
  <c r="Y87" i="19"/>
  <c r="Y12" i="19"/>
  <c r="E49" i="19"/>
  <c r="E89" i="19"/>
  <c r="P62" i="18"/>
  <c r="U71" i="16"/>
  <c r="AS29" i="19"/>
  <c r="AI96" i="19"/>
  <c r="Q49" i="16"/>
  <c r="AS94" i="19"/>
  <c r="AI24" i="19"/>
  <c r="U20" i="16"/>
  <c r="P58" i="16"/>
  <c r="Y106" i="19"/>
  <c r="O109" i="19"/>
  <c r="P41" i="16"/>
  <c r="Q64" i="16"/>
  <c r="E66" i="19"/>
  <c r="Y83" i="19"/>
  <c r="Y89" i="19"/>
  <c r="AS23" i="19"/>
  <c r="V15" i="16"/>
  <c r="AS90" i="19"/>
  <c r="AI28" i="19"/>
  <c r="O86" i="19"/>
  <c r="V54" i="16"/>
  <c r="M81" i="14"/>
  <c r="V43" i="16"/>
  <c r="AS87" i="19"/>
  <c r="AS92" i="19"/>
  <c r="AS110" i="19"/>
  <c r="Y108" i="19"/>
  <c r="AI102" i="19"/>
  <c r="U40" i="16"/>
  <c r="O64" i="19"/>
  <c r="T54" i="18"/>
  <c r="E103" i="19"/>
  <c r="O116" i="19"/>
  <c r="AS26" i="19"/>
  <c r="S49" i="14"/>
  <c r="AS83" i="19"/>
  <c r="AS91" i="19"/>
  <c r="O53" i="19"/>
  <c r="AS9" i="19"/>
  <c r="O68" i="18"/>
  <c r="S83" i="14"/>
  <c r="U63" i="18"/>
  <c r="U74" i="16"/>
  <c r="P73" i="16"/>
  <c r="AI89" i="19"/>
  <c r="AI32" i="19"/>
  <c r="E69" i="19"/>
  <c r="P55" i="16"/>
  <c r="O100" i="19"/>
  <c r="U54" i="16"/>
  <c r="AI81" i="19"/>
  <c r="Q71" i="16"/>
  <c r="U67" i="16"/>
  <c r="P71" i="18"/>
  <c r="AI110" i="19"/>
  <c r="S88" i="14"/>
  <c r="N85" i="14"/>
  <c r="O84" i="19"/>
  <c r="Q40" i="16"/>
  <c r="AI109" i="19"/>
  <c r="U55" i="18"/>
  <c r="AS104" i="19"/>
  <c r="Q20" i="16"/>
  <c r="AS14" i="19"/>
  <c r="O91" i="19"/>
  <c r="E84" i="19"/>
  <c r="M88" i="14"/>
  <c r="P57" i="16"/>
  <c r="Q4" i="16"/>
  <c r="O97" i="19"/>
  <c r="P72" i="18"/>
  <c r="E63" i="19"/>
  <c r="V57" i="16"/>
  <c r="E83" i="19"/>
  <c r="O75" i="18"/>
  <c r="E62" i="19"/>
  <c r="AS13" i="19"/>
  <c r="AS98" i="19"/>
  <c r="O90" i="19"/>
  <c r="V63" i="16"/>
  <c r="O108" i="19"/>
  <c r="P51" i="16"/>
  <c r="O71" i="18"/>
  <c r="O98" i="19"/>
  <c r="R85" i="14"/>
  <c r="U50" i="16"/>
  <c r="Y109" i="19"/>
  <c r="P58" i="18"/>
  <c r="S85" i="14"/>
  <c r="AI99" i="19"/>
  <c r="V48" i="16"/>
  <c r="P65" i="18"/>
  <c r="U19" i="16"/>
  <c r="AI104" i="19"/>
  <c r="Q42" i="16"/>
  <c r="AS10" i="19"/>
  <c r="E72" i="19"/>
  <c r="V59" i="16"/>
  <c r="P74" i="18"/>
  <c r="Y99" i="19"/>
  <c r="O52" i="19"/>
  <c r="V41" i="16"/>
  <c r="Q18" i="16"/>
  <c r="T55" i="18"/>
  <c r="U65" i="16"/>
  <c r="E48" i="19"/>
  <c r="Y100" i="19"/>
  <c r="U56" i="16"/>
  <c r="Q51" i="19"/>
  <c r="F6" i="19"/>
  <c r="AJ113" i="19"/>
  <c r="P56" i="19"/>
  <c r="G50" i="19"/>
  <c r="P54" i="19"/>
  <c r="AA103" i="19"/>
  <c r="Z9" i="19"/>
  <c r="AJ22" i="19"/>
  <c r="Z86" i="19"/>
  <c r="F83" i="19"/>
  <c r="AJ81" i="19"/>
  <c r="AT83" i="19"/>
  <c r="AT87" i="19"/>
  <c r="AT31" i="19"/>
  <c r="P116" i="19"/>
  <c r="AJ45" i="19"/>
  <c r="Z113" i="19"/>
  <c r="F46" i="19"/>
  <c r="AJ25" i="19"/>
  <c r="G79" i="19"/>
  <c r="Z85" i="19"/>
  <c r="AT32" i="19"/>
  <c r="Q96" i="19"/>
  <c r="G92" i="19"/>
  <c r="AT28" i="19"/>
  <c r="P99" i="19"/>
  <c r="F69" i="19"/>
  <c r="G5" i="19"/>
  <c r="AT115" i="19"/>
  <c r="F4" i="19"/>
  <c r="AU10" i="19"/>
  <c r="Q105" i="19"/>
  <c r="G63" i="19"/>
  <c r="P104" i="19"/>
  <c r="Q58" i="19"/>
  <c r="AT91" i="19"/>
  <c r="P70" i="19"/>
  <c r="AJ27" i="19"/>
  <c r="Z91" i="19"/>
  <c r="AT80" i="19"/>
  <c r="AJ28" i="19"/>
  <c r="F56" i="19"/>
  <c r="AK91" i="19"/>
  <c r="P96" i="19"/>
  <c r="P9" i="19"/>
  <c r="AU86" i="19"/>
  <c r="Z100" i="19"/>
  <c r="AU23" i="19"/>
  <c r="Q88" i="19"/>
  <c r="AA109" i="19"/>
  <c r="AT108" i="19"/>
  <c r="AA11" i="19"/>
  <c r="P113" i="19"/>
  <c r="Q97" i="19"/>
  <c r="AJ85" i="19"/>
  <c r="AJ95" i="19"/>
  <c r="Q116" i="19"/>
  <c r="AK37" i="19"/>
  <c r="AK83" i="19"/>
  <c r="AA88" i="19"/>
  <c r="G89" i="19"/>
  <c r="AK95" i="19"/>
  <c r="Z110" i="19"/>
  <c r="AJ106" i="19"/>
  <c r="Q52" i="19"/>
  <c r="Q99" i="19"/>
  <c r="AK22" i="19"/>
  <c r="P78" i="19"/>
  <c r="F47" i="19"/>
  <c r="G66" i="19"/>
  <c r="AT18" i="19"/>
  <c r="Q64" i="19"/>
  <c r="AU114" i="19"/>
  <c r="AJ86" i="19"/>
  <c r="AJ9" i="19"/>
  <c r="AJ12" i="19"/>
  <c r="AJ14" i="19"/>
  <c r="AU108" i="19"/>
  <c r="AA80" i="19"/>
  <c r="Q92" i="19"/>
  <c r="F93" i="19"/>
  <c r="Z114" i="19"/>
  <c r="F52" i="19"/>
  <c r="F62" i="19"/>
  <c r="AT97" i="19"/>
  <c r="AU21" i="19"/>
  <c r="G97" i="19"/>
  <c r="F114" i="19"/>
  <c r="F86" i="19"/>
  <c r="P107" i="19"/>
  <c r="Q87" i="19"/>
  <c r="F97" i="19"/>
  <c r="AT6" i="19"/>
  <c r="AK101" i="19"/>
  <c r="AU20" i="19"/>
  <c r="AK102" i="19"/>
  <c r="P94" i="19"/>
  <c r="AJ30" i="19"/>
  <c r="AT22" i="19"/>
  <c r="AJ89" i="19"/>
  <c r="AA89" i="19"/>
  <c r="AA78" i="19"/>
  <c r="AJ80" i="19"/>
  <c r="AJ26" i="19"/>
  <c r="AU30" i="19"/>
  <c r="G115" i="19"/>
  <c r="AJ39" i="19"/>
  <c r="Z80" i="19"/>
  <c r="F84" i="19"/>
  <c r="AA82" i="19"/>
  <c r="AJ116" i="19"/>
  <c r="F109" i="19"/>
  <c r="Q115" i="19"/>
  <c r="AT102" i="19"/>
  <c r="P8" i="19"/>
  <c r="Q55" i="19"/>
  <c r="F63" i="19"/>
  <c r="Z95" i="19"/>
  <c r="G58" i="19"/>
  <c r="G67" i="19"/>
  <c r="Q113" i="19"/>
  <c r="AA94" i="19"/>
  <c r="AK87" i="19"/>
  <c r="AA10" i="19"/>
  <c r="AA92" i="19"/>
  <c r="AK92" i="19"/>
  <c r="Z77" i="19"/>
  <c r="AT7" i="19"/>
  <c r="AT90" i="19"/>
  <c r="AK80" i="19"/>
  <c r="AJ15" i="19"/>
  <c r="Z103" i="19"/>
  <c r="F58" i="19"/>
  <c r="AA97" i="19"/>
  <c r="Q102" i="19"/>
  <c r="AA104" i="19"/>
  <c r="AU18" i="19"/>
  <c r="AJ23" i="19"/>
  <c r="AU84" i="19"/>
  <c r="AU27" i="19"/>
  <c r="AJ6" i="19"/>
  <c r="Q50" i="19"/>
  <c r="AT103" i="19"/>
  <c r="AT20" i="19"/>
  <c r="G98" i="19"/>
  <c r="AJ97" i="19"/>
  <c r="AK36" i="19"/>
  <c r="AK27" i="19"/>
  <c r="AK90" i="19"/>
  <c r="AT105" i="19"/>
  <c r="AA108" i="19"/>
  <c r="AT12" i="19"/>
  <c r="AK89" i="19"/>
  <c r="AU110" i="19"/>
  <c r="Z97" i="19"/>
  <c r="Z88" i="19"/>
  <c r="Q90" i="19"/>
  <c r="AK84" i="19"/>
  <c r="Q93" i="19"/>
  <c r="Z84" i="19"/>
  <c r="F5" i="19"/>
  <c r="AK97" i="19"/>
  <c r="G100" i="19"/>
  <c r="AU15" i="19"/>
  <c r="P64" i="19"/>
  <c r="P83" i="19"/>
  <c r="AK113" i="19"/>
  <c r="AA107" i="19"/>
  <c r="G57" i="19"/>
  <c r="AU115" i="19"/>
  <c r="AA85" i="19"/>
  <c r="P73" i="19"/>
  <c r="Z89" i="19"/>
  <c r="AU105" i="19"/>
  <c r="AJ101" i="19"/>
  <c r="Q109" i="19"/>
  <c r="P103" i="19"/>
  <c r="AJ29" i="19"/>
  <c r="AK26" i="19"/>
  <c r="AA79" i="19"/>
  <c r="P108" i="19"/>
  <c r="F71" i="19"/>
  <c r="P98" i="19"/>
  <c r="Q94" i="19"/>
  <c r="P6" i="19"/>
  <c r="P53" i="19"/>
  <c r="G85" i="19"/>
  <c r="F49" i="19"/>
  <c r="F54" i="19"/>
  <c r="AJ90" i="19"/>
  <c r="G56" i="19"/>
  <c r="P80" i="19"/>
  <c r="Q89" i="19"/>
  <c r="AA7" i="19"/>
  <c r="AJ107" i="19"/>
  <c r="Z87" i="19"/>
  <c r="AK99" i="19"/>
  <c r="AT23" i="19"/>
  <c r="AU113" i="19"/>
  <c r="AJ7" i="19"/>
  <c r="AJ111" i="19"/>
  <c r="AK82" i="19"/>
  <c r="F116" i="19"/>
  <c r="P86" i="19"/>
  <c r="AT106" i="19"/>
  <c r="AU92" i="19"/>
  <c r="AU88" i="19"/>
  <c r="Z94" i="19"/>
  <c r="AK7" i="19"/>
  <c r="P67" i="19"/>
  <c r="AA110" i="19"/>
  <c r="AU102" i="19"/>
  <c r="Z8" i="19"/>
  <c r="AU19" i="19"/>
  <c r="Z109" i="19"/>
  <c r="AA9" i="19"/>
  <c r="AT30" i="19"/>
  <c r="Q8" i="19"/>
  <c r="AT96" i="19"/>
  <c r="G96" i="19"/>
  <c r="G46" i="19"/>
  <c r="Z6" i="19"/>
  <c r="P60" i="19"/>
  <c r="F65" i="19"/>
  <c r="AU11" i="19"/>
  <c r="F77" i="19"/>
  <c r="Z11" i="19"/>
  <c r="AJ32" i="19"/>
  <c r="AU97" i="19"/>
  <c r="AK45" i="19"/>
  <c r="G86" i="19"/>
  <c r="AU89" i="19"/>
  <c r="Z79" i="19"/>
  <c r="P57" i="19"/>
  <c r="AJ78" i="19"/>
  <c r="F78" i="19"/>
  <c r="P115" i="19"/>
  <c r="AA90" i="19"/>
  <c r="AJ112" i="19"/>
  <c r="G54" i="19"/>
  <c r="Z101" i="19"/>
  <c r="G84" i="19"/>
  <c r="F79" i="19"/>
  <c r="AA12" i="19"/>
  <c r="AU101" i="19"/>
  <c r="Q83" i="19"/>
  <c r="AU16" i="19"/>
  <c r="AJ110" i="19"/>
  <c r="AJ96" i="19"/>
  <c r="F100" i="19"/>
  <c r="F91" i="19"/>
  <c r="F115" i="19"/>
  <c r="AA102" i="19"/>
  <c r="AA113" i="19"/>
  <c r="AJ33" i="19"/>
  <c r="AT8" i="19"/>
  <c r="AK85" i="19"/>
  <c r="AT104" i="19"/>
  <c r="G68" i="19"/>
  <c r="P91" i="19"/>
  <c r="AT21" i="19"/>
  <c r="AU90" i="19"/>
  <c r="Q106" i="19"/>
  <c r="Q73" i="19"/>
  <c r="AT29" i="19"/>
  <c r="AU107" i="19"/>
  <c r="AT77" i="19"/>
  <c r="Z93" i="19"/>
  <c r="G61" i="19"/>
  <c r="Z81" i="19"/>
  <c r="AT113" i="19"/>
  <c r="Q77" i="19"/>
  <c r="AU79" i="19"/>
  <c r="Q54" i="19"/>
  <c r="AK9" i="19"/>
  <c r="AU8" i="19"/>
  <c r="G116" i="19"/>
  <c r="Z111" i="19"/>
  <c r="AT94" i="19"/>
  <c r="Q103" i="19"/>
  <c r="F55" i="19"/>
  <c r="AT79" i="19"/>
  <c r="P50" i="19"/>
  <c r="F66" i="19"/>
  <c r="AU26" i="19"/>
  <c r="AT99" i="19"/>
  <c r="F72" i="19"/>
  <c r="G104" i="19"/>
  <c r="Q85" i="19"/>
  <c r="P110" i="19"/>
  <c r="AK31" i="19"/>
  <c r="AJ83" i="19"/>
  <c r="F101" i="19"/>
  <c r="AJ87" i="19"/>
  <c r="AK94" i="19"/>
  <c r="AU94" i="19"/>
  <c r="P75" i="19"/>
  <c r="Q10" i="19"/>
  <c r="Z83" i="19"/>
  <c r="AU80" i="19"/>
  <c r="P55" i="19"/>
  <c r="AK11" i="19"/>
  <c r="Z10" i="19"/>
  <c r="P49" i="19"/>
  <c r="AK115" i="19"/>
  <c r="F104" i="19"/>
  <c r="F85" i="19"/>
  <c r="F51" i="19"/>
  <c r="AK35" i="19"/>
  <c r="G53" i="19"/>
  <c r="AT25" i="19"/>
  <c r="AU14" i="19"/>
  <c r="AJ38" i="19"/>
  <c r="AJ91" i="19"/>
  <c r="Z108" i="19"/>
  <c r="Q95" i="19"/>
  <c r="P106" i="19"/>
  <c r="G47" i="19"/>
  <c r="Q78" i="19"/>
  <c r="AT14" i="19"/>
  <c r="AU17" i="19"/>
  <c r="P88" i="19"/>
  <c r="AJ99" i="19"/>
  <c r="AT85" i="19"/>
  <c r="AT78" i="19"/>
  <c r="G95" i="19"/>
  <c r="F96" i="19"/>
  <c r="AK111" i="19"/>
  <c r="AU25" i="19"/>
  <c r="AT24" i="19"/>
  <c r="AA87" i="19"/>
  <c r="AK109" i="19"/>
  <c r="P77" i="19"/>
  <c r="AK100" i="19"/>
  <c r="Q70" i="19"/>
  <c r="AJ37" i="19"/>
  <c r="G87" i="19"/>
  <c r="G82" i="19"/>
  <c r="F82" i="19"/>
  <c r="AK8" i="19"/>
  <c r="AU31" i="19"/>
  <c r="AU29" i="19"/>
  <c r="AK23" i="19"/>
  <c r="AJ77" i="19"/>
  <c r="AT114" i="19"/>
  <c r="Q56" i="19"/>
  <c r="P82" i="19"/>
  <c r="P111" i="19"/>
  <c r="F59" i="19"/>
  <c r="P97" i="19"/>
  <c r="Z112" i="19"/>
  <c r="AA93" i="19"/>
  <c r="Q91" i="19"/>
  <c r="P114" i="19"/>
  <c r="Z96" i="19"/>
  <c r="AJ103" i="19"/>
  <c r="F73" i="19"/>
  <c r="AA112" i="19"/>
  <c r="F90" i="19"/>
  <c r="AK98" i="19"/>
  <c r="G81" i="19"/>
  <c r="F94" i="19"/>
  <c r="F64" i="19"/>
  <c r="AK107" i="19"/>
  <c r="Q7" i="19"/>
  <c r="AK86" i="19"/>
  <c r="AU9" i="19"/>
  <c r="AT98" i="19"/>
  <c r="AK93" i="19"/>
  <c r="G48" i="19"/>
  <c r="AK108" i="19"/>
  <c r="AK110" i="19"/>
  <c r="P59" i="19"/>
  <c r="G80" i="19"/>
  <c r="AK103" i="19"/>
  <c r="AU7" i="19"/>
  <c r="AJ94" i="19"/>
  <c r="Q53" i="19"/>
  <c r="AT16" i="19"/>
  <c r="AK88" i="19"/>
  <c r="G4" i="19"/>
  <c r="AA83" i="19"/>
  <c r="G114" i="19"/>
  <c r="Q76" i="19"/>
  <c r="AK105" i="19"/>
  <c r="AT88" i="19"/>
  <c r="AU85" i="19"/>
  <c r="G59" i="19"/>
  <c r="AU81" i="19"/>
  <c r="G93" i="19"/>
  <c r="G64" i="19"/>
  <c r="F102" i="19"/>
  <c r="AT11" i="19"/>
  <c r="G102" i="19"/>
  <c r="AK116" i="19"/>
  <c r="AU111" i="19"/>
  <c r="AK112" i="19"/>
  <c r="AT82" i="19"/>
  <c r="P100" i="19"/>
  <c r="AK30" i="19"/>
  <c r="AJ100" i="19"/>
  <c r="G90" i="19"/>
  <c r="AK12" i="19"/>
  <c r="AU104" i="19"/>
  <c r="F50" i="19"/>
  <c r="AT116" i="19"/>
  <c r="G55" i="19"/>
  <c r="Q84" i="19"/>
  <c r="Z82" i="19"/>
  <c r="AT111" i="19"/>
  <c r="AJ35" i="19"/>
  <c r="AK6" i="19"/>
  <c r="G91" i="19"/>
  <c r="AU6" i="19"/>
  <c r="F61" i="19"/>
  <c r="Q79" i="19"/>
  <c r="AJ24" i="19"/>
  <c r="P112" i="19"/>
  <c r="G77" i="19"/>
  <c r="Q108" i="19"/>
  <c r="Z99" i="19"/>
  <c r="F89" i="19"/>
  <c r="Q86" i="19"/>
  <c r="P95" i="19"/>
  <c r="G62" i="19"/>
  <c r="AA95" i="19"/>
  <c r="G101" i="19"/>
  <c r="Z7" i="19"/>
  <c r="G83" i="19"/>
  <c r="Z92" i="19"/>
  <c r="AJ34" i="19"/>
  <c r="G69" i="19"/>
  <c r="G71" i="19"/>
  <c r="AJ10" i="19"/>
  <c r="AJ79" i="19"/>
  <c r="AJ88" i="19"/>
  <c r="AA106" i="19"/>
  <c r="AU32" i="19"/>
  <c r="Z98" i="19"/>
  <c r="Q9" i="19"/>
  <c r="AT112" i="19"/>
  <c r="AT109" i="19"/>
  <c r="F103" i="19"/>
  <c r="AJ104" i="19"/>
  <c r="AU98" i="19"/>
  <c r="AK81" i="19"/>
  <c r="AK13" i="19"/>
  <c r="Q100" i="19"/>
  <c r="AA77" i="19"/>
  <c r="AA111" i="19"/>
  <c r="AT95" i="19"/>
  <c r="AK96" i="19"/>
  <c r="Q112" i="19"/>
  <c r="Q74" i="19"/>
  <c r="AT19" i="19"/>
  <c r="G6" i="19"/>
  <c r="AA96" i="19"/>
  <c r="P58" i="19"/>
  <c r="AK39" i="19"/>
  <c r="G88" i="19"/>
  <c r="AJ31" i="19"/>
  <c r="AJ93" i="19"/>
  <c r="AU95" i="19"/>
  <c r="AT26" i="19"/>
  <c r="AT9" i="19"/>
  <c r="AA86" i="19"/>
  <c r="P52" i="19"/>
  <c r="F99" i="19"/>
  <c r="AU33" i="19"/>
  <c r="AA99" i="19"/>
  <c r="Q75" i="19"/>
  <c r="P79" i="19"/>
  <c r="Z104" i="19"/>
  <c r="AT107" i="19"/>
  <c r="P109" i="19"/>
  <c r="AK34" i="19"/>
  <c r="AT93" i="19"/>
  <c r="Z116" i="19"/>
  <c r="AA91" i="19"/>
  <c r="Z78" i="19"/>
  <c r="Q60" i="19"/>
  <c r="AK106" i="19"/>
  <c r="Q114" i="19"/>
  <c r="AU100" i="19"/>
  <c r="G49" i="19"/>
  <c r="AU24" i="19"/>
  <c r="G51" i="19"/>
  <c r="Z12" i="19"/>
  <c r="AU82" i="19"/>
  <c r="AA100" i="19"/>
  <c r="AU83" i="19"/>
  <c r="F92" i="19"/>
  <c r="Z107" i="19"/>
  <c r="AJ92" i="19"/>
  <c r="Q81" i="19"/>
  <c r="AU116" i="19"/>
  <c r="G103" i="19"/>
  <c r="AJ102" i="19"/>
  <c r="AA101" i="19"/>
  <c r="G65" i="19"/>
  <c r="AU112" i="19"/>
  <c r="AU78" i="19"/>
  <c r="P51" i="19"/>
  <c r="AU77" i="19"/>
  <c r="AK15" i="19"/>
  <c r="P105" i="19"/>
  <c r="AJ8" i="19"/>
  <c r="Q67" i="19"/>
  <c r="Q82" i="19"/>
  <c r="AT33" i="19"/>
  <c r="AA84" i="19"/>
  <c r="AT84" i="19"/>
  <c r="AJ115" i="19"/>
  <c r="AJ13" i="19"/>
  <c r="AA116" i="19"/>
  <c r="AA115" i="19"/>
  <c r="F67" i="19"/>
  <c r="AU99" i="19"/>
  <c r="AA81" i="19"/>
  <c r="F80" i="19"/>
  <c r="AJ84" i="19"/>
  <c r="AA114" i="19"/>
  <c r="AT100" i="19"/>
  <c r="Q111" i="19"/>
  <c r="AU12" i="19"/>
  <c r="AU13" i="19"/>
  <c r="AT17" i="19"/>
  <c r="F81" i="19"/>
  <c r="P101" i="19"/>
  <c r="AK25" i="19"/>
  <c r="P74" i="19"/>
  <c r="AU22" i="19"/>
  <c r="G99" i="19"/>
  <c r="G73" i="19"/>
  <c r="AT13" i="19"/>
  <c r="AT110" i="19"/>
  <c r="AA6" i="19"/>
  <c r="F88" i="19"/>
  <c r="AK38" i="19"/>
  <c r="P102" i="19"/>
  <c r="F87" i="19"/>
  <c r="AA105" i="19"/>
  <c r="G78" i="19"/>
  <c r="AK114" i="19"/>
  <c r="G109" i="19"/>
  <c r="F95" i="19"/>
  <c r="F68" i="19"/>
  <c r="AJ36" i="19"/>
  <c r="F48" i="19"/>
  <c r="AK79" i="19"/>
  <c r="Q98" i="19"/>
  <c r="P92" i="19"/>
  <c r="P89" i="19"/>
  <c r="P85" i="19"/>
  <c r="F70" i="19"/>
  <c r="AJ82" i="19"/>
  <c r="AJ109" i="19"/>
  <c r="AT89" i="19"/>
  <c r="AK14" i="19"/>
  <c r="P90" i="19"/>
  <c r="G70" i="19"/>
  <c r="AK10" i="19"/>
  <c r="AK33" i="19"/>
  <c r="AJ11" i="19"/>
  <c r="AK24" i="19"/>
  <c r="Q80" i="19"/>
  <c r="AU106" i="19"/>
  <c r="AJ105" i="19"/>
  <c r="P76" i="19"/>
  <c r="AT15" i="19"/>
  <c r="AK77" i="19"/>
  <c r="Q6" i="19"/>
  <c r="Z90" i="19"/>
  <c r="AU28" i="19"/>
  <c r="P81" i="19"/>
  <c r="AK32" i="19"/>
  <c r="AJ114" i="19"/>
  <c r="AT86" i="19"/>
  <c r="P7" i="19"/>
  <c r="F57" i="19"/>
  <c r="AA98" i="19"/>
  <c r="AT10" i="19"/>
  <c r="AU96" i="19"/>
  <c r="Q101" i="19"/>
  <c r="AJ98" i="19"/>
  <c r="G52" i="19"/>
  <c r="P93" i="19"/>
  <c r="P10" i="19"/>
  <c r="AU109" i="19"/>
  <c r="AJ108" i="19"/>
  <c r="Z102" i="19"/>
  <c r="Q57" i="19"/>
  <c r="AT27" i="19"/>
  <c r="F98" i="19"/>
  <c r="G94" i="19"/>
  <c r="Q49" i="19"/>
  <c r="AK29" i="19"/>
  <c r="AU103" i="19"/>
  <c r="Q104" i="19"/>
  <c r="AU93" i="19"/>
  <c r="P84" i="19"/>
  <c r="AU91" i="19"/>
  <c r="G72" i="19"/>
  <c r="AU87" i="19"/>
  <c r="Z106" i="19"/>
  <c r="Q107" i="19"/>
  <c r="Z105" i="19"/>
  <c r="AT92" i="19"/>
  <c r="Z115" i="19"/>
  <c r="Q59" i="19"/>
  <c r="F53" i="19"/>
  <c r="AK104" i="19"/>
  <c r="Q110" i="19"/>
  <c r="AA8" i="19"/>
  <c r="AK28" i="19"/>
  <c r="AT81" i="19"/>
  <c r="AT101" i="19"/>
  <c r="P87" i="19"/>
  <c r="AK78" i="19"/>
  <c r="G34" i="15" l="1"/>
  <c r="G26" i="15"/>
  <c r="G33" i="15"/>
  <c r="G25" i="15"/>
  <c r="G24" i="15"/>
  <c r="G23" i="15"/>
  <c r="G30" i="15"/>
  <c r="G28" i="15"/>
  <c r="G27" i="15"/>
  <c r="G31" i="15"/>
  <c r="G29" i="15"/>
  <c r="G32" i="15"/>
  <c r="N85" i="15"/>
  <c r="H108" i="16"/>
  <c r="H64" i="17"/>
  <c r="H116" i="16"/>
  <c r="H72" i="17"/>
  <c r="H113" i="18"/>
  <c r="H80" i="17"/>
  <c r="H91" i="18"/>
  <c r="H66" i="17"/>
  <c r="H12" i="16"/>
  <c r="H89" i="16"/>
  <c r="H118" i="18"/>
  <c r="H9" i="18"/>
  <c r="H67" i="17"/>
  <c r="H94" i="16"/>
  <c r="H63" i="17"/>
  <c r="H116" i="18"/>
  <c r="H84" i="17"/>
  <c r="H89" i="18"/>
  <c r="H92" i="17"/>
  <c r="H36" i="17"/>
  <c r="H59" i="17"/>
  <c r="H80" i="16"/>
  <c r="H97" i="18"/>
  <c r="H24" i="16"/>
  <c r="H61" i="17"/>
  <c r="H13" i="18"/>
  <c r="H32" i="16"/>
  <c r="H32" i="17"/>
  <c r="H54" i="17"/>
  <c r="H17" i="18"/>
  <c r="H104" i="16"/>
  <c r="H102" i="16"/>
  <c r="H27" i="16"/>
  <c r="H88" i="17"/>
  <c r="H58" i="17"/>
  <c r="H62" i="17"/>
  <c r="H11" i="18"/>
  <c r="H106" i="16"/>
  <c r="H118" i="16"/>
  <c r="H107" i="18"/>
  <c r="H28" i="16"/>
  <c r="H8" i="17"/>
  <c r="H79" i="17"/>
  <c r="H104" i="18"/>
  <c r="H7" i="17"/>
  <c r="H95" i="17"/>
  <c r="H34" i="17"/>
  <c r="H5" i="16"/>
  <c r="H19" i="18"/>
  <c r="H88" i="16"/>
  <c r="H91" i="16"/>
  <c r="H105" i="18"/>
  <c r="H26" i="18"/>
  <c r="H35" i="17"/>
  <c r="H43" i="17"/>
  <c r="H38" i="16"/>
  <c r="H46" i="17"/>
  <c r="H96" i="16"/>
  <c r="H87" i="17"/>
  <c r="H15" i="18"/>
  <c r="H114" i="16"/>
  <c r="H25" i="18"/>
  <c r="H26" i="17"/>
  <c r="H93" i="18"/>
  <c r="H6" i="17"/>
  <c r="H77" i="17"/>
  <c r="H60" i="17"/>
  <c r="H52" i="17"/>
  <c r="H13" i="16"/>
  <c r="H112" i="16"/>
  <c r="H100" i="16"/>
  <c r="H90" i="18"/>
  <c r="H102" i="18"/>
  <c r="H30" i="18"/>
  <c r="H9" i="17"/>
  <c r="H56" i="17"/>
  <c r="H90" i="17"/>
  <c r="H76" i="17"/>
  <c r="H71" i="17"/>
  <c r="H28" i="17"/>
  <c r="H94" i="17"/>
  <c r="H33" i="17"/>
  <c r="H11" i="16"/>
  <c r="H5" i="18"/>
  <c r="H7" i="18"/>
  <c r="H110" i="16"/>
  <c r="H98" i="16"/>
  <c r="H92" i="16"/>
  <c r="H117" i="16"/>
  <c r="H119" i="16"/>
  <c r="H81" i="18"/>
  <c r="H83" i="18"/>
  <c r="H108" i="18"/>
  <c r="H94" i="18"/>
  <c r="H119" i="18"/>
  <c r="H34" i="16"/>
  <c r="H24" i="18"/>
  <c r="H32" i="18"/>
  <c r="H99" i="18"/>
  <c r="H85" i="18"/>
  <c r="H110" i="18"/>
  <c r="H31" i="16"/>
  <c r="H35" i="16"/>
  <c r="H33" i="18"/>
  <c r="H39" i="16"/>
  <c r="H99" i="16"/>
  <c r="H82" i="18"/>
  <c r="H87" i="18"/>
  <c r="H29" i="16"/>
  <c r="H46" i="16"/>
  <c r="H29" i="17"/>
  <c r="H70" i="17"/>
  <c r="H10" i="18"/>
  <c r="H82" i="16"/>
  <c r="H88" i="18"/>
  <c r="H37" i="16"/>
  <c r="H31" i="17"/>
  <c r="H75" i="17"/>
  <c r="H7" i="16"/>
  <c r="H8" i="18"/>
  <c r="H6" i="18"/>
  <c r="H105" i="16"/>
  <c r="H81" i="16"/>
  <c r="H85" i="16"/>
  <c r="H87" i="16"/>
  <c r="H80" i="18"/>
  <c r="H115" i="18"/>
  <c r="H101" i="18"/>
  <c r="H23" i="16"/>
  <c r="H34" i="18"/>
  <c r="H30" i="17"/>
  <c r="H69" i="17"/>
  <c r="H74" i="17"/>
  <c r="H49" i="17"/>
  <c r="H57" i="17"/>
  <c r="H83" i="17"/>
  <c r="H6" i="16"/>
  <c r="H12" i="18"/>
  <c r="H97" i="16"/>
  <c r="H107" i="16"/>
  <c r="H93" i="16"/>
  <c r="H95" i="16"/>
  <c r="H98" i="18"/>
  <c r="H84" i="18"/>
  <c r="H109" i="18"/>
  <c r="H95" i="18"/>
  <c r="H25" i="16"/>
  <c r="H30" i="16"/>
  <c r="H27" i="18"/>
  <c r="H53" i="17"/>
  <c r="H85" i="17"/>
  <c r="H82" i="17"/>
  <c r="H37" i="17"/>
  <c r="H65" i="17"/>
  <c r="H78" i="17"/>
  <c r="H81" i="17"/>
  <c r="H91" i="17"/>
  <c r="H9" i="16"/>
  <c r="H10" i="16"/>
  <c r="H16" i="18"/>
  <c r="H14" i="18"/>
  <c r="H83" i="16"/>
  <c r="H113" i="16"/>
  <c r="H115" i="16"/>
  <c r="H101" i="16"/>
  <c r="H103" i="16"/>
  <c r="H96" i="18"/>
  <c r="H106" i="18"/>
  <c r="H92" i="18"/>
  <c r="H117" i="18"/>
  <c r="H103" i="18"/>
  <c r="H33" i="16"/>
  <c r="H23" i="18"/>
  <c r="H28" i="18"/>
  <c r="H36" i="16"/>
  <c r="H5" i="17"/>
  <c r="H27" i="17"/>
  <c r="H93" i="17"/>
  <c r="H68" i="17"/>
  <c r="H55" i="17"/>
  <c r="H73" i="17"/>
  <c r="H86" i="17"/>
  <c r="H89" i="17"/>
  <c r="H8" i="16"/>
  <c r="H14" i="16"/>
  <c r="H20" i="18"/>
  <c r="H18" i="18"/>
  <c r="H86" i="16"/>
  <c r="H90" i="16"/>
  <c r="H84" i="16"/>
  <c r="H109" i="16"/>
  <c r="H111" i="16"/>
  <c r="H112" i="18"/>
  <c r="H114" i="18"/>
  <c r="H100" i="18"/>
  <c r="H86" i="18"/>
  <c r="H111" i="18"/>
  <c r="H26" i="16"/>
  <c r="H31" i="18"/>
  <c r="H29" i="18"/>
  <c r="H40" i="16"/>
  <c r="G95" i="17"/>
  <c r="G87" i="17"/>
  <c r="G79" i="17"/>
  <c r="G71" i="17"/>
  <c r="G63" i="17"/>
  <c r="G55" i="17"/>
  <c r="G47" i="17"/>
  <c r="G93" i="17"/>
  <c r="G77" i="17"/>
  <c r="G61" i="17"/>
  <c r="G45" i="17"/>
  <c r="G92" i="17"/>
  <c r="G76" i="17"/>
  <c r="G60" i="17"/>
  <c r="G44" i="17"/>
  <c r="G91" i="17"/>
  <c r="G75" i="17"/>
  <c r="G67" i="17"/>
  <c r="G51" i="17"/>
  <c r="G43" i="17"/>
  <c r="G66" i="17"/>
  <c r="G50" i="17"/>
  <c r="G81" i="17"/>
  <c r="G73" i="17"/>
  <c r="G57" i="17"/>
  <c r="G94" i="17"/>
  <c r="G86" i="17"/>
  <c r="G78" i="17"/>
  <c r="G70" i="17"/>
  <c r="G62" i="17"/>
  <c r="G54" i="17"/>
  <c r="G46" i="17"/>
  <c r="G85" i="17"/>
  <c r="G69" i="17"/>
  <c r="G53" i="17"/>
  <c r="G84" i="17"/>
  <c r="G68" i="17"/>
  <c r="G52" i="17"/>
  <c r="G83" i="17"/>
  <c r="G59" i="17"/>
  <c r="G82" i="17"/>
  <c r="G74" i="17"/>
  <c r="G58" i="17"/>
  <c r="G42" i="17"/>
  <c r="G49" i="17"/>
  <c r="G90" i="17"/>
  <c r="G89" i="17"/>
  <c r="G65" i="17"/>
  <c r="G41" i="17"/>
  <c r="G88" i="17"/>
  <c r="G80" i="17"/>
  <c r="G72" i="17"/>
  <c r="G64" i="17"/>
  <c r="G56" i="17"/>
  <c r="G48" i="17"/>
  <c r="G40" i="17"/>
  <c r="G34" i="17"/>
  <c r="G26" i="17"/>
  <c r="G32" i="17"/>
  <c r="G24" i="17"/>
  <c r="G23" i="17"/>
  <c r="G30" i="17"/>
  <c r="G29" i="17"/>
  <c r="G36" i="17"/>
  <c r="G28" i="17"/>
  <c r="G35" i="17"/>
  <c r="G27" i="17"/>
  <c r="G33" i="17"/>
  <c r="G25" i="17"/>
  <c r="G31" i="17"/>
  <c r="G37" i="17"/>
  <c r="G119" i="16"/>
  <c r="G111" i="16"/>
  <c r="G103" i="16"/>
  <c r="G95" i="16"/>
  <c r="G87" i="16"/>
  <c r="G79" i="16"/>
  <c r="G71" i="16"/>
  <c r="G63" i="16"/>
  <c r="G55" i="16"/>
  <c r="G109" i="16"/>
  <c r="G61" i="16"/>
  <c r="G116" i="16"/>
  <c r="G108" i="16"/>
  <c r="G100" i="16"/>
  <c r="G92" i="16"/>
  <c r="G76" i="16"/>
  <c r="G68" i="16"/>
  <c r="G115" i="16"/>
  <c r="G107" i="16"/>
  <c r="G99" i="16"/>
  <c r="G83" i="16"/>
  <c r="G67" i="16"/>
  <c r="G51" i="16"/>
  <c r="G106" i="16"/>
  <c r="G90" i="16"/>
  <c r="G74" i="16"/>
  <c r="G58" i="16"/>
  <c r="G73" i="16"/>
  <c r="G118" i="16"/>
  <c r="G110" i="16"/>
  <c r="G102" i="16"/>
  <c r="G94" i="16"/>
  <c r="G86" i="16"/>
  <c r="G78" i="16"/>
  <c r="G70" i="16"/>
  <c r="G62" i="16"/>
  <c r="G54" i="16"/>
  <c r="G117" i="16"/>
  <c r="G101" i="16"/>
  <c r="G93" i="16"/>
  <c r="G85" i="16"/>
  <c r="G77" i="16"/>
  <c r="G69" i="16"/>
  <c r="G53" i="16"/>
  <c r="G84" i="16"/>
  <c r="G60" i="16"/>
  <c r="G52" i="16"/>
  <c r="G91" i="16"/>
  <c r="G75" i="16"/>
  <c r="G59" i="16"/>
  <c r="G114" i="16"/>
  <c r="G98" i="16"/>
  <c r="G82" i="16"/>
  <c r="G66" i="16"/>
  <c r="G50" i="16"/>
  <c r="G113" i="16"/>
  <c r="G105" i="16"/>
  <c r="G97" i="16"/>
  <c r="G89" i="16"/>
  <c r="G81" i="16"/>
  <c r="G65" i="16"/>
  <c r="G57" i="16"/>
  <c r="G49" i="16"/>
  <c r="G96" i="16"/>
  <c r="G88" i="16"/>
  <c r="G80" i="16"/>
  <c r="G72" i="16"/>
  <c r="G64" i="16"/>
  <c r="G56" i="16"/>
  <c r="G112" i="16"/>
  <c r="G104" i="16"/>
  <c r="G46" i="16"/>
  <c r="G38" i="16"/>
  <c r="G30" i="16"/>
  <c r="G44" i="16"/>
  <c r="G36" i="16"/>
  <c r="G43" i="16"/>
  <c r="G35" i="16"/>
  <c r="G27" i="16"/>
  <c r="G34" i="16"/>
  <c r="G41" i="16"/>
  <c r="G33" i="16"/>
  <c r="G25" i="16"/>
  <c r="G40" i="16"/>
  <c r="G32" i="16"/>
  <c r="G24" i="16"/>
  <c r="G39" i="16"/>
  <c r="G31" i="16"/>
  <c r="G23" i="16"/>
  <c r="G45" i="16"/>
  <c r="G37" i="16"/>
  <c r="G29" i="16"/>
  <c r="G28" i="16"/>
  <c r="G42" i="16"/>
  <c r="G26" i="16"/>
  <c r="F31" i="14"/>
  <c r="F30" i="14"/>
  <c r="F32" i="14"/>
  <c r="F26" i="14"/>
  <c r="F29" i="14"/>
  <c r="F23" i="14"/>
  <c r="F24" i="14"/>
  <c r="F25" i="14"/>
  <c r="F33" i="14"/>
  <c r="F34" i="14"/>
  <c r="F27" i="14"/>
  <c r="F35" i="14"/>
  <c r="F28" i="14"/>
  <c r="F36" i="14"/>
  <c r="F38" i="14"/>
  <c r="F46" i="14"/>
  <c r="F54" i="14"/>
  <c r="F62" i="14"/>
  <c r="F70" i="14"/>
  <c r="F78" i="14"/>
  <c r="F40" i="14"/>
  <c r="F58" i="14"/>
  <c r="F44" i="14"/>
  <c r="F60" i="14"/>
  <c r="F76" i="14"/>
  <c r="F92" i="14"/>
  <c r="F86" i="14"/>
  <c r="F39" i="14"/>
  <c r="F47" i="14"/>
  <c r="F55" i="14"/>
  <c r="F63" i="14"/>
  <c r="F71" i="14"/>
  <c r="F79" i="14"/>
  <c r="F48" i="14"/>
  <c r="F56" i="14"/>
  <c r="F64" i="14"/>
  <c r="F72" i="14"/>
  <c r="F80" i="14"/>
  <c r="F41" i="14"/>
  <c r="F49" i="14"/>
  <c r="F57" i="14"/>
  <c r="F65" i="14"/>
  <c r="F73" i="14"/>
  <c r="F81" i="14"/>
  <c r="F42" i="14"/>
  <c r="F50" i="14"/>
  <c r="F66" i="14"/>
  <c r="F74" i="14"/>
  <c r="F43" i="14"/>
  <c r="F59" i="14"/>
  <c r="F67" i="14"/>
  <c r="F75" i="14"/>
  <c r="F91" i="14"/>
  <c r="F68" i="14"/>
  <c r="F45" i="14"/>
  <c r="F61" i="14"/>
  <c r="F69" i="14"/>
  <c r="F77" i="14"/>
  <c r="F93" i="14"/>
  <c r="H5" i="15"/>
  <c r="H9" i="15"/>
  <c r="H8" i="15"/>
  <c r="H7" i="15"/>
  <c r="H11" i="15"/>
  <c r="H6" i="15"/>
  <c r="H10" i="15"/>
  <c r="H92" i="15"/>
  <c r="H108" i="15"/>
  <c r="H116" i="15"/>
  <c r="H101" i="15"/>
  <c r="H117" i="15"/>
  <c r="H102" i="15"/>
  <c r="H122" i="15"/>
  <c r="H100" i="15"/>
  <c r="H124" i="15"/>
  <c r="H93" i="15"/>
  <c r="H109" i="15"/>
  <c r="H125" i="15"/>
  <c r="H94" i="15"/>
  <c r="H110" i="15"/>
  <c r="H118" i="15"/>
  <c r="H126" i="15"/>
  <c r="H95" i="15"/>
  <c r="H103" i="15"/>
  <c r="H111" i="15"/>
  <c r="H119" i="15"/>
  <c r="H127" i="15"/>
  <c r="H96" i="15"/>
  <c r="H104" i="15"/>
  <c r="H112" i="15"/>
  <c r="H120" i="15"/>
  <c r="H128" i="15"/>
  <c r="H97" i="15"/>
  <c r="H105" i="15"/>
  <c r="H113" i="15"/>
  <c r="H121" i="15"/>
  <c r="H129" i="15"/>
  <c r="H98" i="15"/>
  <c r="H106" i="15"/>
  <c r="H114" i="15"/>
  <c r="H130" i="15"/>
  <c r="H99" i="15"/>
  <c r="H107" i="15"/>
  <c r="H115" i="15"/>
  <c r="H123" i="15"/>
  <c r="H131" i="15"/>
  <c r="G56" i="15"/>
  <c r="G48" i="15"/>
  <c r="G40" i="15"/>
  <c r="G67" i="15"/>
  <c r="G75" i="15"/>
  <c r="G83" i="15"/>
  <c r="G91" i="15"/>
  <c r="G131" i="15"/>
  <c r="G123" i="15"/>
  <c r="G115" i="15"/>
  <c r="G107" i="15"/>
  <c r="G99" i="15"/>
  <c r="G130" i="15"/>
  <c r="G54" i="15"/>
  <c r="G46" i="15"/>
  <c r="G61" i="15"/>
  <c r="G69" i="15"/>
  <c r="G77" i="15"/>
  <c r="G85" i="15"/>
  <c r="G129" i="15"/>
  <c r="G121" i="15"/>
  <c r="G113" i="15"/>
  <c r="G105" i="15"/>
  <c r="G97" i="15"/>
  <c r="G53" i="15"/>
  <c r="G45" i="15"/>
  <c r="G37" i="15"/>
  <c r="G62" i="15"/>
  <c r="G70" i="15"/>
  <c r="G78" i="15"/>
  <c r="G86" i="15"/>
  <c r="G128" i="15"/>
  <c r="G120" i="15"/>
  <c r="G112" i="15"/>
  <c r="G104" i="15"/>
  <c r="G96" i="15"/>
  <c r="G52" i="15"/>
  <c r="G44" i="15"/>
  <c r="G63" i="15"/>
  <c r="G71" i="15"/>
  <c r="G79" i="15"/>
  <c r="G87" i="15"/>
  <c r="G127" i="15"/>
  <c r="G119" i="15"/>
  <c r="G55" i="15"/>
  <c r="G47" i="15"/>
  <c r="G39" i="15"/>
  <c r="G68" i="15"/>
  <c r="G76" i="15"/>
  <c r="G84" i="15"/>
  <c r="G122" i="15"/>
  <c r="G114" i="15"/>
  <c r="G106" i="15"/>
  <c r="G98" i="15"/>
  <c r="G38" i="15"/>
  <c r="G57" i="15"/>
  <c r="G72" i="15"/>
  <c r="G90" i="15"/>
  <c r="G125" i="15"/>
  <c r="G108" i="15"/>
  <c r="G92" i="15"/>
  <c r="G74" i="15"/>
  <c r="G58" i="15"/>
  <c r="G51" i="15"/>
  <c r="G73" i="15"/>
  <c r="G124" i="15"/>
  <c r="G103" i="15"/>
  <c r="G50" i="15"/>
  <c r="G118" i="15"/>
  <c r="G102" i="15"/>
  <c r="G49" i="15"/>
  <c r="G80" i="15"/>
  <c r="G117" i="15"/>
  <c r="G101" i="15"/>
  <c r="G43" i="15"/>
  <c r="G81" i="15"/>
  <c r="G116" i="15"/>
  <c r="G100" i="15"/>
  <c r="G42" i="15"/>
  <c r="G64" i="15"/>
  <c r="G82" i="15"/>
  <c r="G111" i="15"/>
  <c r="G95" i="15"/>
  <c r="G65" i="15"/>
  <c r="G88" i="15"/>
  <c r="G110" i="15"/>
  <c r="G94" i="15"/>
  <c r="G66" i="15"/>
  <c r="G89" i="15"/>
  <c r="G126" i="15"/>
  <c r="G109" i="15"/>
  <c r="G93" i="15"/>
  <c r="G41" i="15"/>
  <c r="AL38" i="19"/>
  <c r="AL35" i="19"/>
  <c r="AL39" i="19"/>
  <c r="AL37" i="19"/>
  <c r="AL45" i="19"/>
  <c r="AL36" i="19"/>
  <c r="AV9" i="19"/>
  <c r="AV21" i="19"/>
  <c r="AV33" i="19"/>
  <c r="AV85" i="19"/>
  <c r="AV91" i="19"/>
  <c r="AV107" i="19"/>
  <c r="AV113" i="19"/>
  <c r="AV13" i="19"/>
  <c r="AV29" i="19"/>
  <c r="AV87" i="19"/>
  <c r="AV7" i="19"/>
  <c r="AV19" i="19"/>
  <c r="AV27" i="19"/>
  <c r="AV31" i="19"/>
  <c r="AV109" i="19"/>
  <c r="AV17" i="19"/>
  <c r="AV25" i="19"/>
  <c r="AV101" i="19"/>
  <c r="AV81" i="19"/>
  <c r="AV97" i="19"/>
  <c r="AV103" i="19"/>
  <c r="AV11" i="19"/>
  <c r="AV15" i="19"/>
  <c r="AV23" i="19"/>
  <c r="AV77" i="19"/>
  <c r="AV93" i="19"/>
  <c r="AV83" i="19"/>
  <c r="AV99" i="19"/>
  <c r="AV115" i="19"/>
  <c r="AV89" i="19"/>
  <c r="AV105" i="19"/>
  <c r="AV79" i="19"/>
  <c r="AV95" i="19"/>
  <c r="AV111" i="19"/>
  <c r="AV80" i="19"/>
  <c r="AV84" i="19"/>
  <c r="AV86" i="19"/>
  <c r="AV88" i="19"/>
  <c r="AV92" i="19"/>
  <c r="AV94" i="19"/>
  <c r="AV98" i="19"/>
  <c r="AV100" i="19"/>
  <c r="AV104" i="19"/>
  <c r="AV106" i="19"/>
  <c r="AV108" i="19"/>
  <c r="AV110" i="19"/>
  <c r="AV112" i="19"/>
  <c r="AV114" i="19"/>
  <c r="AV116" i="19"/>
  <c r="AV6" i="19"/>
  <c r="AV12" i="19"/>
  <c r="AV18" i="19"/>
  <c r="AV24" i="19"/>
  <c r="AV30" i="19"/>
  <c r="AV96" i="19"/>
  <c r="AV8" i="19"/>
  <c r="AV16" i="19"/>
  <c r="AV22" i="19"/>
  <c r="AV28" i="19"/>
  <c r="AV78" i="19"/>
  <c r="AV82" i="19"/>
  <c r="AV102" i="19"/>
  <c r="AV10" i="19"/>
  <c r="AV14" i="19"/>
  <c r="AV20" i="19"/>
  <c r="AV26" i="19"/>
  <c r="AV32" i="19"/>
  <c r="AV90" i="19"/>
  <c r="AL7" i="19"/>
  <c r="AL9" i="19"/>
  <c r="AL11" i="19"/>
  <c r="AL13" i="19"/>
  <c r="AL15" i="19"/>
  <c r="AL23" i="19"/>
  <c r="AL25" i="19"/>
  <c r="AL27" i="19"/>
  <c r="AL29" i="19"/>
  <c r="AL31" i="19"/>
  <c r="AL33" i="19"/>
  <c r="AL77" i="19"/>
  <c r="AL79" i="19"/>
  <c r="AL81" i="19"/>
  <c r="AL83" i="19"/>
  <c r="AL85" i="19"/>
  <c r="AL87" i="19"/>
  <c r="AL89" i="19"/>
  <c r="AL91" i="19"/>
  <c r="AL93" i="19"/>
  <c r="AL95" i="19"/>
  <c r="AL97" i="19"/>
  <c r="AL99" i="19"/>
  <c r="AL101" i="19"/>
  <c r="AL103" i="19"/>
  <c r="AL105" i="19"/>
  <c r="AL107" i="19"/>
  <c r="AL109" i="19"/>
  <c r="AL111" i="19"/>
  <c r="AL113" i="19"/>
  <c r="AL115" i="19"/>
  <c r="AL6" i="19"/>
  <c r="AL12" i="19"/>
  <c r="AL22" i="19"/>
  <c r="AL30" i="19"/>
  <c r="AL78" i="19"/>
  <c r="AL82" i="19"/>
  <c r="AL84" i="19"/>
  <c r="AL86" i="19"/>
  <c r="AL90" i="19"/>
  <c r="AL92" i="19"/>
  <c r="AL94" i="19"/>
  <c r="AL96" i="19"/>
  <c r="AL98" i="19"/>
  <c r="AL100" i="19"/>
  <c r="AL102" i="19"/>
  <c r="AL104" i="19"/>
  <c r="AL106" i="19"/>
  <c r="AL108" i="19"/>
  <c r="AL110" i="19"/>
  <c r="AL112" i="19"/>
  <c r="AL114" i="19"/>
  <c r="AL116" i="19"/>
  <c r="AL8" i="19"/>
  <c r="AL14" i="19"/>
  <c r="AL26" i="19"/>
  <c r="AL32" i="19"/>
  <c r="AL80" i="19"/>
  <c r="AL10" i="19"/>
  <c r="AL24" i="19"/>
  <c r="AL28" i="19"/>
  <c r="AL34" i="19"/>
  <c r="AL88" i="19"/>
  <c r="AB110" i="19"/>
  <c r="AB86" i="19"/>
  <c r="AB99" i="19"/>
  <c r="AB112" i="19"/>
  <c r="AB78" i="19"/>
  <c r="AB91" i="19"/>
  <c r="AB104" i="19"/>
  <c r="AB83" i="19"/>
  <c r="AB96" i="19"/>
  <c r="AB109" i="19"/>
  <c r="AB88" i="19"/>
  <c r="AB101" i="19"/>
  <c r="AB113" i="19"/>
  <c r="AB80" i="19"/>
  <c r="AB93" i="19"/>
  <c r="AB105" i="19"/>
  <c r="AB85" i="19"/>
  <c r="AB97" i="19"/>
  <c r="AB77" i="19"/>
  <c r="AB89" i="19"/>
  <c r="AB102" i="19"/>
  <c r="AB115" i="19"/>
  <c r="AB81" i="19"/>
  <c r="AB94" i="19"/>
  <c r="AB107" i="19"/>
  <c r="AB84" i="19"/>
  <c r="AB92" i="19"/>
  <c r="AB100" i="19"/>
  <c r="AB108" i="19"/>
  <c r="AB116" i="19"/>
  <c r="AB79" i="19"/>
  <c r="AB87" i="19"/>
  <c r="AB95" i="19"/>
  <c r="AB103" i="19"/>
  <c r="AB111" i="19"/>
  <c r="AB82" i="19"/>
  <c r="AB90" i="19"/>
  <c r="AB98" i="19"/>
  <c r="AB106" i="19"/>
  <c r="AB114" i="19"/>
  <c r="AB7" i="19"/>
  <c r="AB11" i="19"/>
  <c r="AB8" i="19"/>
  <c r="AB12" i="19"/>
  <c r="AB6" i="19"/>
  <c r="AB10" i="19"/>
  <c r="AB9" i="19"/>
  <c r="R64" i="19"/>
  <c r="R53" i="19"/>
  <c r="R56" i="19"/>
  <c r="R77" i="19"/>
  <c r="R80" i="19"/>
  <c r="R88" i="19"/>
  <c r="R96" i="19"/>
  <c r="R104" i="19"/>
  <c r="R112" i="19"/>
  <c r="R85" i="19"/>
  <c r="R101" i="19"/>
  <c r="R109" i="19"/>
  <c r="R50" i="19"/>
  <c r="R55" i="19"/>
  <c r="R103" i="19"/>
  <c r="R111" i="19"/>
  <c r="R58" i="19"/>
  <c r="R74" i="19"/>
  <c r="R106" i="19"/>
  <c r="R84" i="19"/>
  <c r="R92" i="19"/>
  <c r="R100" i="19"/>
  <c r="R108" i="19"/>
  <c r="R116" i="19"/>
  <c r="R93" i="19"/>
  <c r="R82" i="19"/>
  <c r="R114" i="19"/>
  <c r="R79" i="19"/>
  <c r="R52" i="19"/>
  <c r="R54" i="19"/>
  <c r="R78" i="19"/>
  <c r="R86" i="19"/>
  <c r="R94" i="19"/>
  <c r="R102" i="19"/>
  <c r="R110" i="19"/>
  <c r="R90" i="19"/>
  <c r="R98" i="19"/>
  <c r="R87" i="19"/>
  <c r="R95" i="19"/>
  <c r="R60" i="19"/>
  <c r="R76" i="19"/>
  <c r="R49" i="19"/>
  <c r="R57" i="19"/>
  <c r="R73" i="19"/>
  <c r="R81" i="19"/>
  <c r="R89" i="19"/>
  <c r="R97" i="19"/>
  <c r="R105" i="19"/>
  <c r="R113" i="19"/>
  <c r="R70" i="19"/>
  <c r="R51" i="19"/>
  <c r="R59" i="19"/>
  <c r="R67" i="19"/>
  <c r="R75" i="19"/>
  <c r="R83" i="19"/>
  <c r="R91" i="19"/>
  <c r="R99" i="19"/>
  <c r="R107" i="19"/>
  <c r="R115" i="19"/>
  <c r="R7" i="19"/>
  <c r="R6" i="19"/>
  <c r="R10" i="19"/>
  <c r="R8" i="19"/>
  <c r="R9" i="19"/>
  <c r="E78" i="14"/>
  <c r="E70" i="14"/>
  <c r="E62" i="14"/>
  <c r="E54" i="14"/>
  <c r="E43" i="14"/>
  <c r="E34" i="14"/>
  <c r="E5" i="14"/>
  <c r="E92" i="14"/>
  <c r="E76" i="14"/>
  <c r="E68" i="14"/>
  <c r="E60" i="14"/>
  <c r="E49" i="14"/>
  <c r="E41" i="14"/>
  <c r="E32" i="14"/>
  <c r="E3" i="14"/>
  <c r="E91" i="14"/>
  <c r="E75" i="14"/>
  <c r="E67" i="14"/>
  <c r="E59" i="14"/>
  <c r="E48" i="14"/>
  <c r="E40" i="14"/>
  <c r="E31" i="14"/>
  <c r="E86" i="14"/>
  <c r="E74" i="14"/>
  <c r="E66" i="14"/>
  <c r="E58" i="14"/>
  <c r="E39" i="14"/>
  <c r="E30" i="14"/>
  <c r="E81" i="14"/>
  <c r="E73" i="14"/>
  <c r="E65" i="14"/>
  <c r="E57" i="14"/>
  <c r="E46" i="14"/>
  <c r="E38" i="14"/>
  <c r="E80" i="14"/>
  <c r="E72" i="14"/>
  <c r="E64" i="14"/>
  <c r="E56" i="14"/>
  <c r="E45" i="14"/>
  <c r="E36" i="14"/>
  <c r="E79" i="14"/>
  <c r="E63" i="14"/>
  <c r="E55" i="14"/>
  <c r="E44" i="14"/>
  <c r="E35" i="14"/>
  <c r="E93" i="14"/>
  <c r="E77" i="14"/>
  <c r="E69" i="14"/>
  <c r="E61" i="14"/>
  <c r="E50" i="14"/>
  <c r="E42" i="14"/>
  <c r="E33" i="14"/>
  <c r="E4" i="14"/>
  <c r="E47" i="14"/>
  <c r="E71" i="14"/>
  <c r="F3" i="14"/>
  <c r="F4" i="14"/>
  <c r="F5" i="14"/>
  <c r="E26" i="14"/>
  <c r="E25" i="14"/>
  <c r="E24" i="14"/>
  <c r="E23" i="14"/>
  <c r="E29" i="14"/>
  <c r="E28" i="14"/>
  <c r="E27" i="14"/>
  <c r="H46" i="19"/>
  <c r="H49" i="19"/>
  <c r="H53" i="19"/>
  <c r="H57" i="19"/>
  <c r="H61" i="19"/>
  <c r="H65" i="19"/>
  <c r="H69" i="19"/>
  <c r="H73" i="19"/>
  <c r="H77" i="19"/>
  <c r="H81" i="19"/>
  <c r="H85" i="19"/>
  <c r="H89" i="19"/>
  <c r="H93" i="19"/>
  <c r="H97" i="19"/>
  <c r="H101" i="19"/>
  <c r="H109" i="19"/>
  <c r="H50" i="19"/>
  <c r="H54" i="19"/>
  <c r="H62" i="19"/>
  <c r="H70" i="19"/>
  <c r="H82" i="19"/>
  <c r="H90" i="19"/>
  <c r="H98" i="19"/>
  <c r="H58" i="19"/>
  <c r="H66" i="19"/>
  <c r="H78" i="19"/>
  <c r="H86" i="19"/>
  <c r="H94" i="19"/>
  <c r="H102" i="19"/>
  <c r="H114" i="19"/>
  <c r="H47" i="19"/>
  <c r="H51" i="19"/>
  <c r="H55" i="19"/>
  <c r="H59" i="19"/>
  <c r="H63" i="19"/>
  <c r="H67" i="19"/>
  <c r="H71" i="19"/>
  <c r="H79" i="19"/>
  <c r="H83" i="19"/>
  <c r="H87" i="19"/>
  <c r="H91" i="19"/>
  <c r="H95" i="19"/>
  <c r="H99" i="19"/>
  <c r="H103" i="19"/>
  <c r="H115" i="19"/>
  <c r="H48" i="19"/>
  <c r="H52" i="19"/>
  <c r="H56" i="19"/>
  <c r="H64" i="19"/>
  <c r="H68" i="19"/>
  <c r="H72" i="19"/>
  <c r="H80" i="19"/>
  <c r="H84" i="19"/>
  <c r="H88" i="19"/>
  <c r="H92" i="19"/>
  <c r="H96" i="19"/>
  <c r="H100" i="19"/>
  <c r="H104" i="19"/>
  <c r="H116" i="19"/>
  <c r="H4" i="19"/>
  <c r="H5" i="19"/>
  <c r="H6" i="19"/>
  <c r="I37" i="16"/>
  <c r="I85" i="16"/>
  <c r="I107" i="16"/>
  <c r="I30" i="16"/>
  <c r="I115" i="16"/>
  <c r="I33" i="16"/>
  <c r="I86" i="16"/>
  <c r="I27" i="17"/>
  <c r="G56" i="14"/>
  <c r="I102" i="15"/>
  <c r="G36" i="14"/>
  <c r="I83" i="17"/>
  <c r="G46" i="14"/>
  <c r="I119" i="15"/>
  <c r="I30" i="17"/>
  <c r="I29" i="17"/>
  <c r="I14" i="18"/>
  <c r="I93" i="18"/>
  <c r="G43" i="14"/>
  <c r="I86" i="18"/>
  <c r="K33" i="15"/>
  <c r="I83" i="18"/>
  <c r="G54" i="14"/>
  <c r="I20" i="18"/>
  <c r="I77" i="17"/>
  <c r="I111" i="18"/>
  <c r="I96" i="18"/>
  <c r="I127" i="15"/>
  <c r="K28" i="15"/>
  <c r="I12" i="18"/>
  <c r="G62" i="14"/>
  <c r="I13" i="18"/>
  <c r="I53" i="17"/>
  <c r="G64" i="14"/>
  <c r="G69" i="14"/>
  <c r="I99" i="15"/>
  <c r="I9" i="18"/>
  <c r="G57" i="14"/>
  <c r="I98" i="18"/>
  <c r="I112" i="18"/>
  <c r="I72" i="17"/>
  <c r="I95" i="16"/>
  <c r="I103" i="16"/>
  <c r="I43" i="17"/>
  <c r="G35" i="14"/>
  <c r="G4" i="14"/>
  <c r="I61" i="17"/>
  <c r="I84" i="18"/>
  <c r="I49" i="17"/>
  <c r="I101" i="18"/>
  <c r="G39" i="14"/>
  <c r="G80" i="14"/>
  <c r="I107" i="15"/>
  <c r="I31" i="17"/>
  <c r="I91" i="17"/>
  <c r="I37" i="17"/>
  <c r="K31" i="15"/>
  <c r="I10" i="15"/>
  <c r="I82" i="18"/>
  <c r="I113" i="15"/>
  <c r="G78" i="14"/>
  <c r="G33" i="14"/>
  <c r="I11" i="18"/>
  <c r="I68" i="17"/>
  <c r="I92" i="15"/>
  <c r="I33" i="17"/>
  <c r="I10" i="18"/>
  <c r="I94" i="18"/>
  <c r="I109" i="18"/>
  <c r="I96" i="15"/>
  <c r="G66" i="14"/>
  <c r="I99" i="18"/>
  <c r="G67" i="14"/>
  <c r="G86" i="14"/>
  <c r="I36" i="17"/>
  <c r="K23" i="15"/>
  <c r="G58" i="14"/>
  <c r="I95" i="18"/>
  <c r="G41" i="14"/>
  <c r="I35" i="17"/>
  <c r="I122" i="15"/>
  <c r="I95" i="15"/>
  <c r="I111" i="15"/>
  <c r="I80" i="17"/>
  <c r="K32" i="15"/>
  <c r="I130" i="15"/>
  <c r="K34" i="15"/>
  <c r="I5" i="15"/>
  <c r="G31" i="14"/>
  <c r="I73" i="17"/>
  <c r="I88" i="18"/>
  <c r="I57" i="17"/>
  <c r="I11" i="16"/>
  <c r="I97" i="16"/>
  <c r="I6" i="17"/>
  <c r="I125" i="15"/>
  <c r="I15" i="18"/>
  <c r="I7" i="15"/>
  <c r="I18" i="18"/>
  <c r="I54" i="17"/>
  <c r="I114" i="18"/>
  <c r="I114" i="16"/>
  <c r="I13" i="16"/>
  <c r="I29" i="16"/>
  <c r="I87" i="16"/>
  <c r="I93" i="16"/>
  <c r="I101" i="16"/>
  <c r="I90" i="16"/>
  <c r="I55" i="17"/>
  <c r="I81" i="18"/>
  <c r="G73" i="14"/>
  <c r="G26" i="14"/>
  <c r="K30" i="15"/>
  <c r="I87" i="18"/>
  <c r="I84" i="17"/>
  <c r="I93" i="15"/>
  <c r="I7" i="17"/>
  <c r="I9" i="17"/>
  <c r="I110" i="18"/>
  <c r="G38" i="14"/>
  <c r="I118" i="18"/>
  <c r="I86" i="17"/>
  <c r="I5" i="18"/>
  <c r="I82" i="17"/>
  <c r="I6" i="18"/>
  <c r="I131" i="15"/>
  <c r="I76" i="17"/>
  <c r="I94" i="15"/>
  <c r="G65" i="14"/>
  <c r="G5" i="14"/>
  <c r="I103" i="15"/>
  <c r="I104" i="15"/>
  <c r="I119" i="18"/>
  <c r="I103" i="18"/>
  <c r="I9" i="16"/>
  <c r="I26" i="16"/>
  <c r="I17" i="18"/>
  <c r="I62" i="17"/>
  <c r="G71" i="14"/>
  <c r="G42" i="14"/>
  <c r="I79" i="17"/>
  <c r="G24" i="14"/>
  <c r="G50" i="14"/>
  <c r="I7" i="18"/>
  <c r="I16" i="18"/>
  <c r="I123" i="15"/>
  <c r="I129" i="15"/>
  <c r="I115" i="18"/>
  <c r="K29" i="15"/>
  <c r="I85" i="17"/>
  <c r="G72" i="14"/>
  <c r="I116" i="15"/>
  <c r="I107" i="18"/>
  <c r="I63" i="17"/>
  <c r="I108" i="15"/>
  <c r="I67" i="17"/>
  <c r="I81" i="17"/>
  <c r="I78" i="17"/>
  <c r="I19" i="18"/>
  <c r="I105" i="18"/>
  <c r="I106" i="15"/>
  <c r="G60" i="14"/>
  <c r="I70" i="17"/>
  <c r="L12" i="20"/>
  <c r="I98" i="15"/>
  <c r="I34" i="17"/>
  <c r="I32" i="17"/>
  <c r="G23" i="14"/>
  <c r="I106" i="18"/>
  <c r="I90" i="18"/>
  <c r="I59" i="17"/>
  <c r="I80" i="18"/>
  <c r="I8" i="15"/>
  <c r="I100" i="18"/>
  <c r="I75" i="17"/>
  <c r="I117" i="15"/>
  <c r="G48" i="14"/>
  <c r="I87" i="17"/>
  <c r="I58" i="17"/>
  <c r="G75" i="14"/>
  <c r="G32" i="14"/>
  <c r="I97" i="18"/>
  <c r="I128" i="15"/>
  <c r="G49" i="14"/>
  <c r="G3" i="14"/>
  <c r="I69" i="17"/>
  <c r="I46" i="17"/>
  <c r="I89" i="18"/>
  <c r="I90" i="17"/>
  <c r="I116" i="16"/>
  <c r="G25" i="14"/>
  <c r="I94" i="17"/>
  <c r="I109" i="15"/>
  <c r="G34" i="14"/>
  <c r="G44" i="14"/>
  <c r="I52" i="17"/>
  <c r="G92" i="14"/>
  <c r="I94" i="16"/>
  <c r="I80" i="16"/>
  <c r="I106" i="16"/>
  <c r="I112" i="16"/>
  <c r="I110" i="16"/>
  <c r="I31" i="16"/>
  <c r="I46" i="16"/>
  <c r="I84" i="16"/>
  <c r="I65" i="17"/>
  <c r="I124" i="15"/>
  <c r="I8" i="18"/>
  <c r="G55" i="14"/>
  <c r="I97" i="15"/>
  <c r="I85" i="18"/>
  <c r="I110" i="15"/>
  <c r="G59" i="14"/>
  <c r="I117" i="18"/>
  <c r="K24" i="15"/>
  <c r="I115" i="15"/>
  <c r="G40" i="14"/>
  <c r="G70" i="14"/>
  <c r="I100" i="15"/>
  <c r="I118" i="15"/>
  <c r="I104" i="16"/>
  <c r="I118" i="16"/>
  <c r="I100" i="16"/>
  <c r="I98" i="16"/>
  <c r="I35" i="16"/>
  <c r="I7" i="16"/>
  <c r="I10" i="16"/>
  <c r="I36" i="16"/>
  <c r="I109" i="16"/>
  <c r="G77" i="14"/>
  <c r="G47" i="14"/>
  <c r="I104" i="18"/>
  <c r="G30" i="14"/>
  <c r="I64" i="17"/>
  <c r="I113" i="18"/>
  <c r="G79" i="14"/>
  <c r="I92" i="17"/>
  <c r="I28" i="17"/>
  <c r="I11" i="15"/>
  <c r="G45" i="14"/>
  <c r="I108" i="18"/>
  <c r="I32" i="16"/>
  <c r="I81" i="16"/>
  <c r="I5" i="17"/>
  <c r="K25" i="15"/>
  <c r="I95" i="17"/>
  <c r="I121" i="15"/>
  <c r="I24" i="16"/>
  <c r="I102" i="16"/>
  <c r="I5" i="16"/>
  <c r="I38" i="16"/>
  <c r="I92" i="16"/>
  <c r="I34" i="16"/>
  <c r="I8" i="16"/>
  <c r="I111" i="16"/>
  <c r="I60" i="17"/>
  <c r="I91" i="18"/>
  <c r="I105" i="15"/>
  <c r="G61" i="14"/>
  <c r="G29" i="14"/>
  <c r="I126" i="15"/>
  <c r="G63" i="14"/>
  <c r="I116" i="18"/>
  <c r="I25" i="16"/>
  <c r="G68" i="14"/>
  <c r="G27" i="14"/>
  <c r="I101" i="15"/>
  <c r="G76" i="14"/>
  <c r="I108" i="16"/>
  <c r="I12" i="16"/>
  <c r="I27" i="16"/>
  <c r="I28" i="16"/>
  <c r="I117" i="16"/>
  <c r="I39" i="16"/>
  <c r="I23" i="16"/>
  <c r="I6" i="16"/>
  <c r="I14" i="16"/>
  <c r="I40" i="16"/>
  <c r="I92" i="18"/>
  <c r="I120" i="15"/>
  <c r="I56" i="17"/>
  <c r="G91" i="14"/>
  <c r="I102" i="18"/>
  <c r="I91" i="16"/>
  <c r="G74" i="14"/>
  <c r="I88" i="17"/>
  <c r="I74" i="17"/>
  <c r="I89" i="16"/>
  <c r="I88" i="16"/>
  <c r="I96" i="16"/>
  <c r="I119" i="16"/>
  <c r="I99" i="16"/>
  <c r="I82" i="16"/>
  <c r="I105" i="16"/>
  <c r="I83" i="16"/>
  <c r="I26" i="17"/>
  <c r="I6" i="15"/>
  <c r="G93" i="14"/>
  <c r="I71" i="17"/>
  <c r="I112" i="15"/>
  <c r="I8" i="17"/>
  <c r="I89" i="17"/>
  <c r="G28" i="14"/>
  <c r="I93" i="17"/>
  <c r="I9" i="15"/>
  <c r="G81" i="14"/>
  <c r="I66" i="17"/>
  <c r="I113" i="16"/>
  <c r="K26" i="15"/>
  <c r="I114" i="15"/>
  <c r="K27" i="15"/>
  <c r="AD8" i="19"/>
  <c r="T82" i="19"/>
  <c r="AD78" i="19"/>
  <c r="AD111" i="19"/>
  <c r="AX98" i="19"/>
  <c r="AN32" i="19"/>
  <c r="T49" i="19"/>
  <c r="AX8" i="19"/>
  <c r="AX104" i="19"/>
  <c r="AX14" i="19"/>
  <c r="AN93" i="19"/>
  <c r="AD108" i="19"/>
  <c r="AD115" i="19"/>
  <c r="AD81" i="19"/>
  <c r="AN35" i="19"/>
  <c r="AX95" i="19"/>
  <c r="AX79" i="19"/>
  <c r="AN108" i="19"/>
  <c r="AD6" i="19"/>
  <c r="AN107" i="19"/>
  <c r="AD109" i="19"/>
  <c r="J103" i="19"/>
  <c r="AX78" i="19"/>
  <c r="T97" i="19"/>
  <c r="J55" i="19"/>
  <c r="AD88" i="19"/>
  <c r="AD98" i="19"/>
  <c r="AX92" i="19"/>
  <c r="J47" i="19"/>
  <c r="AN25" i="19"/>
  <c r="AN99" i="19"/>
  <c r="AX114" i="19"/>
  <c r="J77" i="19"/>
  <c r="J99" i="19"/>
  <c r="T98" i="19"/>
  <c r="AN23" i="19"/>
  <c r="AN9" i="19"/>
  <c r="AD82" i="19"/>
  <c r="T77" i="19"/>
  <c r="AD10" i="19"/>
  <c r="AL2" i="19"/>
  <c r="AN100" i="19"/>
  <c r="AD96" i="19"/>
  <c r="J79" i="19"/>
  <c r="AD105" i="19"/>
  <c r="AX24" i="19"/>
  <c r="T115" i="19"/>
  <c r="AX116" i="19"/>
  <c r="J4" i="19"/>
  <c r="AD104" i="19"/>
  <c r="J86" i="19"/>
  <c r="T59" i="19"/>
  <c r="AX18" i="19"/>
  <c r="J115" i="19"/>
  <c r="AX90" i="19"/>
  <c r="AN81" i="19"/>
  <c r="J6" i="19"/>
  <c r="J72" i="19"/>
  <c r="AN38" i="19"/>
  <c r="AN79" i="19"/>
  <c r="AX93" i="19"/>
  <c r="AN77" i="19"/>
  <c r="AX11" i="19"/>
  <c r="AX16" i="19"/>
  <c r="J84" i="19"/>
  <c r="AN109" i="19"/>
  <c r="AN30" i="19"/>
  <c r="AN91" i="19"/>
  <c r="AX101" i="19"/>
  <c r="AN6" i="19"/>
  <c r="AD12" i="19"/>
  <c r="J78" i="19"/>
  <c r="T54" i="19"/>
  <c r="AN45" i="19"/>
  <c r="J63" i="19"/>
  <c r="AD79" i="19"/>
  <c r="AN78" i="19"/>
  <c r="AX107" i="19"/>
  <c r="AX22" i="19"/>
  <c r="T114" i="19"/>
  <c r="AD110" i="19"/>
  <c r="J59" i="19"/>
  <c r="AD94" i="19"/>
  <c r="AD113" i="19"/>
  <c r="AD103" i="19"/>
  <c r="J91" i="19"/>
  <c r="J80" i="19"/>
  <c r="AN90" i="19"/>
  <c r="T86" i="19"/>
  <c r="AX111" i="19"/>
  <c r="AN110" i="19"/>
  <c r="T89" i="19"/>
  <c r="AX106" i="19"/>
  <c r="R2" i="19"/>
  <c r="T10" i="19"/>
  <c r="T50" i="19"/>
  <c r="AX83" i="19"/>
  <c r="T105" i="19"/>
  <c r="AD77" i="19"/>
  <c r="AX13" i="19"/>
  <c r="AX77" i="19"/>
  <c r="AN11" i="19"/>
  <c r="J49" i="19"/>
  <c r="AN103" i="19"/>
  <c r="AX26" i="19"/>
  <c r="AN89" i="19"/>
  <c r="J116" i="19"/>
  <c r="T80" i="19"/>
  <c r="AD86" i="19"/>
  <c r="AD95" i="19"/>
  <c r="AX7" i="19"/>
  <c r="T93" i="19"/>
  <c r="J90" i="19"/>
  <c r="J46" i="19"/>
  <c r="T111" i="19"/>
  <c r="J48" i="19"/>
  <c r="J101" i="19"/>
  <c r="AN14" i="19"/>
  <c r="AX113" i="19"/>
  <c r="J89" i="19"/>
  <c r="AN22" i="19"/>
  <c r="T52" i="19"/>
  <c r="AD90" i="19"/>
  <c r="AX6" i="19"/>
  <c r="AX28" i="19"/>
  <c r="J92" i="19"/>
  <c r="T106" i="19"/>
  <c r="AD116" i="19"/>
  <c r="T74" i="19"/>
  <c r="AX30" i="19"/>
  <c r="AN39" i="19"/>
  <c r="J102" i="19"/>
  <c r="AN33" i="19"/>
  <c r="T91" i="19"/>
  <c r="AD100" i="19"/>
  <c r="AX85" i="19"/>
  <c r="AX17" i="19"/>
  <c r="J58" i="19"/>
  <c r="AX29" i="19"/>
  <c r="AN101" i="19"/>
  <c r="T70" i="19"/>
  <c r="T104" i="19"/>
  <c r="AX87" i="19"/>
  <c r="AN12" i="19"/>
  <c r="AN86" i="19"/>
  <c r="J65" i="19"/>
  <c r="T100" i="19"/>
  <c r="AN112" i="19"/>
  <c r="T99" i="19"/>
  <c r="AN36" i="19"/>
  <c r="T60" i="19"/>
  <c r="AD89" i="19"/>
  <c r="T110" i="19"/>
  <c r="J64" i="19"/>
  <c r="J67" i="19"/>
  <c r="T8" i="19"/>
  <c r="AD7" i="19"/>
  <c r="T113" i="19"/>
  <c r="AX12" i="19"/>
  <c r="T6" i="19"/>
  <c r="AX21" i="19"/>
  <c r="AX86" i="19"/>
  <c r="AD11" i="19"/>
  <c r="AN34" i="19"/>
  <c r="AX108" i="19"/>
  <c r="AN82" i="19"/>
  <c r="J61" i="19"/>
  <c r="AD101" i="19"/>
  <c r="AN80" i="19"/>
  <c r="T109" i="19"/>
  <c r="AN26" i="19"/>
  <c r="T67" i="19"/>
  <c r="J104" i="19"/>
  <c r="J114" i="19"/>
  <c r="AD106" i="19"/>
  <c r="AX109" i="19"/>
  <c r="AD9" i="19"/>
  <c r="AX25" i="19"/>
  <c r="AD99" i="19"/>
  <c r="AD92" i="19"/>
  <c r="J109" i="19"/>
  <c r="AX105" i="19"/>
  <c r="T102" i="19"/>
  <c r="J71" i="19"/>
  <c r="J66" i="19"/>
  <c r="J52" i="19"/>
  <c r="J53" i="19"/>
  <c r="AN106" i="19"/>
  <c r="T76" i="19"/>
  <c r="J98" i="19"/>
  <c r="T103" i="19"/>
  <c r="J96" i="19"/>
  <c r="T75" i="19"/>
  <c r="J68" i="19"/>
  <c r="J56" i="19"/>
  <c r="AN115" i="19"/>
  <c r="T84" i="19"/>
  <c r="AX94" i="19"/>
  <c r="AX99" i="19"/>
  <c r="AD97" i="19"/>
  <c r="J82" i="19"/>
  <c r="AN94" i="19"/>
  <c r="T83" i="19"/>
  <c r="AV2" i="19"/>
  <c r="AN116" i="19"/>
  <c r="AN105" i="19"/>
  <c r="J83" i="19"/>
  <c r="J93" i="19"/>
  <c r="AD93" i="19"/>
  <c r="AX97" i="19"/>
  <c r="J94" i="19"/>
  <c r="AD112" i="19"/>
  <c r="J51" i="19"/>
  <c r="AX96" i="19"/>
  <c r="T101" i="19"/>
  <c r="AN97" i="19"/>
  <c r="J87" i="19"/>
  <c r="T7" i="19"/>
  <c r="AN10" i="19"/>
  <c r="AX15" i="19"/>
  <c r="AX23" i="19"/>
  <c r="J100" i="19"/>
  <c r="AN84" i="19"/>
  <c r="AN8" i="19"/>
  <c r="T58" i="19"/>
  <c r="AN92" i="19"/>
  <c r="AX91" i="19"/>
  <c r="T55" i="19"/>
  <c r="T57" i="19"/>
  <c r="AX27" i="19"/>
  <c r="AN96" i="19"/>
  <c r="AX31" i="19"/>
  <c r="AX115" i="19"/>
  <c r="AD85" i="19"/>
  <c r="AD87" i="19"/>
  <c r="J81" i="19"/>
  <c r="AD83" i="19"/>
  <c r="J62" i="19"/>
  <c r="T64" i="19"/>
  <c r="AD80" i="19"/>
  <c r="AX81" i="19"/>
  <c r="T107" i="19"/>
  <c r="AX82" i="19"/>
  <c r="T108" i="19"/>
  <c r="T53" i="19"/>
  <c r="T95" i="19"/>
  <c r="AX102" i="19"/>
  <c r="AX20" i="19"/>
  <c r="H2" i="19"/>
  <c r="T116" i="19"/>
  <c r="AN24" i="19"/>
  <c r="AX110" i="19"/>
  <c r="AX19" i="19"/>
  <c r="AN15" i="19"/>
  <c r="AN27" i="19"/>
  <c r="T85" i="19"/>
  <c r="J57" i="19"/>
  <c r="T94" i="19"/>
  <c r="T88" i="19"/>
  <c r="AN83" i="19"/>
  <c r="AX32" i="19"/>
  <c r="AN95" i="19"/>
  <c r="J97" i="19"/>
  <c r="AX100" i="19"/>
  <c r="AX33" i="19"/>
  <c r="T92" i="19"/>
  <c r="J5" i="19"/>
  <c r="AD84" i="19"/>
  <c r="AD114" i="19"/>
  <c r="AX103" i="19"/>
  <c r="J95" i="19"/>
  <c r="AX80" i="19"/>
  <c r="AN113" i="19"/>
  <c r="AX88" i="19"/>
  <c r="T81" i="19"/>
  <c r="J88" i="19"/>
  <c r="J50" i="19"/>
  <c r="AN98" i="19"/>
  <c r="AN28" i="19"/>
  <c r="T79" i="19"/>
  <c r="J54" i="19"/>
  <c r="AD91" i="19"/>
  <c r="AX112" i="19"/>
  <c r="AN104" i="19"/>
  <c r="T73" i="19"/>
  <c r="T51" i="19"/>
  <c r="J69" i="19"/>
  <c r="AN88" i="19"/>
  <c r="T112" i="19"/>
  <c r="T87" i="19"/>
  <c r="T9" i="19"/>
  <c r="AX9" i="19"/>
  <c r="AN31" i="19"/>
  <c r="AD102" i="19"/>
  <c r="AX10" i="19"/>
  <c r="AN102" i="19"/>
  <c r="T78" i="19"/>
  <c r="J73" i="19"/>
  <c r="AN29" i="19"/>
  <c r="AD107" i="19"/>
  <c r="AN87" i="19"/>
  <c r="J85" i="19"/>
  <c r="T96" i="19"/>
  <c r="T90" i="19"/>
  <c r="T56" i="19"/>
  <c r="AN7" i="19"/>
  <c r="AN13" i="19"/>
  <c r="AX84" i="19"/>
  <c r="AN85" i="19"/>
  <c r="AX89" i="19"/>
  <c r="AN37" i="19"/>
  <c r="J70" i="19"/>
  <c r="AN114" i="19"/>
  <c r="AN111" i="19"/>
  <c r="N26" i="15" l="1"/>
  <c r="N28" i="15"/>
  <c r="N21" i="15"/>
  <c r="N22" i="15"/>
  <c r="N30" i="15"/>
  <c r="N23" i="15"/>
  <c r="N27" i="15"/>
  <c r="N31" i="15"/>
  <c r="N29" i="15"/>
  <c r="N24" i="15"/>
  <c r="N25" i="15"/>
  <c r="N32" i="15"/>
  <c r="N84" i="15"/>
  <c r="I48" i="14"/>
  <c r="O28" i="15"/>
  <c r="I44" i="14"/>
  <c r="T26" i="15"/>
  <c r="I62" i="14"/>
  <c r="K16" i="18"/>
  <c r="T31" i="15"/>
  <c r="I67" i="14"/>
  <c r="T32" i="15"/>
  <c r="U24" i="15"/>
  <c r="L40" i="16"/>
  <c r="K8" i="15"/>
  <c r="I65" i="14"/>
  <c r="I43" i="14"/>
  <c r="L35" i="16"/>
  <c r="K15" i="18"/>
  <c r="O23" i="15"/>
  <c r="P24" i="15"/>
  <c r="K11" i="15"/>
  <c r="U30" i="15"/>
  <c r="I54" i="14"/>
  <c r="L38" i="16"/>
  <c r="I73" i="14"/>
  <c r="I4" i="14"/>
  <c r="L36" i="16"/>
  <c r="I64" i="14"/>
  <c r="L34" i="16"/>
  <c r="L9" i="16"/>
  <c r="P22" i="15"/>
  <c r="L37" i="16"/>
  <c r="U23" i="15"/>
  <c r="K9" i="17"/>
  <c r="L5" i="16"/>
  <c r="I61" i="14"/>
  <c r="K5" i="15"/>
  <c r="L12" i="16"/>
  <c r="P30" i="15"/>
  <c r="T28" i="15"/>
  <c r="I71" i="14"/>
  <c r="T24" i="15"/>
  <c r="L8" i="16"/>
  <c r="P31" i="15"/>
  <c r="I63" i="14"/>
  <c r="L11" i="16"/>
  <c r="L33" i="16"/>
  <c r="U22" i="15"/>
  <c r="I45" i="14"/>
  <c r="I57" i="14"/>
  <c r="U29" i="15"/>
  <c r="I49" i="14"/>
  <c r="O25" i="15"/>
  <c r="K18" i="18"/>
  <c r="O31" i="15"/>
  <c r="I68" i="14"/>
  <c r="I59" i="14"/>
  <c r="U27" i="15"/>
  <c r="I36" i="14"/>
  <c r="I35" i="14"/>
  <c r="P32" i="15"/>
  <c r="K6" i="15"/>
  <c r="K7" i="15"/>
  <c r="K6" i="17"/>
  <c r="P29" i="15"/>
  <c r="I58" i="14"/>
  <c r="I55" i="14"/>
  <c r="U31" i="15"/>
  <c r="L32" i="16"/>
  <c r="T21" i="15"/>
  <c r="I50" i="14"/>
  <c r="K6" i="18"/>
  <c r="U21" i="15"/>
  <c r="I66" i="14"/>
  <c r="L7" i="16"/>
  <c r="I34" i="14"/>
  <c r="I33" i="14"/>
  <c r="I40" i="14"/>
  <c r="K5" i="17"/>
  <c r="U32" i="15"/>
  <c r="I42" i="14"/>
  <c r="P25" i="15"/>
  <c r="L39" i="16"/>
  <c r="L31" i="16"/>
  <c r="L13" i="16"/>
  <c r="O26" i="15"/>
  <c r="O24" i="15"/>
  <c r="O22" i="15"/>
  <c r="I47" i="14"/>
  <c r="K9" i="15"/>
  <c r="O27" i="15"/>
  <c r="I56" i="14"/>
  <c r="T29" i="15"/>
  <c r="I41" i="14"/>
  <c r="T25" i="15"/>
  <c r="K8" i="17"/>
  <c r="P27" i="15"/>
  <c r="I70" i="14"/>
  <c r="K7" i="17"/>
  <c r="I74" i="14"/>
  <c r="I46" i="14"/>
  <c r="K17" i="18"/>
  <c r="P28" i="15"/>
  <c r="I60" i="14"/>
  <c r="I39" i="14"/>
  <c r="P23" i="15"/>
  <c r="U26" i="15"/>
  <c r="I72" i="14"/>
  <c r="P21" i="15"/>
  <c r="K5" i="18"/>
  <c r="T23" i="15"/>
  <c r="I5" i="14"/>
  <c r="O30" i="15"/>
  <c r="L14" i="16"/>
  <c r="I38" i="14"/>
  <c r="K14" i="18"/>
  <c r="O29" i="15"/>
  <c r="L10" i="16"/>
  <c r="O21" i="15"/>
  <c r="O32" i="15"/>
  <c r="U28" i="15"/>
  <c r="I69" i="14"/>
  <c r="T30" i="15"/>
  <c r="T27" i="15"/>
  <c r="T22" i="15"/>
  <c r="P26" i="15"/>
  <c r="L6" i="16"/>
  <c r="U25" i="15"/>
  <c r="K10" i="15"/>
  <c r="O10" i="16" l="1"/>
  <c r="O11" i="16"/>
  <c r="O5" i="16"/>
  <c r="N17" i="18"/>
  <c r="O34" i="16"/>
  <c r="L65" i="14"/>
  <c r="O31" i="16"/>
  <c r="N16" i="18"/>
  <c r="L38" i="14"/>
  <c r="L69" i="14"/>
  <c r="L67" i="14"/>
  <c r="O35" i="16"/>
  <c r="O37" i="16"/>
  <c r="O38" i="16"/>
  <c r="O7" i="16"/>
  <c r="L58" i="14"/>
  <c r="N9" i="15"/>
  <c r="L54" i="14"/>
  <c r="L61" i="14"/>
  <c r="L40" i="14"/>
  <c r="N5" i="17"/>
  <c r="L64" i="14"/>
  <c r="L59" i="14"/>
  <c r="L45" i="14"/>
  <c r="N18" i="18"/>
  <c r="L4" i="14"/>
  <c r="L32" i="14"/>
  <c r="O8" i="16"/>
  <c r="L33" i="14"/>
  <c r="N5" i="15"/>
  <c r="L47" i="14"/>
  <c r="L43" i="14"/>
  <c r="L71" i="14"/>
  <c r="L37" i="14"/>
  <c r="L42" i="14"/>
  <c r="N9" i="17"/>
  <c r="O30" i="16"/>
  <c r="N7" i="15"/>
  <c r="O33" i="16"/>
  <c r="O13" i="16"/>
  <c r="N5" i="18"/>
  <c r="N8" i="17"/>
  <c r="L31" i="14"/>
  <c r="L53" i="14"/>
  <c r="L52" i="14"/>
  <c r="O12" i="16"/>
  <c r="N7" i="17"/>
  <c r="L66" i="14"/>
  <c r="L36" i="14"/>
  <c r="L46" i="14"/>
  <c r="L48" i="14"/>
  <c r="N6" i="18"/>
  <c r="L70" i="14"/>
  <c r="O36" i="16"/>
  <c r="N14" i="18"/>
  <c r="O9" i="16"/>
  <c r="N8" i="15"/>
  <c r="L57" i="14"/>
  <c r="O32" i="16"/>
  <c r="L62" i="14"/>
  <c r="O6" i="16"/>
  <c r="L56" i="14"/>
  <c r="L44" i="14"/>
  <c r="L55" i="14"/>
  <c r="N6" i="17"/>
  <c r="O29" i="16"/>
  <c r="L60" i="14"/>
  <c r="L63" i="14"/>
  <c r="N15" i="18"/>
  <c r="L34" i="14"/>
  <c r="L68" i="14"/>
  <c r="L5" i="14"/>
  <c r="L72" i="14"/>
  <c r="L39" i="14"/>
  <c r="L41" i="14"/>
  <c r="O14" i="16"/>
  <c r="N10" i="15"/>
  <c r="N11" i="15"/>
  <c r="N6" i="15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P8" i="16"/>
  <c r="V6" i="16"/>
  <c r="Q12" i="16"/>
  <c r="N42" i="14"/>
  <c r="V31" i="16"/>
  <c r="S71" i="14"/>
  <c r="R65" i="14"/>
  <c r="Q10" i="16"/>
  <c r="R58" i="14"/>
  <c r="U5" i="16"/>
  <c r="P29" i="16"/>
  <c r="P9" i="16"/>
  <c r="U35" i="16"/>
  <c r="Q37" i="16"/>
  <c r="S36" i="14"/>
  <c r="Q9" i="16"/>
  <c r="P12" i="16"/>
  <c r="N48" i="14"/>
  <c r="R38" i="14"/>
  <c r="M66" i="14"/>
  <c r="S45" i="14"/>
  <c r="N40" i="14"/>
  <c r="M65" i="14"/>
  <c r="R47" i="14"/>
  <c r="Q32" i="16"/>
  <c r="U34" i="16"/>
  <c r="M72" i="14"/>
  <c r="M33" i="14"/>
  <c r="R37" i="14"/>
  <c r="V10" i="16"/>
  <c r="M42" i="14"/>
  <c r="U9" i="16"/>
  <c r="U37" i="16"/>
  <c r="P31" i="16"/>
  <c r="M56" i="14"/>
  <c r="N47" i="14"/>
  <c r="M48" i="14"/>
  <c r="N38" i="14"/>
  <c r="R53" i="14"/>
  <c r="S32" i="14"/>
  <c r="N53" i="14"/>
  <c r="R54" i="14"/>
  <c r="S67" i="14"/>
  <c r="R55" i="14"/>
  <c r="R71" i="14"/>
  <c r="M44" i="14"/>
  <c r="S57" i="14"/>
  <c r="N71" i="14"/>
  <c r="S44" i="14"/>
  <c r="N44" i="14"/>
  <c r="N39" i="14"/>
  <c r="R60" i="14"/>
  <c r="M53" i="14"/>
  <c r="S62" i="14"/>
  <c r="R69" i="14"/>
  <c r="M52" i="14"/>
  <c r="V32" i="16"/>
  <c r="V29" i="16"/>
  <c r="S55" i="14"/>
  <c r="R56" i="14"/>
  <c r="R46" i="14"/>
  <c r="M63" i="14"/>
  <c r="N68" i="14"/>
  <c r="S69" i="14"/>
  <c r="U31" i="16"/>
  <c r="R59" i="14"/>
  <c r="M58" i="14"/>
  <c r="N56" i="14"/>
  <c r="N72" i="14"/>
  <c r="P5" i="16"/>
  <c r="R32" i="14"/>
  <c r="N43" i="14"/>
  <c r="N66" i="14"/>
  <c r="P33" i="16"/>
  <c r="V13" i="16"/>
  <c r="M59" i="14"/>
  <c r="P14" i="16"/>
  <c r="Q33" i="16"/>
  <c r="R41" i="14"/>
  <c r="M40" i="14"/>
  <c r="N34" i="14"/>
  <c r="M45" i="14"/>
  <c r="V5" i="16"/>
  <c r="N63" i="14"/>
  <c r="N41" i="14"/>
  <c r="N54" i="14"/>
  <c r="Q34" i="16"/>
  <c r="M36" i="14"/>
  <c r="Q35" i="16"/>
  <c r="P34" i="16"/>
  <c r="N69" i="14"/>
  <c r="U29" i="16"/>
  <c r="R43" i="14"/>
  <c r="M55" i="14"/>
  <c r="S38" i="14"/>
  <c r="U14" i="16"/>
  <c r="N52" i="14"/>
  <c r="N64" i="14"/>
  <c r="S63" i="14"/>
  <c r="V34" i="16"/>
  <c r="P6" i="16"/>
  <c r="N62" i="14"/>
  <c r="M46" i="14"/>
  <c r="R72" i="14"/>
  <c r="V12" i="16"/>
  <c r="N45" i="14"/>
  <c r="N65" i="14"/>
  <c r="N67" i="14"/>
  <c r="U32" i="16"/>
  <c r="U13" i="16"/>
  <c r="U11" i="16"/>
  <c r="M64" i="14"/>
  <c r="N37" i="14"/>
  <c r="S41" i="14"/>
  <c r="V9" i="16"/>
  <c r="N32" i="14"/>
  <c r="S61" i="14"/>
  <c r="Q8" i="16"/>
  <c r="N33" i="14"/>
  <c r="V35" i="16"/>
  <c r="S54" i="14"/>
  <c r="V7" i="16"/>
  <c r="Q30" i="16"/>
  <c r="Q29" i="16"/>
  <c r="S66" i="14"/>
  <c r="R48" i="14"/>
  <c r="U8" i="16"/>
  <c r="P38" i="16"/>
  <c r="N46" i="14"/>
  <c r="R67" i="14"/>
  <c r="U33" i="16"/>
  <c r="M34" i="14"/>
  <c r="U38" i="16"/>
  <c r="M57" i="14"/>
  <c r="P10" i="16"/>
  <c r="Q36" i="16"/>
  <c r="P11" i="16"/>
  <c r="N59" i="14"/>
  <c r="Q14" i="16"/>
  <c r="S42" i="14"/>
  <c r="V14" i="16"/>
  <c r="R39" i="14"/>
  <c r="M62" i="14"/>
  <c r="S48" i="14"/>
  <c r="P37" i="16"/>
  <c r="Q31" i="16"/>
  <c r="M60" i="14"/>
  <c r="N36" i="14"/>
  <c r="U10" i="16"/>
  <c r="U30" i="16"/>
  <c r="S37" i="14"/>
  <c r="R52" i="14"/>
  <c r="R57" i="14"/>
  <c r="M67" i="14"/>
  <c r="M38" i="14"/>
  <c r="N31" i="14"/>
  <c r="N60" i="14"/>
  <c r="S33" i="14"/>
  <c r="V8" i="16"/>
  <c r="R64" i="14"/>
  <c r="S58" i="14"/>
  <c r="M70" i="14"/>
  <c r="P36" i="16"/>
  <c r="S52" i="14"/>
  <c r="S47" i="14"/>
  <c r="P35" i="16"/>
  <c r="Q11" i="16"/>
  <c r="S70" i="14"/>
  <c r="S59" i="14"/>
  <c r="U7" i="16"/>
  <c r="R70" i="14"/>
  <c r="R62" i="14"/>
  <c r="S64" i="14"/>
  <c r="Q13" i="16"/>
  <c r="S60" i="14"/>
  <c r="P13" i="16"/>
  <c r="M68" i="14"/>
  <c r="S72" i="14"/>
  <c r="M69" i="14"/>
  <c r="S53" i="14"/>
  <c r="R63" i="14"/>
  <c r="R45" i="14"/>
  <c r="V36" i="16"/>
  <c r="N55" i="14"/>
  <c r="M43" i="14"/>
  <c r="M61" i="14"/>
  <c r="N57" i="14"/>
  <c r="M41" i="14"/>
  <c r="S40" i="14"/>
  <c r="M47" i="14"/>
  <c r="S39" i="14"/>
  <c r="N70" i="14"/>
  <c r="S46" i="14"/>
  <c r="R66" i="14"/>
  <c r="V37" i="16"/>
  <c r="S34" i="14"/>
  <c r="P30" i="16"/>
  <c r="V11" i="16"/>
  <c r="U12" i="16"/>
  <c r="U6" i="16"/>
  <c r="R44" i="14"/>
  <c r="R40" i="14"/>
  <c r="S56" i="14"/>
  <c r="R68" i="14"/>
  <c r="S31" i="14"/>
  <c r="Q38" i="16"/>
  <c r="M54" i="14"/>
  <c r="M37" i="14"/>
  <c r="M71" i="14"/>
  <c r="U36" i="16"/>
  <c r="R34" i="14"/>
  <c r="V30" i="16"/>
  <c r="S65" i="14"/>
  <c r="N58" i="14"/>
  <c r="Q6" i="16"/>
  <c r="M31" i="14"/>
  <c r="R31" i="14"/>
  <c r="M32" i="14"/>
  <c r="Q5" i="16"/>
  <c r="V38" i="16"/>
  <c r="N61" i="14"/>
  <c r="P32" i="16"/>
  <c r="R33" i="14"/>
  <c r="M39" i="14"/>
  <c r="R61" i="14"/>
  <c r="R42" i="14"/>
  <c r="Q7" i="16"/>
  <c r="P7" i="16"/>
  <c r="R36" i="14"/>
  <c r="S43" i="14"/>
  <c r="V33" i="16"/>
  <c r="S68" i="14"/>
  <c r="AI23" i="16" l="1"/>
  <c r="AI22" i="16"/>
  <c r="AI21" i="16"/>
  <c r="AI20" i="16"/>
  <c r="AI19" i="16"/>
  <c r="AI18" i="16"/>
  <c r="AI17" i="16"/>
  <c r="AI16" i="16"/>
  <c r="AI15" i="16"/>
  <c r="AI14" i="16"/>
  <c r="AI13" i="16"/>
  <c r="AI12" i="16"/>
  <c r="AI11" i="16"/>
  <c r="C46" i="16"/>
  <c r="C30" i="16"/>
  <c r="C29" i="16"/>
  <c r="C28" i="16"/>
  <c r="C27" i="16"/>
  <c r="C26" i="16"/>
  <c r="C25" i="16"/>
  <c r="C24" i="16"/>
  <c r="C23" i="16"/>
  <c r="L29" i="16"/>
  <c r="L24" i="16"/>
  <c r="L30" i="16"/>
  <c r="L28" i="16"/>
  <c r="L46" i="16"/>
  <c r="L23" i="16"/>
  <c r="L27" i="16"/>
  <c r="L25" i="16"/>
  <c r="L26" i="16"/>
  <c r="O24" i="16" l="1"/>
  <c r="O26" i="16"/>
  <c r="O25" i="16"/>
  <c r="O27" i="16"/>
  <c r="O28" i="16"/>
  <c r="O44" i="16"/>
  <c r="O21" i="16"/>
  <c r="O23" i="16"/>
  <c r="O22" i="16"/>
  <c r="AH23" i="15"/>
  <c r="AH22" i="15"/>
  <c r="AH21" i="15"/>
  <c r="AH20" i="15"/>
  <c r="AH19" i="15"/>
  <c r="AH18" i="15"/>
  <c r="AH17" i="15"/>
  <c r="AH16" i="15"/>
  <c r="AH15" i="15"/>
  <c r="AH14" i="15"/>
  <c r="AH13" i="15"/>
  <c r="AH12" i="15"/>
  <c r="AH11" i="15"/>
  <c r="U26" i="16"/>
  <c r="Q25" i="16"/>
  <c r="V23" i="16"/>
  <c r="Q24" i="16"/>
  <c r="Q28" i="16"/>
  <c r="P44" i="16"/>
  <c r="U23" i="16"/>
  <c r="V24" i="16"/>
  <c r="Q44" i="16"/>
  <c r="U44" i="16"/>
  <c r="Q23" i="16"/>
  <c r="U25" i="16"/>
  <c r="P24" i="16"/>
  <c r="V44" i="16"/>
  <c r="V25" i="16"/>
  <c r="P25" i="16"/>
  <c r="V26" i="16"/>
  <c r="Q22" i="16"/>
  <c r="U27" i="16"/>
  <c r="P27" i="16"/>
  <c r="U22" i="16"/>
  <c r="V22" i="16"/>
  <c r="V28" i="16"/>
  <c r="Q26" i="16"/>
  <c r="P28" i="16"/>
  <c r="V27" i="16"/>
  <c r="P26" i="16"/>
  <c r="U28" i="16"/>
  <c r="Q27" i="16"/>
  <c r="U24" i="16"/>
  <c r="P23" i="16"/>
  <c r="P22" i="16"/>
  <c r="AF23" i="14" l="1"/>
  <c r="AF22" i="14"/>
  <c r="AF21" i="14"/>
  <c r="AF20" i="14"/>
  <c r="AF19" i="14"/>
  <c r="AF18" i="14"/>
  <c r="AF17" i="14"/>
  <c r="AF16" i="14"/>
  <c r="AF15" i="14"/>
  <c r="AF14" i="14"/>
  <c r="AF13" i="14"/>
  <c r="AF12" i="14"/>
  <c r="AF11" i="14"/>
  <c r="U1" i="14"/>
  <c r="K21" i="14"/>
  <c r="AJ13" i="15"/>
  <c r="AH19" i="14"/>
  <c r="AH17" i="14"/>
  <c r="AH23" i="14"/>
  <c r="AJ15" i="17"/>
  <c r="AH15" i="14"/>
  <c r="AK11" i="16"/>
  <c r="AK20" i="16"/>
  <c r="AK16" i="16"/>
  <c r="AK12" i="16"/>
  <c r="AJ16" i="15"/>
  <c r="AK23" i="16"/>
  <c r="AJ14" i="15"/>
  <c r="AH11" i="14"/>
  <c r="AH21" i="14"/>
  <c r="AJ22" i="17"/>
  <c r="AJ14" i="17"/>
  <c r="I3" i="14"/>
  <c r="AJ12" i="17"/>
  <c r="AJ18" i="15"/>
  <c r="AJ21" i="15"/>
  <c r="AK21" i="16"/>
  <c r="AH13" i="14"/>
  <c r="AJ17" i="17"/>
  <c r="AK15" i="16"/>
  <c r="AJ11" i="15"/>
  <c r="AJ15" i="15"/>
  <c r="AH20" i="14"/>
  <c r="AJ19" i="15"/>
  <c r="AH18" i="14"/>
  <c r="AJ21" i="17"/>
  <c r="AK22" i="16"/>
  <c r="AH12" i="14"/>
  <c r="AJ23" i="15"/>
  <c r="AJ18" i="17"/>
  <c r="AJ20" i="15"/>
  <c r="AJ11" i="17"/>
  <c r="AK19" i="16"/>
  <c r="AH22" i="14"/>
  <c r="AJ16" i="17"/>
  <c r="AK13" i="16"/>
  <c r="AK14" i="16"/>
  <c r="AJ13" i="17"/>
  <c r="AH14" i="14"/>
  <c r="AK18" i="16"/>
  <c r="AJ20" i="17"/>
  <c r="AJ12" i="15"/>
  <c r="AJ22" i="15"/>
  <c r="AJ23" i="17"/>
  <c r="AJ17" i="15"/>
  <c r="AJ19" i="17"/>
  <c r="AK17" i="16"/>
  <c r="AH16" i="14"/>
  <c r="C46" i="18" l="1"/>
  <c r="C45" i="18"/>
  <c r="C44" i="18"/>
  <c r="C43" i="18"/>
  <c r="C42" i="18"/>
  <c r="C41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23" i="18"/>
  <c r="C20" i="18"/>
  <c r="C19" i="18"/>
  <c r="C13" i="18"/>
  <c r="C12" i="18"/>
  <c r="C11" i="18"/>
  <c r="C10" i="18"/>
  <c r="C9" i="18"/>
  <c r="C8" i="18"/>
  <c r="C7" i="18"/>
  <c r="N3" i="18"/>
  <c r="M3" i="18"/>
  <c r="W1" i="18"/>
  <c r="N3" i="17"/>
  <c r="M3" i="17"/>
  <c r="W1" i="17"/>
  <c r="O3" i="16"/>
  <c r="N3" i="16"/>
  <c r="X1" i="16"/>
  <c r="I27" i="18"/>
  <c r="I31" i="18"/>
  <c r="I25" i="18"/>
  <c r="I81" i="14"/>
  <c r="I30" i="18"/>
  <c r="I23" i="18"/>
  <c r="I92" i="14"/>
  <c r="I25" i="14"/>
  <c r="I33" i="18"/>
  <c r="I75" i="14"/>
  <c r="I29" i="14"/>
  <c r="I91" i="14"/>
  <c r="G8" i="18"/>
  <c r="I34" i="18"/>
  <c r="G13" i="18"/>
  <c r="I80" i="14"/>
  <c r="I27" i="14"/>
  <c r="I86" i="14"/>
  <c r="I28" i="18"/>
  <c r="I32" i="14"/>
  <c r="I77" i="14"/>
  <c r="I26" i="18"/>
  <c r="I26" i="14"/>
  <c r="I78" i="14"/>
  <c r="I32" i="18"/>
  <c r="I24" i="14"/>
  <c r="G12" i="18"/>
  <c r="I93" i="14"/>
  <c r="I76" i="14"/>
  <c r="I79" i="14"/>
  <c r="I28" i="14"/>
  <c r="I30" i="14"/>
  <c r="I24" i="18"/>
  <c r="I31" i="14"/>
  <c r="G19" i="18"/>
  <c r="I23" i="14"/>
  <c r="I29" i="18"/>
  <c r="L90" i="14" l="1"/>
  <c r="L77" i="14"/>
  <c r="L26" i="14"/>
  <c r="L76" i="14"/>
  <c r="L74" i="14"/>
  <c r="L30" i="14"/>
  <c r="L91" i="14"/>
  <c r="L78" i="14"/>
  <c r="L25" i="14"/>
  <c r="L89" i="14"/>
  <c r="L73" i="14"/>
  <c r="L84" i="14"/>
  <c r="L24" i="14"/>
  <c r="L79" i="14"/>
  <c r="L23" i="14"/>
  <c r="L75" i="14"/>
  <c r="L28" i="14"/>
  <c r="L27" i="14"/>
  <c r="L29" i="14"/>
  <c r="L22" i="14"/>
  <c r="G112" i="18"/>
  <c r="G104" i="18"/>
  <c r="G96" i="18"/>
  <c r="G88" i="18"/>
  <c r="G80" i="18"/>
  <c r="G72" i="18"/>
  <c r="G64" i="18"/>
  <c r="G56" i="18"/>
  <c r="G118" i="18"/>
  <c r="G102" i="18"/>
  <c r="G86" i="18"/>
  <c r="G78" i="18"/>
  <c r="G62" i="18"/>
  <c r="G54" i="18"/>
  <c r="G117" i="18"/>
  <c r="G109" i="18"/>
  <c r="G101" i="18"/>
  <c r="G93" i="18"/>
  <c r="G85" i="18"/>
  <c r="G77" i="18"/>
  <c r="G69" i="18"/>
  <c r="G61" i="18"/>
  <c r="G53" i="18"/>
  <c r="G116" i="18"/>
  <c r="G108" i="18"/>
  <c r="G100" i="18"/>
  <c r="G92" i="18"/>
  <c r="G84" i="18"/>
  <c r="G76" i="18"/>
  <c r="G68" i="18"/>
  <c r="G60" i="18"/>
  <c r="G52" i="18"/>
  <c r="G107" i="18"/>
  <c r="G99" i="18"/>
  <c r="G91" i="18"/>
  <c r="G83" i="18"/>
  <c r="G75" i="18"/>
  <c r="G67" i="18"/>
  <c r="G59" i="18"/>
  <c r="G51" i="18"/>
  <c r="G106" i="18"/>
  <c r="G90" i="18"/>
  <c r="G82" i="18"/>
  <c r="G74" i="18"/>
  <c r="G58" i="18"/>
  <c r="G50" i="18"/>
  <c r="G119" i="18"/>
  <c r="G111" i="18"/>
  <c r="G103" i="18"/>
  <c r="G95" i="18"/>
  <c r="G87" i="18"/>
  <c r="G79" i="18"/>
  <c r="G71" i="18"/>
  <c r="G63" i="18"/>
  <c r="G55" i="18"/>
  <c r="G98" i="18"/>
  <c r="G66" i="18"/>
  <c r="G110" i="18"/>
  <c r="G94" i="18"/>
  <c r="G70" i="18"/>
  <c r="G114" i="18"/>
  <c r="G115" i="18"/>
  <c r="G113" i="18"/>
  <c r="G105" i="18"/>
  <c r="G97" i="18"/>
  <c r="G89" i="18"/>
  <c r="G81" i="18"/>
  <c r="G73" i="18"/>
  <c r="G65" i="18"/>
  <c r="G57" i="18"/>
  <c r="G49" i="18"/>
  <c r="G42" i="18"/>
  <c r="G34" i="18"/>
  <c r="G26" i="18"/>
  <c r="G40" i="18"/>
  <c r="G32" i="18"/>
  <c r="G24" i="18"/>
  <c r="G31" i="18"/>
  <c r="G46" i="18"/>
  <c r="G38" i="18"/>
  <c r="G30" i="18"/>
  <c r="G45" i="18"/>
  <c r="G37" i="18"/>
  <c r="G29" i="18"/>
  <c r="G36" i="18"/>
  <c r="G43" i="18"/>
  <c r="G41" i="18"/>
  <c r="G33" i="18"/>
  <c r="G25" i="18"/>
  <c r="G39" i="18"/>
  <c r="G44" i="18"/>
  <c r="G28" i="18"/>
  <c r="G35" i="18"/>
  <c r="G23" i="18"/>
  <c r="G27" i="18"/>
  <c r="M55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33" i="15"/>
  <c r="W1" i="15"/>
  <c r="M3" i="15"/>
  <c r="K3" i="14"/>
  <c r="M89" i="14"/>
  <c r="T4" i="18"/>
  <c r="N91" i="14"/>
  <c r="R79" i="14"/>
  <c r="M84" i="14"/>
  <c r="P21" i="17"/>
  <c r="R22" i="14"/>
  <c r="N29" i="14"/>
  <c r="R26" i="14"/>
  <c r="K31" i="18"/>
  <c r="S77" i="14"/>
  <c r="O20" i="17"/>
  <c r="N28" i="14"/>
  <c r="R25" i="14"/>
  <c r="O3" i="18"/>
  <c r="R90" i="14"/>
  <c r="T21" i="17"/>
  <c r="M77" i="14"/>
  <c r="O21" i="17"/>
  <c r="K30" i="18"/>
  <c r="S78" i="14"/>
  <c r="S30" i="14"/>
  <c r="U6" i="17"/>
  <c r="N76" i="14"/>
  <c r="R74" i="14"/>
  <c r="U21" i="17"/>
  <c r="S27" i="14"/>
  <c r="Q3" i="16"/>
  <c r="M91" i="14"/>
  <c r="V3" i="16"/>
  <c r="S84" i="14"/>
  <c r="U3" i="16"/>
  <c r="O44" i="17"/>
  <c r="M90" i="14"/>
  <c r="O5" i="18"/>
  <c r="N78" i="14"/>
  <c r="N27" i="14"/>
  <c r="K12" i="18"/>
  <c r="N23" i="14"/>
  <c r="R78" i="14"/>
  <c r="O43" i="18"/>
  <c r="R73" i="14"/>
  <c r="T6" i="18"/>
  <c r="N74" i="14"/>
  <c r="S22" i="14"/>
  <c r="M22" i="14"/>
  <c r="M23" i="14"/>
  <c r="P4" i="18"/>
  <c r="S29" i="14"/>
  <c r="P20" i="17"/>
  <c r="K32" i="18"/>
  <c r="O4" i="18"/>
  <c r="R84" i="14"/>
  <c r="O5" i="17"/>
  <c r="P3" i="18"/>
  <c r="T47" i="17"/>
  <c r="O41" i="18"/>
  <c r="T44" i="17"/>
  <c r="S75" i="14"/>
  <c r="R27" i="14"/>
  <c r="K28" i="18"/>
  <c r="R91" i="14"/>
  <c r="U4" i="18"/>
  <c r="S79" i="14"/>
  <c r="M30" i="14"/>
  <c r="U20" i="17"/>
  <c r="R76" i="14"/>
  <c r="P44" i="17"/>
  <c r="K27" i="18"/>
  <c r="P6" i="17"/>
  <c r="P5" i="17"/>
  <c r="R89" i="14"/>
  <c r="T3" i="18"/>
  <c r="M26" i="14"/>
  <c r="R24" i="14"/>
  <c r="P41" i="18"/>
  <c r="N26" i="14"/>
  <c r="K10" i="18"/>
  <c r="K8" i="18"/>
  <c r="N24" i="14"/>
  <c r="N30" i="14"/>
  <c r="T5" i="17"/>
  <c r="S28" i="14"/>
  <c r="K33" i="18"/>
  <c r="U6" i="18"/>
  <c r="T5" i="18"/>
  <c r="M29" i="14"/>
  <c r="K29" i="18"/>
  <c r="M28" i="14"/>
  <c r="U3" i="18"/>
  <c r="N89" i="14"/>
  <c r="S73" i="14"/>
  <c r="S24" i="14"/>
  <c r="P47" i="17"/>
  <c r="P6" i="18"/>
  <c r="R75" i="14"/>
  <c r="R23" i="14"/>
  <c r="M25" i="14"/>
  <c r="K13" i="18"/>
  <c r="M27" i="14"/>
  <c r="K34" i="18"/>
  <c r="K7" i="18"/>
  <c r="S91" i="14"/>
  <c r="S25" i="14"/>
  <c r="R30" i="14"/>
  <c r="K26" i="18"/>
  <c r="S74" i="14"/>
  <c r="T20" i="17"/>
  <c r="T43" i="18"/>
  <c r="O6" i="18"/>
  <c r="K19" i="18"/>
  <c r="M79" i="14"/>
  <c r="O47" i="17"/>
  <c r="T6" i="17"/>
  <c r="M24" i="14"/>
  <c r="N79" i="14"/>
  <c r="P3" i="17"/>
  <c r="P3" i="16"/>
  <c r="R77" i="14"/>
  <c r="S26" i="14"/>
  <c r="U5" i="18"/>
  <c r="U3" i="17"/>
  <c r="M73" i="14"/>
  <c r="U5" i="17"/>
  <c r="U44" i="17"/>
  <c r="O3" i="17"/>
  <c r="T41" i="18"/>
  <c r="S76" i="14"/>
  <c r="K20" i="18"/>
  <c r="N75" i="14"/>
  <c r="M74" i="14"/>
  <c r="U43" i="18"/>
  <c r="N90" i="14"/>
  <c r="N84" i="14"/>
  <c r="K11" i="18"/>
  <c r="P5" i="18"/>
  <c r="S89" i="14"/>
  <c r="K23" i="18"/>
  <c r="T3" i="17"/>
  <c r="P43" i="18"/>
  <c r="O6" i="17"/>
  <c r="M76" i="14"/>
  <c r="N22" i="14"/>
  <c r="M75" i="14"/>
  <c r="K25" i="18"/>
  <c r="S23" i="14"/>
  <c r="R28" i="14"/>
  <c r="K9" i="18"/>
  <c r="U47" i="17"/>
  <c r="R29" i="14"/>
  <c r="S90" i="14"/>
  <c r="M78" i="14"/>
  <c r="U41" i="18"/>
  <c r="N25" i="14"/>
  <c r="N77" i="14"/>
  <c r="K24" i="18"/>
  <c r="N73" i="14"/>
  <c r="N20" i="18" l="1"/>
  <c r="N12" i="18"/>
  <c r="N13" i="18"/>
  <c r="N10" i="18"/>
  <c r="N11" i="18"/>
  <c r="N8" i="18"/>
  <c r="N7" i="18"/>
  <c r="N19" i="18"/>
  <c r="N9" i="18"/>
  <c r="N31" i="18"/>
  <c r="N25" i="18"/>
  <c r="N21" i="18"/>
  <c r="N29" i="18"/>
  <c r="N22" i="18"/>
  <c r="N26" i="18"/>
  <c r="N27" i="18"/>
  <c r="N30" i="18"/>
  <c r="N24" i="18"/>
  <c r="N23" i="18"/>
  <c r="N28" i="18"/>
  <c r="N32" i="18"/>
  <c r="L3" i="14"/>
  <c r="N55" i="15"/>
  <c r="P16" i="18"/>
  <c r="P19" i="15"/>
  <c r="U13" i="18"/>
  <c r="P56" i="15"/>
  <c r="O70" i="15"/>
  <c r="P23" i="18"/>
  <c r="T12" i="15"/>
  <c r="T20" i="15"/>
  <c r="T13" i="18"/>
  <c r="P19" i="18"/>
  <c r="T17" i="18"/>
  <c r="O30" i="18"/>
  <c r="U21" i="18"/>
  <c r="O21" i="18"/>
  <c r="O24" i="18"/>
  <c r="O4" i="15"/>
  <c r="T11" i="15"/>
  <c r="U24" i="18"/>
  <c r="U16" i="18"/>
  <c r="O28" i="18"/>
  <c r="T28" i="18"/>
  <c r="T20" i="18"/>
  <c r="O14" i="15"/>
  <c r="U22" i="18"/>
  <c r="U18" i="15"/>
  <c r="P18" i="15"/>
  <c r="P14" i="18"/>
  <c r="P31" i="18"/>
  <c r="P10" i="15"/>
  <c r="P27" i="18"/>
  <c r="P21" i="16"/>
  <c r="U19" i="18"/>
  <c r="T55" i="15"/>
  <c r="P4" i="15"/>
  <c r="P20" i="15"/>
  <c r="P17" i="15"/>
  <c r="U58" i="15"/>
  <c r="O56" i="15"/>
  <c r="T26" i="18"/>
  <c r="P57" i="15"/>
  <c r="U14" i="18"/>
  <c r="O27" i="18"/>
  <c r="U4" i="15"/>
  <c r="O11" i="15"/>
  <c r="T25" i="18"/>
  <c r="U29" i="18"/>
  <c r="U17" i="15"/>
  <c r="O13" i="18"/>
  <c r="T31" i="18"/>
  <c r="U16" i="15"/>
  <c r="U20" i="15"/>
  <c r="O18" i="15"/>
  <c r="U31" i="18"/>
  <c r="T16" i="18"/>
  <c r="O19" i="15"/>
  <c r="O13" i="15"/>
  <c r="T24" i="18"/>
  <c r="T14" i="18"/>
  <c r="T19" i="18"/>
  <c r="O20" i="18"/>
  <c r="U30" i="18"/>
  <c r="P55" i="15"/>
  <c r="T13" i="15"/>
  <c r="P28" i="18"/>
  <c r="T22" i="18"/>
  <c r="P13" i="15"/>
  <c r="O20" i="15"/>
  <c r="P17" i="18"/>
  <c r="P21" i="18"/>
  <c r="P16" i="15"/>
  <c r="T19" i="15"/>
  <c r="T14" i="15"/>
  <c r="T17" i="15"/>
  <c r="O23" i="18"/>
  <c r="U12" i="15"/>
  <c r="T30" i="18"/>
  <c r="T58" i="15"/>
  <c r="U26" i="18"/>
  <c r="O19" i="18"/>
  <c r="O12" i="15"/>
  <c r="U27" i="18"/>
  <c r="P70" i="15"/>
  <c r="O16" i="18"/>
  <c r="U19" i="15"/>
  <c r="P13" i="18"/>
  <c r="P14" i="15"/>
  <c r="U20" i="18"/>
  <c r="O10" i="15"/>
  <c r="P25" i="18"/>
  <c r="U15" i="15"/>
  <c r="T4" i="15"/>
  <c r="T56" i="15"/>
  <c r="U57" i="15"/>
  <c r="P30" i="18"/>
  <c r="V21" i="16"/>
  <c r="O15" i="15"/>
  <c r="O14" i="18"/>
  <c r="U70" i="15"/>
  <c r="P12" i="15"/>
  <c r="P24" i="18"/>
  <c r="P58" i="15"/>
  <c r="U17" i="18"/>
  <c r="U23" i="18"/>
  <c r="T27" i="18"/>
  <c r="T21" i="18"/>
  <c r="U28" i="18"/>
  <c r="U14" i="15"/>
  <c r="T10" i="15"/>
  <c r="O55" i="15"/>
  <c r="T57" i="15"/>
  <c r="U10" i="15"/>
  <c r="O22" i="18"/>
  <c r="T16" i="15"/>
  <c r="P20" i="18"/>
  <c r="U56" i="15"/>
  <c r="P26" i="18"/>
  <c r="U55" i="15"/>
  <c r="O17" i="15"/>
  <c r="T18" i="15"/>
  <c r="O57" i="15"/>
  <c r="T23" i="18"/>
  <c r="T70" i="15"/>
  <c r="U11" i="15"/>
  <c r="U13" i="15"/>
  <c r="O16" i="15"/>
  <c r="U25" i="18"/>
  <c r="O58" i="15"/>
  <c r="O25" i="18"/>
  <c r="U21" i="16"/>
  <c r="O26" i="18"/>
  <c r="T15" i="15"/>
  <c r="O31" i="18"/>
  <c r="P11" i="15"/>
  <c r="P22" i="18"/>
  <c r="O29" i="18"/>
  <c r="P29" i="18"/>
  <c r="O17" i="18"/>
  <c r="T29" i="18"/>
  <c r="Q21" i="16"/>
  <c r="P15" i="15"/>
  <c r="N3" i="15" l="1"/>
  <c r="K63" i="17"/>
  <c r="K56" i="17"/>
  <c r="L94" i="16"/>
  <c r="K94" i="15"/>
  <c r="K79" i="17"/>
  <c r="L91" i="16"/>
  <c r="K98" i="15"/>
  <c r="K57" i="17"/>
  <c r="L116" i="16"/>
  <c r="L118" i="16"/>
  <c r="K123" i="15"/>
  <c r="K120" i="15"/>
  <c r="K115" i="18"/>
  <c r="K87" i="17"/>
  <c r="K66" i="17"/>
  <c r="K118" i="15"/>
  <c r="K93" i="17"/>
  <c r="K93" i="15"/>
  <c r="K100" i="18"/>
  <c r="L101" i="16"/>
  <c r="L87" i="16"/>
  <c r="K85" i="18"/>
  <c r="L83" i="16"/>
  <c r="K104" i="18"/>
  <c r="K116" i="18"/>
  <c r="K104" i="15"/>
  <c r="K90" i="17"/>
  <c r="K43" i="17"/>
  <c r="K112" i="18"/>
  <c r="K70" i="17"/>
  <c r="K111" i="15"/>
  <c r="K121" i="15"/>
  <c r="K106" i="18"/>
  <c r="K27" i="17"/>
  <c r="K49" i="17"/>
  <c r="K103" i="15"/>
  <c r="K71" i="17"/>
  <c r="K80" i="17"/>
  <c r="K86" i="17"/>
  <c r="L103" i="16"/>
  <c r="K89" i="17"/>
  <c r="K94" i="18"/>
  <c r="K100" i="15"/>
  <c r="K113" i="15"/>
  <c r="K97" i="15"/>
  <c r="K26" i="17"/>
  <c r="L109" i="16"/>
  <c r="K52" i="17"/>
  <c r="K60" i="17"/>
  <c r="K107" i="15"/>
  <c r="K98" i="18"/>
  <c r="K109" i="15"/>
  <c r="K127" i="15"/>
  <c r="L110" i="16"/>
  <c r="K90" i="18"/>
  <c r="K92" i="15"/>
  <c r="K74" i="17"/>
  <c r="K33" i="17"/>
  <c r="K95" i="15"/>
  <c r="L88" i="16"/>
  <c r="K75" i="17"/>
  <c r="K92" i="18"/>
  <c r="L102" i="16"/>
  <c r="L99" i="16"/>
  <c r="K126" i="15"/>
  <c r="K119" i="18"/>
  <c r="K61" i="17"/>
  <c r="K84" i="18"/>
  <c r="K34" i="17"/>
  <c r="K111" i="18"/>
  <c r="K55" i="17"/>
  <c r="K103" i="18"/>
  <c r="K86" i="18"/>
  <c r="K91" i="18"/>
  <c r="L114" i="16"/>
  <c r="K65" i="17"/>
  <c r="L93" i="16"/>
  <c r="K95" i="17"/>
  <c r="K89" i="18"/>
  <c r="K73" i="17"/>
  <c r="K96" i="15"/>
  <c r="K105" i="15"/>
  <c r="L84" i="16"/>
  <c r="L100" i="16"/>
  <c r="K83" i="17"/>
  <c r="L106" i="16"/>
  <c r="L86" i="16"/>
  <c r="L92" i="16"/>
  <c r="L111" i="16"/>
  <c r="K88" i="18"/>
  <c r="L104" i="16"/>
  <c r="L80" i="16"/>
  <c r="K95" i="18"/>
  <c r="K102" i="15"/>
  <c r="K85" i="17"/>
  <c r="L108" i="16"/>
  <c r="K88" i="17"/>
  <c r="L115" i="16"/>
  <c r="K30" i="17"/>
  <c r="K108" i="18"/>
  <c r="K97" i="18"/>
  <c r="K114" i="18"/>
  <c r="K32" i="17"/>
  <c r="K72" i="17"/>
  <c r="K29" i="17"/>
  <c r="K37" i="17"/>
  <c r="K117" i="15"/>
  <c r="L81" i="16"/>
  <c r="L95" i="16"/>
  <c r="K102" i="18"/>
  <c r="K117" i="18"/>
  <c r="L112" i="16"/>
  <c r="K130" i="15"/>
  <c r="K101" i="15"/>
  <c r="L85" i="16"/>
  <c r="K81" i="17"/>
  <c r="K96" i="18"/>
  <c r="K68" i="17"/>
  <c r="K59" i="17"/>
  <c r="K87" i="18"/>
  <c r="K107" i="18"/>
  <c r="K58" i="17"/>
  <c r="K108" i="15"/>
  <c r="K54" i="17"/>
  <c r="L89" i="16"/>
  <c r="K36" i="17"/>
  <c r="K115" i="15"/>
  <c r="L97" i="16"/>
  <c r="K106" i="15"/>
  <c r="K101" i="18"/>
  <c r="K110" i="18"/>
  <c r="K131" i="15"/>
  <c r="K82" i="18"/>
  <c r="K119" i="15"/>
  <c r="K84" i="17"/>
  <c r="L82" i="16"/>
  <c r="L90" i="16"/>
  <c r="K112" i="15"/>
  <c r="K77" i="17"/>
  <c r="K31" i="17"/>
  <c r="K94" i="17"/>
  <c r="K105" i="18"/>
  <c r="L117" i="16"/>
  <c r="K118" i="18"/>
  <c r="K110" i="15"/>
  <c r="L119" i="16"/>
  <c r="K116" i="15"/>
  <c r="K91" i="17"/>
  <c r="K62" i="17"/>
  <c r="K93" i="18"/>
  <c r="L105" i="16"/>
  <c r="K128" i="15"/>
  <c r="K46" i="17"/>
  <c r="K114" i="15"/>
  <c r="L113" i="16"/>
  <c r="L98" i="16"/>
  <c r="K99" i="18"/>
  <c r="K64" i="17"/>
  <c r="K82" i="17"/>
  <c r="K92" i="17"/>
  <c r="K99" i="15"/>
  <c r="L96" i="16"/>
  <c r="K67" i="17"/>
  <c r="K124" i="15"/>
  <c r="K78" i="17"/>
  <c r="K125" i="15"/>
  <c r="K113" i="18"/>
  <c r="K80" i="18"/>
  <c r="K35" i="17"/>
  <c r="K81" i="18"/>
  <c r="K53" i="17"/>
  <c r="K76" i="17"/>
  <c r="K83" i="18"/>
  <c r="L107" i="16"/>
  <c r="K28" i="17"/>
  <c r="K69" i="17"/>
  <c r="K109" i="18"/>
  <c r="K122" i="15"/>
  <c r="K129" i="15"/>
  <c r="N59" i="17" l="1"/>
  <c r="N56" i="17"/>
  <c r="N85" i="17"/>
  <c r="N65" i="17"/>
  <c r="N71" i="17"/>
  <c r="N54" i="17"/>
  <c r="N28" i="17"/>
  <c r="O100" i="16"/>
  <c r="O84" i="16"/>
  <c r="O95" i="16"/>
  <c r="O79" i="16"/>
  <c r="O96" i="16"/>
  <c r="N58" i="17"/>
  <c r="N70" i="17"/>
  <c r="N32" i="17"/>
  <c r="O102" i="16"/>
  <c r="O94" i="16"/>
  <c r="O106" i="16"/>
  <c r="O99" i="16"/>
  <c r="O113" i="16"/>
  <c r="O81" i="16"/>
  <c r="N72" i="17"/>
  <c r="N87" i="17"/>
  <c r="N81" i="17"/>
  <c r="N35" i="17"/>
  <c r="O107" i="16"/>
  <c r="O114" i="16"/>
  <c r="N26" i="17"/>
  <c r="O90" i="16"/>
  <c r="O77" i="16"/>
  <c r="O91" i="16"/>
  <c r="O83" i="16"/>
  <c r="N67" i="17"/>
  <c r="N62" i="17"/>
  <c r="N48" i="17"/>
  <c r="N69" i="17"/>
  <c r="N49" i="17"/>
  <c r="N78" i="17"/>
  <c r="N29" i="17"/>
  <c r="O105" i="16"/>
  <c r="O80" i="16"/>
  <c r="N88" i="17"/>
  <c r="N66" i="17"/>
  <c r="N86" i="17"/>
  <c r="N55" i="17"/>
  <c r="N76" i="17"/>
  <c r="N83" i="17"/>
  <c r="N24" i="17"/>
  <c r="N34" i="17"/>
  <c r="O89" i="16"/>
  <c r="O115" i="16"/>
  <c r="O111" i="16"/>
  <c r="O103" i="16"/>
  <c r="O78" i="16"/>
  <c r="O108" i="16"/>
  <c r="O93" i="16"/>
  <c r="O104" i="16"/>
  <c r="O85" i="16"/>
  <c r="O112" i="16"/>
  <c r="N39" i="17"/>
  <c r="N64" i="17"/>
  <c r="N52" i="17"/>
  <c r="N73" i="17"/>
  <c r="N89" i="17"/>
  <c r="N90" i="17"/>
  <c r="N33" i="17"/>
  <c r="N27" i="17"/>
  <c r="O87" i="16"/>
  <c r="O86" i="16"/>
  <c r="O110" i="16"/>
  <c r="O101" i="16"/>
  <c r="N74" i="17"/>
  <c r="N45" i="17"/>
  <c r="N77" i="17"/>
  <c r="N53" i="17"/>
  <c r="N42" i="17"/>
  <c r="N84" i="17"/>
  <c r="N30" i="17"/>
  <c r="O88" i="16"/>
  <c r="O109" i="16"/>
  <c r="O82" i="16"/>
  <c r="O76" i="16"/>
  <c r="O92" i="16"/>
  <c r="N80" i="17"/>
  <c r="N60" i="17"/>
  <c r="N50" i="17"/>
  <c r="N57" i="17"/>
  <c r="N61" i="17"/>
  <c r="N75" i="17"/>
  <c r="N25" i="17"/>
  <c r="O98" i="16"/>
  <c r="N68" i="17"/>
  <c r="N51" i="17"/>
  <c r="N79" i="17"/>
  <c r="N63" i="17"/>
  <c r="N91" i="17"/>
  <c r="N82" i="17"/>
  <c r="N31" i="17"/>
  <c r="O97" i="16"/>
  <c r="N112" i="18"/>
  <c r="N103" i="18"/>
  <c r="N95" i="18"/>
  <c r="N88" i="18"/>
  <c r="N79" i="18"/>
  <c r="N107" i="18"/>
  <c r="N86" i="18"/>
  <c r="N87" i="18"/>
  <c r="N76" i="18"/>
  <c r="N94" i="18"/>
  <c r="N91" i="18"/>
  <c r="N110" i="18"/>
  <c r="N101" i="18"/>
  <c r="N106" i="18"/>
  <c r="N83" i="18"/>
  <c r="N111" i="18"/>
  <c r="N108" i="18"/>
  <c r="N85" i="18"/>
  <c r="N113" i="18"/>
  <c r="N114" i="18"/>
  <c r="N98" i="18"/>
  <c r="N92" i="18"/>
  <c r="N115" i="18"/>
  <c r="N97" i="18"/>
  <c r="N84" i="18"/>
  <c r="N105" i="18"/>
  <c r="N96" i="18"/>
  <c r="N102" i="18"/>
  <c r="N99" i="18"/>
  <c r="N78" i="18"/>
  <c r="N93" i="18"/>
  <c r="N100" i="18"/>
  <c r="N90" i="18"/>
  <c r="N77" i="18"/>
  <c r="N89" i="18"/>
  <c r="N109" i="18"/>
  <c r="N104" i="18"/>
  <c r="N81" i="18"/>
  <c r="N82" i="18"/>
  <c r="N80" i="18"/>
  <c r="N116" i="15"/>
  <c r="N112" i="15"/>
  <c r="N98" i="15"/>
  <c r="N123" i="15"/>
  <c r="N117" i="15"/>
  <c r="N122" i="15"/>
  <c r="N110" i="15"/>
  <c r="N105" i="15"/>
  <c r="N124" i="15"/>
  <c r="N119" i="15"/>
  <c r="N99" i="15"/>
  <c r="N111" i="15"/>
  <c r="N121" i="15"/>
  <c r="N101" i="15"/>
  <c r="N96" i="15"/>
  <c r="N90" i="15"/>
  <c r="N109" i="15"/>
  <c r="N94" i="15"/>
  <c r="N120" i="15"/>
  <c r="N106" i="15"/>
  <c r="N92" i="15"/>
  <c r="N125" i="15"/>
  <c r="N86" i="15"/>
  <c r="N118" i="15"/>
  <c r="N89" i="15"/>
  <c r="N114" i="15"/>
  <c r="N100" i="15"/>
  <c r="N102" i="15"/>
  <c r="N87" i="15"/>
  <c r="N97" i="15"/>
  <c r="N108" i="15"/>
  <c r="N103" i="15"/>
  <c r="N91" i="15"/>
  <c r="N95" i="15"/>
  <c r="N113" i="15"/>
  <c r="N93" i="15"/>
  <c r="N88" i="15"/>
  <c r="N107" i="15"/>
  <c r="N104" i="15"/>
  <c r="N115" i="15"/>
  <c r="L21" i="14" l="1"/>
  <c r="N51" i="15" l="1"/>
  <c r="N52" i="15"/>
  <c r="N45" i="15"/>
  <c r="N47" i="15"/>
  <c r="N49" i="15"/>
  <c r="N53" i="15"/>
  <c r="N48" i="15"/>
  <c r="N50" i="15"/>
  <c r="N44" i="15"/>
  <c r="N46" i="15"/>
  <c r="N54" i="15"/>
  <c r="T64" i="17"/>
  <c r="U10" i="17"/>
  <c r="P119" i="15"/>
  <c r="P94" i="15"/>
  <c r="P93" i="16"/>
  <c r="U92" i="16"/>
  <c r="P117" i="15"/>
  <c r="T62" i="17"/>
  <c r="P102" i="18"/>
  <c r="U118" i="15"/>
  <c r="V90" i="16"/>
  <c r="P110" i="16"/>
  <c r="P68" i="17"/>
  <c r="O57" i="17"/>
  <c r="T102" i="18"/>
  <c r="T100" i="15"/>
  <c r="O114" i="18"/>
  <c r="P24" i="17"/>
  <c r="P40" i="18"/>
  <c r="U57" i="17"/>
  <c r="R18" i="14"/>
  <c r="T36" i="17"/>
  <c r="P68" i="15"/>
  <c r="T8" i="15"/>
  <c r="V114" i="16"/>
  <c r="V104" i="16"/>
  <c r="T52" i="18"/>
  <c r="T119" i="15"/>
  <c r="U106" i="18"/>
  <c r="U90" i="17"/>
  <c r="P98" i="16"/>
  <c r="O94" i="18"/>
  <c r="P25" i="17"/>
  <c r="U70" i="17"/>
  <c r="P111" i="18"/>
  <c r="U96" i="16"/>
  <c r="T104" i="15"/>
  <c r="U115" i="15"/>
  <c r="U63" i="17"/>
  <c r="V86" i="16"/>
  <c r="O72" i="15"/>
  <c r="P110" i="18"/>
  <c r="O8" i="15"/>
  <c r="O64" i="17"/>
  <c r="U87" i="17"/>
  <c r="S8" i="14"/>
  <c r="O39" i="18"/>
  <c r="O69" i="17"/>
  <c r="U99" i="18"/>
  <c r="T14" i="17"/>
  <c r="P107" i="15"/>
  <c r="P7" i="17"/>
  <c r="P49" i="17"/>
  <c r="N9" i="14"/>
  <c r="P92" i="16"/>
  <c r="U62" i="15"/>
  <c r="P87" i="18"/>
  <c r="P91" i="15"/>
  <c r="M20" i="14"/>
  <c r="U75" i="17"/>
  <c r="O92" i="18"/>
  <c r="O10" i="18"/>
  <c r="P81" i="18"/>
  <c r="U106" i="16"/>
  <c r="O42" i="18"/>
  <c r="T46" i="18"/>
  <c r="P113" i="18"/>
  <c r="Q95" i="16"/>
  <c r="P52" i="15"/>
  <c r="P54" i="15"/>
  <c r="U115" i="18"/>
  <c r="T60" i="17"/>
  <c r="O93" i="18"/>
  <c r="O26" i="17"/>
  <c r="O90" i="15"/>
  <c r="T56" i="17"/>
  <c r="P79" i="16"/>
  <c r="O5" i="15"/>
  <c r="U94" i="16"/>
  <c r="P94" i="18"/>
  <c r="T79" i="18"/>
  <c r="P91" i="16"/>
  <c r="P76" i="18"/>
  <c r="T90" i="18"/>
  <c r="P26" i="17"/>
  <c r="T58" i="17"/>
  <c r="O120" i="15"/>
  <c r="U110" i="18"/>
  <c r="T99" i="15"/>
  <c r="O67" i="17"/>
  <c r="O48" i="18"/>
  <c r="P84" i="15"/>
  <c r="U52" i="18"/>
  <c r="V94" i="16"/>
  <c r="O115" i="15"/>
  <c r="T42" i="17"/>
  <c r="Q91" i="16"/>
  <c r="P42" i="18"/>
  <c r="T69" i="17"/>
  <c r="U83" i="17"/>
  <c r="O39" i="17"/>
  <c r="Q98" i="16"/>
  <c r="O13" i="17"/>
  <c r="O79" i="15"/>
  <c r="S10" i="14"/>
  <c r="U107" i="15"/>
  <c r="O86" i="18"/>
  <c r="O52" i="15"/>
  <c r="Q114" i="16"/>
  <c r="T108" i="15"/>
  <c r="T87" i="18"/>
  <c r="O122" i="15"/>
  <c r="M17" i="14"/>
  <c r="O102" i="18"/>
  <c r="O19" i="17"/>
  <c r="T86" i="18"/>
  <c r="U35" i="17"/>
  <c r="Q108" i="16"/>
  <c r="P49" i="15"/>
  <c r="T49" i="18"/>
  <c r="O109" i="15"/>
  <c r="U104" i="16"/>
  <c r="U84" i="16"/>
  <c r="U8" i="18"/>
  <c r="T65" i="17"/>
  <c r="T65" i="15"/>
  <c r="U103" i="18"/>
  <c r="P33" i="18"/>
  <c r="P86" i="18"/>
  <c r="V98" i="16"/>
  <c r="U94" i="15"/>
  <c r="U117" i="15"/>
  <c r="U28" i="17"/>
  <c r="O50" i="18"/>
  <c r="P48" i="15"/>
  <c r="U115" i="16"/>
  <c r="O40" i="17"/>
  <c r="U79" i="17"/>
  <c r="Q104" i="16"/>
  <c r="T71" i="15"/>
  <c r="T108" i="18"/>
  <c r="U33" i="17"/>
  <c r="T78" i="15"/>
  <c r="U40" i="17"/>
  <c r="T72" i="15"/>
  <c r="U81" i="15"/>
  <c r="P51" i="17"/>
  <c r="O60" i="17"/>
  <c r="T115" i="15"/>
  <c r="U55" i="17"/>
  <c r="U9" i="17"/>
  <c r="U74" i="17"/>
  <c r="P92" i="15"/>
  <c r="U32" i="18"/>
  <c r="P106" i="15"/>
  <c r="U84" i="18"/>
  <c r="Q110" i="16"/>
  <c r="T121" i="15"/>
  <c r="P102" i="16"/>
  <c r="O9" i="15"/>
  <c r="U31" i="17"/>
  <c r="T48" i="17"/>
  <c r="T9" i="17"/>
  <c r="O119" i="15"/>
  <c r="T30" i="17"/>
  <c r="P67" i="15"/>
  <c r="T113" i="18"/>
  <c r="Q88" i="16"/>
  <c r="P89" i="18"/>
  <c r="O53" i="15"/>
  <c r="U30" i="17"/>
  <c r="Q87" i="16"/>
  <c r="O60" i="15"/>
  <c r="T116" i="15"/>
  <c r="O46" i="15"/>
  <c r="O81" i="18"/>
  <c r="U38" i="18"/>
  <c r="U42" i="17"/>
  <c r="U50" i="15"/>
  <c r="O52" i="17"/>
  <c r="O87" i="15"/>
  <c r="Q102" i="16"/>
  <c r="O121" i="15"/>
  <c r="O89" i="17"/>
  <c r="V113" i="16"/>
  <c r="P98" i="15"/>
  <c r="O108" i="18"/>
  <c r="R3" i="14"/>
  <c r="M10" i="14"/>
  <c r="O46" i="17"/>
  <c r="U50" i="18"/>
  <c r="U51" i="15"/>
  <c r="U100" i="18"/>
  <c r="X3" i="18" a="1"/>
  <c r="M16" i="14"/>
  <c r="T24" i="17"/>
  <c r="O71" i="15"/>
  <c r="U73" i="17"/>
  <c r="P73" i="17"/>
  <c r="V78" i="16"/>
  <c r="T62" i="15"/>
  <c r="T12" i="18"/>
  <c r="U87" i="16"/>
  <c r="U120" i="15"/>
  <c r="P23" i="17"/>
  <c r="T61" i="15"/>
  <c r="P93" i="15"/>
  <c r="P13" i="17"/>
  <c r="P94" i="16"/>
  <c r="O86" i="17"/>
  <c r="U109" i="18"/>
  <c r="T42" i="18"/>
  <c r="U96" i="15"/>
  <c r="O54" i="15"/>
  <c r="P15" i="18"/>
  <c r="U66" i="17"/>
  <c r="O96" i="15"/>
  <c r="T50" i="15"/>
  <c r="P60" i="15"/>
  <c r="O97" i="18"/>
  <c r="P7" i="18"/>
  <c r="T74" i="15"/>
  <c r="M21" i="14"/>
  <c r="T70" i="17"/>
  <c r="U44" i="15"/>
  <c r="U64" i="15"/>
  <c r="O124" i="15"/>
  <c r="T111" i="18"/>
  <c r="P50" i="17"/>
  <c r="Q78" i="16"/>
  <c r="P81" i="16"/>
  <c r="P9" i="17"/>
  <c r="O46" i="18"/>
  <c r="U83" i="18"/>
  <c r="N17" i="14"/>
  <c r="M5" i="14"/>
  <c r="U96" i="18"/>
  <c r="P18" i="17"/>
  <c r="T125" i="15"/>
  <c r="P89" i="16"/>
  <c r="T33" i="18"/>
  <c r="T32" i="18"/>
  <c r="U61" i="17"/>
  <c r="U49" i="15"/>
  <c r="P80" i="15"/>
  <c r="P99" i="18"/>
  <c r="P96" i="16"/>
  <c r="R11" i="14"/>
  <c r="P51" i="15"/>
  <c r="V80" i="16"/>
  <c r="U77" i="18"/>
  <c r="P108" i="18"/>
  <c r="P65" i="15"/>
  <c r="V102" i="16"/>
  <c r="P50" i="15"/>
  <c r="U116" i="15"/>
  <c r="U86" i="15"/>
  <c r="T107" i="18"/>
  <c r="U46" i="15"/>
  <c r="P99" i="16"/>
  <c r="U89" i="15"/>
  <c r="P58" i="17"/>
  <c r="Q94" i="16"/>
  <c r="R7" i="14"/>
  <c r="S21" i="14"/>
  <c r="O85" i="18"/>
  <c r="T17" i="17"/>
  <c r="P36" i="18"/>
  <c r="T76" i="18"/>
  <c r="O47" i="18"/>
  <c r="U91" i="18"/>
  <c r="T88" i="17"/>
  <c r="O51" i="15"/>
  <c r="V79" i="16"/>
  <c r="U92" i="18"/>
  <c r="M3" i="14"/>
  <c r="O50" i="15"/>
  <c r="O113" i="15"/>
  <c r="P48" i="18"/>
  <c r="O10" i="14"/>
  <c r="T7" i="17"/>
  <c r="O22" i="17"/>
  <c r="P78" i="16"/>
  <c r="S19" i="14"/>
  <c r="T75" i="17"/>
  <c r="U48" i="18"/>
  <c r="R19" i="14"/>
  <c r="U53" i="18"/>
  <c r="P80" i="16"/>
  <c r="P90" i="16"/>
  <c r="O16" i="14"/>
  <c r="P35" i="17"/>
  <c r="R17" i="14"/>
  <c r="O110" i="15"/>
  <c r="P103" i="18"/>
  <c r="T88" i="15"/>
  <c r="T67" i="15"/>
  <c r="O112" i="15"/>
  <c r="Q84" i="16"/>
  <c r="Q85" i="16"/>
  <c r="P89" i="15"/>
  <c r="P6" i="15"/>
  <c r="U47" i="15"/>
  <c r="P109" i="18"/>
  <c r="T6" i="15"/>
  <c r="N19" i="14"/>
  <c r="U4" i="17"/>
  <c r="O3" i="15"/>
  <c r="O95" i="18"/>
  <c r="T10" i="17"/>
  <c r="U103" i="15"/>
  <c r="T15" i="17"/>
  <c r="R14" i="14"/>
  <c r="U77" i="16"/>
  <c r="P77" i="15"/>
  <c r="T63" i="17"/>
  <c r="T117" i="15"/>
  <c r="U95" i="16"/>
  <c r="O28" i="17"/>
  <c r="U10" i="18"/>
  <c r="Q111" i="16"/>
  <c r="O61" i="15"/>
  <c r="T11" i="17"/>
  <c r="P15" i="17"/>
  <c r="T107" i="15"/>
  <c r="U45" i="15"/>
  <c r="M4" i="14"/>
  <c r="T114" i="15"/>
  <c r="P118" i="15"/>
  <c r="M9" i="14"/>
  <c r="P28" i="17"/>
  <c r="M19" i="14"/>
  <c r="P43" i="17"/>
  <c r="U93" i="18"/>
  <c r="U97" i="18"/>
  <c r="O34" i="18"/>
  <c r="U89" i="18"/>
  <c r="S9" i="14"/>
  <c r="U103" i="16"/>
  <c r="P33" i="17"/>
  <c r="U46" i="18"/>
  <c r="T13" i="17"/>
  <c r="P11" i="17"/>
  <c r="O90" i="18"/>
  <c r="V88" i="16"/>
  <c r="O44" i="15"/>
  <c r="T90" i="17"/>
  <c r="M13" i="14"/>
  <c r="P62" i="17"/>
  <c r="U13" i="17"/>
  <c r="O83" i="15"/>
  <c r="S6" i="14"/>
  <c r="T7" i="15"/>
  <c r="P95" i="15"/>
  <c r="N6" i="14"/>
  <c r="P84" i="17"/>
  <c r="P109" i="16"/>
  <c r="P47" i="15"/>
  <c r="T102" i="15"/>
  <c r="U112" i="18"/>
  <c r="O103" i="15"/>
  <c r="N21" i="14"/>
  <c r="O96" i="18"/>
  <c r="P3" i="15"/>
  <c r="U80" i="15"/>
  <c r="O64" i="15"/>
  <c r="O8" i="17"/>
  <c r="O51" i="18"/>
  <c r="T66" i="17"/>
  <c r="N15" i="14"/>
  <c r="P108" i="15"/>
  <c r="P83" i="15"/>
  <c r="T80" i="15"/>
  <c r="N11" i="14"/>
  <c r="T103" i="18"/>
  <c r="P85" i="18"/>
  <c r="P19" i="17"/>
  <c r="O91" i="15"/>
  <c r="Q99" i="16"/>
  <c r="N13" i="14"/>
  <c r="T89" i="17"/>
  <c r="U93" i="15"/>
  <c r="U19" i="17"/>
  <c r="O12" i="17"/>
  <c r="P45" i="15"/>
  <c r="U42" i="18"/>
  <c r="V91" i="16"/>
  <c r="U121" i="15"/>
  <c r="U81" i="16"/>
  <c r="T7" i="18"/>
  <c r="O17" i="17"/>
  <c r="U37" i="18"/>
  <c r="T87" i="17"/>
  <c r="T43" i="17"/>
  <c r="P22" i="17"/>
  <c r="U106" i="15"/>
  <c r="S12" i="14"/>
  <c r="O109" i="18"/>
  <c r="U80" i="16"/>
  <c r="P47" i="18"/>
  <c r="O9" i="14"/>
  <c r="T82" i="15"/>
  <c r="P9" i="18"/>
  <c r="U78" i="18"/>
  <c r="P81" i="17"/>
  <c r="P90" i="17"/>
  <c r="T95" i="18"/>
  <c r="T40" i="18"/>
  <c r="Q105" i="16"/>
  <c r="P17" i="17"/>
  <c r="O81" i="15"/>
  <c r="U123" i="15"/>
  <c r="O104" i="15"/>
  <c r="T35" i="18"/>
  <c r="U49" i="18"/>
  <c r="T38" i="17"/>
  <c r="T106" i="18"/>
  <c r="T89" i="18"/>
  <c r="U8" i="15"/>
  <c r="U45" i="18"/>
  <c r="P115" i="15"/>
  <c r="I3" i="1"/>
  <c r="T47" i="15"/>
  <c r="O9" i="18"/>
  <c r="Q101" i="16"/>
  <c r="T38" i="18"/>
  <c r="T9" i="18"/>
  <c r="T46" i="15"/>
  <c r="P115" i="16"/>
  <c r="P100" i="16"/>
  <c r="P4" i="17"/>
  <c r="O106" i="15"/>
  <c r="Q92" i="16"/>
  <c r="T85" i="17"/>
  <c r="P92" i="18"/>
  <c r="U85" i="18"/>
  <c r="P61" i="15"/>
  <c r="U15" i="17"/>
  <c r="O77" i="15"/>
  <c r="T103" i="15"/>
  <c r="U76" i="17"/>
  <c r="S17" i="14"/>
  <c r="T98" i="18"/>
  <c r="U54" i="17"/>
  <c r="U6" i="15"/>
  <c r="O15" i="18"/>
  <c r="O82" i="15"/>
  <c r="P30" i="17"/>
  <c r="X3" i="17" a="1"/>
  <c r="T37" i="18"/>
  <c r="O83" i="18"/>
  <c r="P44" i="15"/>
  <c r="U114" i="16"/>
  <c r="P112" i="18"/>
  <c r="P95" i="16"/>
  <c r="T67" i="17"/>
  <c r="O79" i="17"/>
  <c r="P99" i="15"/>
  <c r="P18" i="18"/>
  <c r="P75" i="17"/>
  <c r="O91" i="18"/>
  <c r="U58" i="17"/>
  <c r="S11" i="14"/>
  <c r="P84" i="18"/>
  <c r="U25" i="17"/>
  <c r="Q90" i="16"/>
  <c r="O103" i="18"/>
  <c r="T52" i="15"/>
  <c r="O63" i="15"/>
  <c r="U105" i="15"/>
  <c r="P123" i="15"/>
  <c r="U108" i="16"/>
  <c r="U88" i="18"/>
  <c r="T111" i="15"/>
  <c r="V111" i="16"/>
  <c r="U75" i="15"/>
  <c r="U99" i="16"/>
  <c r="P32" i="18"/>
  <c r="O38" i="17"/>
  <c r="T64" i="15"/>
  <c r="P77" i="18"/>
  <c r="U11" i="17"/>
  <c r="P102" i="15"/>
  <c r="T83" i="18"/>
  <c r="V107" i="16"/>
  <c r="O27" i="17"/>
  <c r="T109" i="18"/>
  <c r="U76" i="15"/>
  <c r="P110" i="15"/>
  <c r="O49" i="17"/>
  <c r="T59" i="15"/>
  <c r="U86" i="16"/>
  <c r="P85" i="17"/>
  <c r="V101" i="16"/>
  <c r="O110" i="18"/>
  <c r="O54" i="17"/>
  <c r="T81" i="15"/>
  <c r="T18" i="17"/>
  <c r="U7" i="17"/>
  <c r="T98" i="15"/>
  <c r="P78" i="18"/>
  <c r="Q93" i="16"/>
  <c r="O6" i="15"/>
  <c r="R16" i="14"/>
  <c r="P78" i="17"/>
  <c r="T118" i="15"/>
  <c r="T81" i="17"/>
  <c r="P85" i="15"/>
  <c r="N3" i="14"/>
  <c r="P34" i="18"/>
  <c r="U78" i="16"/>
  <c r="V109" i="16"/>
  <c r="P96" i="15"/>
  <c r="P39" i="17"/>
  <c r="O107" i="15"/>
  <c r="O86" i="15"/>
  <c r="O59" i="15"/>
  <c r="U90" i="15"/>
  <c r="O40" i="18"/>
  <c r="T89" i="15"/>
  <c r="P84" i="16"/>
  <c r="Q82" i="16"/>
  <c r="O14" i="17"/>
  <c r="P56" i="17"/>
  <c r="T95" i="15"/>
  <c r="V115" i="16"/>
  <c r="S16" i="14"/>
  <c r="U77" i="15"/>
  <c r="U97" i="16"/>
  <c r="U113" i="16"/>
  <c r="U98" i="18"/>
  <c r="T106" i="15"/>
  <c r="O107" i="18"/>
  <c r="P91" i="17"/>
  <c r="O35" i="18"/>
  <c r="O93" i="15"/>
  <c r="P93" i="18"/>
  <c r="O38" i="18"/>
  <c r="Q107" i="16"/>
  <c r="O45" i="17"/>
  <c r="P88" i="15"/>
  <c r="T76" i="15"/>
  <c r="P59" i="17"/>
  <c r="O25" i="17"/>
  <c r="T35" i="17"/>
  <c r="U43" i="17"/>
  <c r="P100" i="18"/>
  <c r="T51" i="18"/>
  <c r="U91" i="15"/>
  <c r="P91" i="18"/>
  <c r="P111" i="16"/>
  <c r="O84" i="17"/>
  <c r="Y3" i="16" a="1"/>
  <c r="U52" i="15"/>
  <c r="T15" i="18"/>
  <c r="U47" i="18"/>
  <c r="P38" i="18"/>
  <c r="O16" i="17"/>
  <c r="O105" i="15"/>
  <c r="P32" i="17"/>
  <c r="P78" i="15"/>
  <c r="T44" i="15"/>
  <c r="M18" i="14"/>
  <c r="P46" i="15"/>
  <c r="T39" i="18"/>
  <c r="P65" i="17"/>
  <c r="O35" i="17"/>
  <c r="P8" i="18"/>
  <c r="P37" i="18"/>
  <c r="O61" i="17"/>
  <c r="U9" i="15"/>
  <c r="P87" i="15"/>
  <c r="P64" i="17"/>
  <c r="P97" i="16"/>
  <c r="O37" i="17"/>
  <c r="P40" i="17"/>
  <c r="U67" i="17"/>
  <c r="P103" i="15"/>
  <c r="O113" i="18"/>
  <c r="O53" i="17"/>
  <c r="T96" i="15"/>
  <c r="M15" i="14"/>
  <c r="O15" i="14" s="1"/>
  <c r="O10" i="17"/>
  <c r="T122" i="15"/>
  <c r="O7" i="15"/>
  <c r="P69" i="17"/>
  <c r="O78" i="18"/>
  <c r="O104" i="18"/>
  <c r="P52" i="17"/>
  <c r="P120" i="15"/>
  <c r="P106" i="16"/>
  <c r="U88" i="16"/>
  <c r="U102" i="15"/>
  <c r="Q96" i="16"/>
  <c r="U39" i="18"/>
  <c r="T45" i="18"/>
  <c r="P101" i="18"/>
  <c r="O66" i="17"/>
  <c r="P87" i="16"/>
  <c r="T57" i="17"/>
  <c r="P29" i="17"/>
  <c r="O62" i="15"/>
  <c r="O111" i="18"/>
  <c r="P57" i="17"/>
  <c r="U63" i="15"/>
  <c r="O47" i="15"/>
  <c r="P88" i="18"/>
  <c r="O33" i="17"/>
  <c r="P83" i="17"/>
  <c r="T71" i="17"/>
  <c r="R21" i="14"/>
  <c r="T40" i="17"/>
  <c r="T82" i="18"/>
  <c r="P53" i="15"/>
  <c r="P113" i="15"/>
  <c r="P81" i="15"/>
  <c r="U104" i="18"/>
  <c r="P100" i="15"/>
  <c r="M12" i="14"/>
  <c r="O79" i="18"/>
  <c r="T19" i="17"/>
  <c r="O117" i="15"/>
  <c r="U35" i="18"/>
  <c r="P72" i="15"/>
  <c r="M11" i="14"/>
  <c r="O11" i="14" s="1"/>
  <c r="P64" i="15"/>
  <c r="N4" i="14"/>
  <c r="U54" i="15"/>
  <c r="O11" i="17"/>
  <c r="O99" i="18"/>
  <c r="T16" i="17"/>
  <c r="T86" i="15"/>
  <c r="O98" i="15"/>
  <c r="U113" i="18"/>
  <c r="U14" i="17"/>
  <c r="T51" i="17"/>
  <c r="P35" i="18"/>
  <c r="U44" i="18"/>
  <c r="O98" i="18"/>
  <c r="P88" i="17"/>
  <c r="S7" i="14"/>
  <c r="O18" i="17"/>
  <c r="P90" i="18"/>
  <c r="O83" i="17"/>
  <c r="T81" i="18"/>
  <c r="P63" i="17"/>
  <c r="V89" i="16"/>
  <c r="M7" i="14"/>
  <c r="O7" i="14" s="1"/>
  <c r="O9" i="17"/>
  <c r="U97" i="15"/>
  <c r="P124" i="15"/>
  <c r="U78" i="17"/>
  <c r="U5" i="15"/>
  <c r="P60" i="17"/>
  <c r="O7" i="17"/>
  <c r="U119" i="15"/>
  <c r="O80" i="17"/>
  <c r="U111" i="18"/>
  <c r="Q106" i="16"/>
  <c r="P109" i="15"/>
  <c r="T92" i="15"/>
  <c r="P113" i="16"/>
  <c r="O89" i="15"/>
  <c r="U86" i="18"/>
  <c r="U38" i="17"/>
  <c r="P75" i="15"/>
  <c r="O50" i="17"/>
  <c r="P86" i="16"/>
  <c r="U15" i="18"/>
  <c r="P59" i="15"/>
  <c r="U84" i="17"/>
  <c r="P101" i="15"/>
  <c r="T8" i="17"/>
  <c r="P66" i="17"/>
  <c r="O65" i="15"/>
  <c r="P108" i="16"/>
  <c r="U52" i="17"/>
  <c r="N14" i="14"/>
  <c r="V84" i="16"/>
  <c r="U60" i="15"/>
  <c r="U81" i="17"/>
  <c r="O73" i="15"/>
  <c r="U86" i="17"/>
  <c r="U77" i="17"/>
  <c r="S18" i="14"/>
  <c r="O76" i="15"/>
  <c r="P53" i="17"/>
  <c r="O77" i="17"/>
  <c r="U84" i="15"/>
  <c r="O84" i="18"/>
  <c r="T10" i="18"/>
  <c r="T104" i="18"/>
  <c r="O33" i="18"/>
  <c r="Q97" i="16"/>
  <c r="U17" i="17"/>
  <c r="T75" i="15"/>
  <c r="P82" i="16"/>
  <c r="U27" i="17"/>
  <c r="U80" i="17"/>
  <c r="T112" i="15"/>
  <c r="T50" i="18"/>
  <c r="O102" i="15"/>
  <c r="R5" i="14"/>
  <c r="U49" i="17"/>
  <c r="O49" i="18"/>
  <c r="P121" i="15"/>
  <c r="U92" i="15"/>
  <c r="T124" i="15"/>
  <c r="T34" i="17"/>
  <c r="T45" i="17"/>
  <c r="T8" i="18"/>
  <c r="Q115" i="16"/>
  <c r="P106" i="18"/>
  <c r="P46" i="17"/>
  <c r="T99" i="18"/>
  <c r="O30" i="17"/>
  <c r="O12" i="14"/>
  <c r="T68" i="15"/>
  <c r="U79" i="16"/>
  <c r="R15" i="14"/>
  <c r="T44" i="18"/>
  <c r="P80" i="17"/>
  <c r="P103" i="16"/>
  <c r="T91" i="15"/>
  <c r="P76" i="17"/>
  <c r="P97" i="15"/>
  <c r="O62" i="17"/>
  <c r="P71" i="17"/>
  <c r="U100" i="16"/>
  <c r="P112" i="16"/>
  <c r="U59" i="17"/>
  <c r="T94" i="18"/>
  <c r="P63" i="15"/>
  <c r="O11" i="18"/>
  <c r="U36" i="17"/>
  <c r="P85" i="16"/>
  <c r="V100" i="16"/>
  <c r="U34" i="18"/>
  <c r="U109" i="16"/>
  <c r="P77" i="16"/>
  <c r="O72" i="17"/>
  <c r="U82" i="15"/>
  <c r="O66" i="15"/>
  <c r="O84" i="15"/>
  <c r="P49" i="18"/>
  <c r="N8" i="14"/>
  <c r="T29" i="17"/>
  <c r="P42" i="17"/>
  <c r="U111" i="16"/>
  <c r="O78" i="17"/>
  <c r="O75" i="15"/>
  <c r="T87" i="15"/>
  <c r="U82" i="16"/>
  <c r="T5" i="15"/>
  <c r="U76" i="18"/>
  <c r="U87" i="18"/>
  <c r="T91" i="17"/>
  <c r="O49" i="15"/>
  <c r="O4" i="17"/>
  <c r="U125" i="15"/>
  <c r="T48" i="15"/>
  <c r="P104" i="16"/>
  <c r="U102" i="18"/>
  <c r="O106" i="18"/>
  <c r="U37" i="17"/>
  <c r="M6" i="14"/>
  <c r="U101" i="16"/>
  <c r="T37" i="17"/>
  <c r="V85" i="16"/>
  <c r="U107" i="16"/>
  <c r="U100" i="15"/>
  <c r="U109" i="15"/>
  <c r="V81" i="16"/>
  <c r="O74" i="15"/>
  <c r="T66" i="15"/>
  <c r="T55" i="17"/>
  <c r="R20" i="14"/>
  <c r="V110" i="16"/>
  <c r="U73" i="15"/>
  <c r="U104" i="15"/>
  <c r="U94" i="18"/>
  <c r="P46" i="18"/>
  <c r="P95" i="18"/>
  <c r="U107" i="18"/>
  <c r="T47" i="18"/>
  <c r="U80" i="18"/>
  <c r="P61" i="17"/>
  <c r="T84" i="15"/>
  <c r="U79" i="15"/>
  <c r="O36" i="17"/>
  <c r="V112" i="16"/>
  <c r="Q103" i="16"/>
  <c r="P105" i="16"/>
  <c r="U78" i="15"/>
  <c r="T45" i="15"/>
  <c r="O88" i="17"/>
  <c r="O85" i="15"/>
  <c r="U89" i="16"/>
  <c r="N12" i="14"/>
  <c r="P105" i="15"/>
  <c r="O45" i="15"/>
  <c r="U32" i="17"/>
  <c r="T41" i="17"/>
  <c r="O89" i="18"/>
  <c r="T94" i="15"/>
  <c r="P114" i="16"/>
  <c r="P14" i="17"/>
  <c r="U36" i="18"/>
  <c r="P114" i="15"/>
  <c r="U46" i="17"/>
  <c r="O97" i="15"/>
  <c r="T79" i="17"/>
  <c r="U95" i="18"/>
  <c r="O32" i="18"/>
  <c r="U26" i="17"/>
  <c r="U122" i="15"/>
  <c r="P112" i="15"/>
  <c r="U81" i="18"/>
  <c r="T3" i="15"/>
  <c r="T79" i="15"/>
  <c r="P69" i="15"/>
  <c r="U65" i="17"/>
  <c r="P31" i="17"/>
  <c r="T92" i="18"/>
  <c r="T26" i="17"/>
  <c r="T113" i="15"/>
  <c r="U113" i="15"/>
  <c r="U91" i="17"/>
  <c r="T4" i="17"/>
  <c r="U66" i="15"/>
  <c r="P34" i="17"/>
  <c r="T77" i="18"/>
  <c r="P8" i="17"/>
  <c r="S15" i="14"/>
  <c r="T77" i="17"/>
  <c r="Q76" i="16"/>
  <c r="P107" i="18"/>
  <c r="O18" i="18"/>
  <c r="P98" i="18"/>
  <c r="U23" i="17"/>
  <c r="P45" i="17"/>
  <c r="U95" i="15"/>
  <c r="P52" i="18"/>
  <c r="U83" i="16"/>
  <c r="P11" i="18"/>
  <c r="P39" i="18"/>
  <c r="V97" i="16"/>
  <c r="Q89" i="16"/>
  <c r="O112" i="18"/>
  <c r="P76" i="16"/>
  <c r="U68" i="15"/>
  <c r="O81" i="17"/>
  <c r="O76" i="17"/>
  <c r="O73" i="17"/>
  <c r="P71" i="15"/>
  <c r="U29" i="17"/>
  <c r="O63" i="17"/>
  <c r="P62" i="15"/>
  <c r="T54" i="17"/>
  <c r="O53" i="18"/>
  <c r="U33" i="18"/>
  <c r="O67" i="15"/>
  <c r="O82" i="17"/>
  <c r="U53" i="17"/>
  <c r="O87" i="17"/>
  <c r="O100" i="18"/>
  <c r="P104" i="18"/>
  <c r="N16" i="14"/>
  <c r="P88" i="16"/>
  <c r="O12" i="18"/>
  <c r="P97" i="18"/>
  <c r="O24" i="17"/>
  <c r="V106" i="16"/>
  <c r="U12" i="18"/>
  <c r="O8" i="18"/>
  <c r="O43" i="17"/>
  <c r="V82" i="16"/>
  <c r="U16" i="17"/>
  <c r="T91" i="18"/>
  <c r="O91" i="17"/>
  <c r="U110" i="15"/>
  <c r="P77" i="17"/>
  <c r="T50" i="17"/>
  <c r="U53" i="15"/>
  <c r="T53" i="18"/>
  <c r="O15" i="17"/>
  <c r="U68" i="17"/>
  <c r="U9" i="18"/>
  <c r="O44" i="18"/>
  <c r="O69" i="15"/>
  <c r="P53" i="18"/>
  <c r="O52" i="18"/>
  <c r="U40" i="18"/>
  <c r="U82" i="18"/>
  <c r="T115" i="18"/>
  <c r="T27" i="17"/>
  <c r="U7" i="15"/>
  <c r="T34" i="18"/>
  <c r="O37" i="18"/>
  <c r="P82" i="17"/>
  <c r="P16" i="17"/>
  <c r="U62" i="17"/>
  <c r="T114" i="18"/>
  <c r="S20" i="14"/>
  <c r="S4" i="14"/>
  <c r="U93" i="16"/>
  <c r="O115" i="18"/>
  <c r="U48" i="17"/>
  <c r="R9" i="14"/>
  <c r="U65" i="15"/>
  <c r="U114" i="15"/>
  <c r="P82" i="18"/>
  <c r="T90" i="15"/>
  <c r="T84" i="17"/>
  <c r="U88" i="17"/>
  <c r="T105" i="18"/>
  <c r="U7" i="18"/>
  <c r="U87" i="15"/>
  <c r="O70" i="17"/>
  <c r="P5" i="15"/>
  <c r="U71" i="17"/>
  <c r="T77" i="15"/>
  <c r="P111" i="15"/>
  <c r="U72" i="17"/>
  <c r="T105" i="15"/>
  <c r="T97" i="15"/>
  <c r="U101" i="15"/>
  <c r="T12" i="17"/>
  <c r="Q79" i="16"/>
  <c r="U99" i="15"/>
  <c r="O116" i="15"/>
  <c r="T85" i="18"/>
  <c r="T86" i="17"/>
  <c r="V105" i="16"/>
  <c r="T69" i="15"/>
  <c r="U18" i="18"/>
  <c r="T109" i="15"/>
  <c r="T33" i="17"/>
  <c r="P79" i="15"/>
  <c r="P67" i="17"/>
  <c r="V99" i="16"/>
  <c r="O36" i="18"/>
  <c r="O34" i="17"/>
  <c r="V103" i="16"/>
  <c r="T48" i="18"/>
  <c r="P10" i="17"/>
  <c r="U12" i="17"/>
  <c r="N5" i="14"/>
  <c r="P90" i="15"/>
  <c r="U69" i="17"/>
  <c r="V92" i="16"/>
  <c r="O123" i="15"/>
  <c r="O32" i="17"/>
  <c r="P116" i="15"/>
  <c r="P96" i="18"/>
  <c r="T101" i="15"/>
  <c r="U64" i="17"/>
  <c r="T51" i="15"/>
  <c r="P10" i="18"/>
  <c r="O59" i="17"/>
  <c r="P76" i="15"/>
  <c r="U39" i="17"/>
  <c r="T83" i="15"/>
  <c r="U105" i="16"/>
  <c r="T120" i="15"/>
  <c r="T80" i="17"/>
  <c r="R10" i="14"/>
  <c r="V77" i="16"/>
  <c r="V108" i="16"/>
  <c r="P80" i="18"/>
  <c r="T28" i="17"/>
  <c r="U45" i="17"/>
  <c r="P79" i="17"/>
  <c r="O51" i="17"/>
  <c r="T74" i="17"/>
  <c r="P122" i="15"/>
  <c r="U91" i="16"/>
  <c r="P12" i="18"/>
  <c r="O45" i="18"/>
  <c r="T46" i="17"/>
  <c r="O31" i="17"/>
  <c r="P41" i="17"/>
  <c r="T72" i="17"/>
  <c r="P74" i="15"/>
  <c r="O111" i="15"/>
  <c r="P74" i="17"/>
  <c r="O92" i="15"/>
  <c r="P7" i="15"/>
  <c r="Q112" i="16"/>
  <c r="T73" i="15"/>
  <c r="O55" i="17"/>
  <c r="O95" i="15"/>
  <c r="O74" i="17"/>
  <c r="T52" i="17"/>
  <c r="T93" i="15"/>
  <c r="U61" i="15"/>
  <c r="S13" i="14"/>
  <c r="U69" i="15"/>
  <c r="O101" i="15"/>
  <c r="O78" i="15"/>
  <c r="U85" i="15"/>
  <c r="N7" i="14"/>
  <c r="P101" i="16"/>
  <c r="P82" i="15"/>
  <c r="O80" i="18"/>
  <c r="N10" i="14"/>
  <c r="P66" i="15"/>
  <c r="U22" i="17"/>
  <c r="T22" i="17"/>
  <c r="T49" i="17"/>
  <c r="O82" i="18"/>
  <c r="T78" i="17"/>
  <c r="P27" i="17"/>
  <c r="R6" i="14"/>
  <c r="T123" i="15"/>
  <c r="Q113" i="16"/>
  <c r="U82" i="17"/>
  <c r="P55" i="17"/>
  <c r="U50" i="17"/>
  <c r="O108" i="15"/>
  <c r="U101" i="18"/>
  <c r="T96" i="18"/>
  <c r="U34" i="17"/>
  <c r="T59" i="17"/>
  <c r="T73" i="17"/>
  <c r="P83" i="16"/>
  <c r="T39" i="17"/>
  <c r="U112" i="15"/>
  <c r="Q83" i="16"/>
  <c r="U41" i="17"/>
  <c r="U90" i="16"/>
  <c r="U83" i="15"/>
  <c r="P125" i="15"/>
  <c r="T36" i="18"/>
  <c r="P48" i="17"/>
  <c r="O101" i="18"/>
  <c r="Q77" i="16"/>
  <c r="P45" i="18"/>
  <c r="T83" i="17"/>
  <c r="U98" i="16"/>
  <c r="O75" i="17"/>
  <c r="U102" i="16"/>
  <c r="O58" i="17"/>
  <c r="V95" i="16"/>
  <c r="S14" i="14"/>
  <c r="U124" i="15"/>
  <c r="O77" i="18"/>
  <c r="T60" i="15"/>
  <c r="M8" i="14"/>
  <c r="O8" i="14" s="1"/>
  <c r="O23" i="17"/>
  <c r="O68" i="17"/>
  <c r="Q81" i="16"/>
  <c r="P107" i="16"/>
  <c r="T100" i="18"/>
  <c r="T9" i="15"/>
  <c r="T18" i="18"/>
  <c r="T49" i="15"/>
  <c r="O48" i="15"/>
  <c r="T110" i="15"/>
  <c r="U98" i="15"/>
  <c r="T23" i="17"/>
  <c r="U51" i="18"/>
  <c r="U89" i="17"/>
  <c r="Q109" i="16"/>
  <c r="O68" i="15"/>
  <c r="O90" i="17"/>
  <c r="T85" i="15"/>
  <c r="V96" i="16"/>
  <c r="O13" i="14"/>
  <c r="U24" i="17"/>
  <c r="U88" i="15"/>
  <c r="T82" i="17"/>
  <c r="O48" i="17"/>
  <c r="O87" i="18"/>
  <c r="R12" i="14"/>
  <c r="U67" i="15"/>
  <c r="P51" i="18"/>
  <c r="P86" i="17"/>
  <c r="U108" i="18"/>
  <c r="U85" i="16"/>
  <c r="O100" i="15"/>
  <c r="T63" i="15"/>
  <c r="O85" i="17"/>
  <c r="T32" i="17"/>
  <c r="T76" i="17"/>
  <c r="O7" i="18"/>
  <c r="U60" i="17"/>
  <c r="U110" i="16"/>
  <c r="U71" i="15"/>
  <c r="P9" i="15"/>
  <c r="U114" i="18"/>
  <c r="T84" i="18"/>
  <c r="O65" i="17"/>
  <c r="P70" i="17"/>
  <c r="T53" i="17"/>
  <c r="U74" i="15"/>
  <c r="U3" i="15"/>
  <c r="P50" i="18"/>
  <c r="U18" i="17"/>
  <c r="Q80" i="16"/>
  <c r="U8" i="17"/>
  <c r="T25" i="17"/>
  <c r="O88" i="18"/>
  <c r="T97" i="18"/>
  <c r="T110" i="18"/>
  <c r="O42" i="17"/>
  <c r="T93" i="18"/>
  <c r="U108" i="15"/>
  <c r="T31" i="17"/>
  <c r="P79" i="18"/>
  <c r="T101" i="18"/>
  <c r="O88" i="15"/>
  <c r="U72" i="15"/>
  <c r="U56" i="17"/>
  <c r="P54" i="17"/>
  <c r="V76" i="16"/>
  <c r="U111" i="15"/>
  <c r="O105" i="18"/>
  <c r="U79" i="18"/>
  <c r="T112" i="18"/>
  <c r="P36" i="17"/>
  <c r="S5" i="14"/>
  <c r="Q86" i="16"/>
  <c r="T88" i="18"/>
  <c r="U112" i="16"/>
  <c r="P72" i="17"/>
  <c r="O56" i="17"/>
  <c r="M14" i="14"/>
  <c r="O14" i="14" s="1"/>
  <c r="V83" i="16"/>
  <c r="P87" i="17"/>
  <c r="P115" i="18"/>
  <c r="P44" i="18"/>
  <c r="U90" i="18"/>
  <c r="T61" i="17"/>
  <c r="O41" i="17"/>
  <c r="O94" i="15"/>
  <c r="P8" i="15"/>
  <c r="P38" i="17"/>
  <c r="O80" i="15"/>
  <c r="N18" i="14"/>
  <c r="U51" i="17"/>
  <c r="T68" i="17"/>
  <c r="P73" i="15"/>
  <c r="N20" i="14"/>
  <c r="O99" i="15"/>
  <c r="U85" i="17"/>
  <c r="P86" i="15"/>
  <c r="P114" i="18"/>
  <c r="O71" i="17"/>
  <c r="I4" i="1"/>
  <c r="O118" i="15"/>
  <c r="P105" i="18"/>
  <c r="R4" i="14"/>
  <c r="T54" i="15"/>
  <c r="V87" i="16"/>
  <c r="T78" i="18"/>
  <c r="T53" i="15"/>
  <c r="AE11" i="14"/>
  <c r="P89" i="17"/>
  <c r="R13" i="14"/>
  <c r="Q100" i="16"/>
  <c r="U11" i="18"/>
  <c r="P12" i="17"/>
  <c r="S3" i="14"/>
  <c r="O29" i="17"/>
  <c r="O114" i="15"/>
  <c r="P37" i="17"/>
  <c r="T11" i="18"/>
  <c r="U48" i="15"/>
  <c r="R8" i="14"/>
  <c r="U105" i="18"/>
  <c r="T80" i="18"/>
  <c r="O76" i="18"/>
  <c r="U59" i="15"/>
  <c r="O125" i="15"/>
  <c r="P83" i="18"/>
  <c r="P104" i="15"/>
  <c r="V93" i="16"/>
  <c r="U76" i="16"/>
  <c r="W34" i="19"/>
  <c r="AH11" i="16"/>
  <c r="AG11" i="15"/>
  <c r="AG11" i="17"/>
  <c r="AG11" i="14"/>
  <c r="AE12" i="14"/>
  <c r="W35" i="19"/>
  <c r="AH12" i="16"/>
  <c r="AJ11" i="16"/>
  <c r="AI11" i="15"/>
  <c r="AG12" i="17"/>
  <c r="AI11" i="17"/>
  <c r="AG12" i="14"/>
  <c r="AE13" i="14"/>
  <c r="W36" i="19"/>
  <c r="AH13" i="16"/>
  <c r="AJ12" i="16"/>
  <c r="AG13" i="17"/>
  <c r="AI12" i="17"/>
  <c r="AE14" i="14"/>
  <c r="AG13" i="14"/>
  <c r="W37" i="19"/>
  <c r="AJ13" i="16"/>
  <c r="AH14" i="16"/>
  <c r="AG14" i="17"/>
  <c r="AI13" i="17"/>
  <c r="AG14" i="14"/>
  <c r="AE15" i="14"/>
  <c r="AJ14" i="16"/>
  <c r="AH15" i="16"/>
  <c r="AG15" i="17"/>
  <c r="AI14" i="17"/>
  <c r="AG15" i="14"/>
  <c r="AE16" i="14"/>
  <c r="AH16" i="16"/>
  <c r="AJ15" i="16"/>
  <c r="AG16" i="17"/>
  <c r="AI15" i="17"/>
  <c r="AE17" i="14"/>
  <c r="AG16" i="14"/>
  <c r="AH17" i="16"/>
  <c r="AJ16" i="16"/>
  <c r="AI16" i="17"/>
  <c r="AG17" i="17"/>
  <c r="AE18" i="14"/>
  <c r="AG17" i="14"/>
  <c r="AH18" i="16"/>
  <c r="AJ17" i="16"/>
  <c r="AG18" i="17"/>
  <c r="AI17" i="17"/>
  <c r="AE19" i="14"/>
  <c r="AG18" i="14"/>
  <c r="AJ18" i="16"/>
  <c r="AH19" i="16"/>
  <c r="AG19" i="17"/>
  <c r="AI18" i="17"/>
  <c r="AE20" i="14"/>
  <c r="AG19" i="14"/>
  <c r="AH20" i="16"/>
  <c r="AJ19" i="16"/>
  <c r="AG20" i="17"/>
  <c r="AI19" i="17"/>
  <c r="AG20" i="14"/>
  <c r="AE21" i="14"/>
  <c r="AJ20" i="16"/>
  <c r="AH21" i="16"/>
  <c r="AI20" i="17"/>
  <c r="AG21" i="17"/>
  <c r="AE22" i="14"/>
  <c r="AG22" i="14" s="1"/>
  <c r="AG21" i="14"/>
  <c r="AH22" i="16"/>
  <c r="AJ21" i="16"/>
  <c r="AI21" i="17"/>
  <c r="AG22" i="17"/>
  <c r="AI22" i="17" s="1"/>
  <c r="AK22" i="17" l="1"/>
  <c r="AM22" i="17"/>
  <c r="AK21" i="17"/>
  <c r="AM21" i="17"/>
  <c r="AK21" i="14"/>
  <c r="AI21" i="14"/>
  <c r="AK22" i="14"/>
  <c r="AI22" i="14"/>
  <c r="AM20" i="17"/>
  <c r="AK20" i="17"/>
  <c r="AI20" i="14"/>
  <c r="AK20" i="14"/>
  <c r="AK19" i="17"/>
  <c r="AM19" i="17"/>
  <c r="AI19" i="14"/>
  <c r="AK19" i="14"/>
  <c r="AM18" i="17"/>
  <c r="AK18" i="17"/>
  <c r="AI18" i="14"/>
  <c r="AK18" i="14"/>
  <c r="AK17" i="17"/>
  <c r="AM17" i="17"/>
  <c r="AI17" i="14"/>
  <c r="AK17" i="14"/>
  <c r="AM16" i="17"/>
  <c r="AK16" i="17"/>
  <c r="AI16" i="14"/>
  <c r="AK16" i="14"/>
  <c r="AK15" i="17"/>
  <c r="AM15" i="17"/>
  <c r="AN15" i="16"/>
  <c r="AL15" i="16"/>
  <c r="AI15" i="14"/>
  <c r="AK15" i="14"/>
  <c r="AM14" i="17"/>
  <c r="AK14" i="17"/>
  <c r="AN14" i="16"/>
  <c r="AL14" i="16"/>
  <c r="AK14" i="14"/>
  <c r="AI14" i="14"/>
  <c r="AK13" i="17"/>
  <c r="AM13" i="17"/>
  <c r="AN13" i="16"/>
  <c r="AL13" i="16"/>
  <c r="AI13" i="14"/>
  <c r="AK13" i="14"/>
  <c r="AK12" i="17"/>
  <c r="AM12" i="17"/>
  <c r="AN12" i="16"/>
  <c r="AL12" i="16"/>
  <c r="B39" i="15"/>
  <c r="X36" i="19"/>
  <c r="AI12" i="14"/>
  <c r="AK12" i="14"/>
  <c r="AM11" i="17"/>
  <c r="AK11" i="17"/>
  <c r="AM11" i="15"/>
  <c r="AK11" i="15"/>
  <c r="AL11" i="16"/>
  <c r="AN11" i="16"/>
  <c r="X35" i="19"/>
  <c r="B38" i="15"/>
  <c r="AI11" i="14"/>
  <c r="AK11" i="14"/>
  <c r="X34" i="19"/>
  <c r="B37" i="15"/>
  <c r="Y54" i="16"/>
  <c r="Y48" i="16"/>
  <c r="Y27" i="16"/>
  <c r="Y18" i="16"/>
  <c r="Y84" i="16"/>
  <c r="Y95" i="16"/>
  <c r="Y16" i="16"/>
  <c r="Y42" i="16"/>
  <c r="Y114" i="16"/>
  <c r="Y83" i="16"/>
  <c r="Y62" i="16"/>
  <c r="Y9" i="16"/>
  <c r="Y90" i="16"/>
  <c r="Y38" i="16"/>
  <c r="Y12" i="16"/>
  <c r="Y105" i="16"/>
  <c r="Y3" i="16"/>
  <c r="Y97" i="16"/>
  <c r="Y89" i="16"/>
  <c r="Y111" i="16"/>
  <c r="Y51" i="16"/>
  <c r="Y10" i="16"/>
  <c r="Y40" i="16"/>
  <c r="Y49" i="16"/>
  <c r="Y4" i="16"/>
  <c r="Y44" i="16"/>
  <c r="Y55" i="16"/>
  <c r="Y70" i="16"/>
  <c r="Y7" i="16"/>
  <c r="Y66" i="16"/>
  <c r="Y108" i="16"/>
  <c r="Y96" i="16"/>
  <c r="Y19" i="16"/>
  <c r="Y93" i="16"/>
  <c r="Y6" i="16"/>
  <c r="Y13" i="16"/>
  <c r="Y85" i="16"/>
  <c r="Y20" i="16"/>
  <c r="Y5" i="16"/>
  <c r="Y86" i="16"/>
  <c r="Y14" i="16"/>
  <c r="Y28" i="16"/>
  <c r="Y73" i="16"/>
  <c r="Y30" i="16"/>
  <c r="Y22" i="16"/>
  <c r="Y75" i="16"/>
  <c r="Y45" i="16"/>
  <c r="Y47" i="16"/>
  <c r="Y52" i="16"/>
  <c r="Y29" i="16"/>
  <c r="Y71" i="16"/>
  <c r="Y81" i="16"/>
  <c r="Y43" i="16"/>
  <c r="Y100" i="16"/>
  <c r="Y24" i="16"/>
  <c r="Y110" i="16"/>
  <c r="Y102" i="16"/>
  <c r="Y36" i="16"/>
  <c r="Y63" i="16"/>
  <c r="Y68" i="16"/>
  <c r="Y99" i="16"/>
  <c r="Y88" i="16"/>
  <c r="Y58" i="16"/>
  <c r="Y46" i="16"/>
  <c r="Y57" i="16"/>
  <c r="Y53" i="16"/>
  <c r="Y61" i="16"/>
  <c r="Y113" i="16"/>
  <c r="Y31" i="16"/>
  <c r="Y76" i="16"/>
  <c r="Y78" i="16"/>
  <c r="Y79" i="16"/>
  <c r="Y50" i="16"/>
  <c r="Y64" i="16"/>
  <c r="Y25" i="16"/>
  <c r="Y59" i="16"/>
  <c r="Y101" i="16"/>
  <c r="Y15" i="16"/>
  <c r="Y8" i="16"/>
  <c r="Y80" i="16"/>
  <c r="Y87" i="16"/>
  <c r="Y107" i="16"/>
  <c r="Y109" i="16"/>
  <c r="Y106" i="16"/>
  <c r="Y34" i="16"/>
  <c r="Y104" i="16"/>
  <c r="Y17" i="16"/>
  <c r="Y32" i="16"/>
  <c r="Y82" i="16"/>
  <c r="Y56" i="16"/>
  <c r="Y74" i="16"/>
  <c r="Y77" i="16"/>
  <c r="Y94" i="16"/>
  <c r="Y11" i="16"/>
  <c r="Y60" i="16"/>
  <c r="Y67" i="16"/>
  <c r="Y65" i="16"/>
  <c r="Y41" i="16"/>
  <c r="Y23" i="16"/>
  <c r="Y39" i="16"/>
  <c r="Y98" i="16"/>
  <c r="Y26" i="16"/>
  <c r="Y69" i="16"/>
  <c r="Y72" i="16"/>
  <c r="Y91" i="16"/>
  <c r="Y115" i="16"/>
  <c r="Y35" i="16"/>
  <c r="Y92" i="16"/>
  <c r="Y37" i="16"/>
  <c r="Y103" i="16"/>
  <c r="Y112" i="16"/>
  <c r="Y33" i="16"/>
  <c r="Y21" i="16"/>
  <c r="X24" i="17"/>
  <c r="X13" i="17"/>
  <c r="X18" i="17"/>
  <c r="X53" i="17"/>
  <c r="X62" i="17"/>
  <c r="X66" i="17"/>
  <c r="X61" i="17"/>
  <c r="X43" i="17"/>
  <c r="X5" i="17"/>
  <c r="X30" i="17"/>
  <c r="X58" i="17"/>
  <c r="X84" i="17"/>
  <c r="X29" i="17"/>
  <c r="X90" i="17"/>
  <c r="X64" i="17"/>
  <c r="X88" i="17"/>
  <c r="X74" i="17"/>
  <c r="X81" i="17"/>
  <c r="X75" i="17"/>
  <c r="X82" i="17"/>
  <c r="X42" i="17"/>
  <c r="X28" i="17"/>
  <c r="X16" i="17"/>
  <c r="X68" i="17"/>
  <c r="X35" i="17"/>
  <c r="X52" i="17"/>
  <c r="X23" i="17"/>
  <c r="X8" i="17"/>
  <c r="X47" i="17"/>
  <c r="X48" i="17"/>
  <c r="X65" i="17"/>
  <c r="X32" i="17"/>
  <c r="X79" i="17"/>
  <c r="X41" i="17"/>
  <c r="X69" i="17"/>
  <c r="X50" i="17"/>
  <c r="X85" i="17"/>
  <c r="X70" i="17"/>
  <c r="X89" i="17"/>
  <c r="X77" i="17"/>
  <c r="X51" i="17"/>
  <c r="X34" i="17"/>
  <c r="X38" i="17"/>
  <c r="X20" i="17"/>
  <c r="X71" i="17"/>
  <c r="X86" i="17"/>
  <c r="X4" i="17"/>
  <c r="X9" i="17"/>
  <c r="X25" i="17"/>
  <c r="X33" i="17"/>
  <c r="X27" i="17"/>
  <c r="X22" i="17"/>
  <c r="X3" i="17"/>
  <c r="X45" i="17"/>
  <c r="X80" i="17"/>
  <c r="X63" i="17"/>
  <c r="X49" i="17"/>
  <c r="X55" i="17"/>
  <c r="X14" i="17"/>
  <c r="X39" i="17"/>
  <c r="X10" i="17"/>
  <c r="X57" i="17"/>
  <c r="X78" i="17"/>
  <c r="X37" i="17"/>
  <c r="X7" i="17"/>
  <c r="X72" i="17"/>
  <c r="X87" i="17"/>
  <c r="X76" i="17"/>
  <c r="X21" i="17"/>
  <c r="X46" i="17"/>
  <c r="X91" i="17"/>
  <c r="X36" i="17"/>
  <c r="X26" i="17"/>
  <c r="X40" i="17"/>
  <c r="X31" i="17"/>
  <c r="X17" i="17"/>
  <c r="X44" i="17"/>
  <c r="X15" i="17"/>
  <c r="X6" i="17"/>
  <c r="X83" i="17"/>
  <c r="X67" i="17"/>
  <c r="X73" i="17"/>
  <c r="X11" i="17"/>
  <c r="X60" i="17"/>
  <c r="X54" i="17"/>
  <c r="X19" i="17"/>
  <c r="X12" i="17"/>
  <c r="X56" i="17"/>
  <c r="X59" i="17"/>
  <c r="X45" i="18"/>
  <c r="X66" i="18"/>
  <c r="X111" i="18"/>
  <c r="X49" i="18"/>
  <c r="X28" i="18"/>
  <c r="X64" i="18"/>
  <c r="X78" i="18"/>
  <c r="X9" i="18"/>
  <c r="X53" i="18"/>
  <c r="X77" i="18"/>
  <c r="X100" i="18"/>
  <c r="X11" i="18"/>
  <c r="X98" i="18"/>
  <c r="X106" i="18"/>
  <c r="X109" i="18"/>
  <c r="X3" i="18"/>
  <c r="X58" i="18"/>
  <c r="X70" i="18"/>
  <c r="X24" i="18"/>
  <c r="X7" i="18"/>
  <c r="X32" i="18"/>
  <c r="X101" i="18"/>
  <c r="X57" i="18"/>
  <c r="X23" i="18"/>
  <c r="X25" i="18"/>
  <c r="X69" i="18"/>
  <c r="X65" i="18"/>
  <c r="X37" i="18"/>
  <c r="X50" i="18"/>
  <c r="X88" i="18"/>
  <c r="X4" i="18"/>
  <c r="X36" i="18"/>
  <c r="X95" i="18"/>
  <c r="X18" i="18"/>
  <c r="X75" i="18"/>
  <c r="X29" i="18"/>
  <c r="X93" i="18"/>
  <c r="X91" i="18"/>
  <c r="X92" i="18"/>
  <c r="X43" i="18"/>
  <c r="X21" i="18"/>
  <c r="X73" i="18"/>
  <c r="X54" i="18"/>
  <c r="X71" i="18"/>
  <c r="X60" i="18"/>
  <c r="X30" i="18"/>
  <c r="X33" i="18"/>
  <c r="X102" i="18"/>
  <c r="X97" i="18"/>
  <c r="X83" i="18"/>
  <c r="X110" i="18"/>
  <c r="X42" i="18"/>
  <c r="X67" i="18"/>
  <c r="X38" i="18"/>
  <c r="X59" i="18"/>
  <c r="X105" i="18"/>
  <c r="X46" i="18"/>
  <c r="X51" i="18"/>
  <c r="X112" i="18"/>
  <c r="X41" i="18"/>
  <c r="X68" i="18"/>
  <c r="X17" i="18"/>
  <c r="X99" i="18"/>
  <c r="X31" i="18"/>
  <c r="X56" i="18"/>
  <c r="X81" i="18"/>
  <c r="X76" i="18"/>
  <c r="X12" i="18"/>
  <c r="X72" i="18"/>
  <c r="X26" i="18"/>
  <c r="X40" i="18"/>
  <c r="X27" i="18"/>
  <c r="X13" i="18"/>
  <c r="X96" i="18"/>
  <c r="X35" i="18"/>
  <c r="X85" i="18"/>
  <c r="X8" i="18"/>
  <c r="X47" i="18"/>
  <c r="X94" i="18"/>
  <c r="X114" i="18"/>
  <c r="X115" i="18"/>
  <c r="X87" i="18"/>
  <c r="X44" i="18"/>
  <c r="X20" i="18"/>
  <c r="X14" i="18"/>
  <c r="X19" i="18"/>
  <c r="X52" i="18"/>
  <c r="X15" i="18"/>
  <c r="X84" i="18"/>
  <c r="X80" i="18"/>
  <c r="X39" i="18"/>
  <c r="X63" i="18"/>
  <c r="X61" i="18"/>
  <c r="X79" i="18"/>
  <c r="X6" i="18"/>
  <c r="X62" i="18"/>
  <c r="X5" i="18"/>
  <c r="X22" i="18"/>
  <c r="X113" i="18"/>
  <c r="X86" i="18"/>
  <c r="X90" i="18"/>
  <c r="X34" i="18"/>
  <c r="X108" i="18"/>
  <c r="X16" i="18"/>
  <c r="X74" i="18"/>
  <c r="X48" i="18"/>
  <c r="X104" i="18"/>
  <c r="X103" i="18"/>
  <c r="X55" i="18"/>
  <c r="X89" i="18"/>
  <c r="X10" i="18"/>
  <c r="X107" i="18"/>
  <c r="X82" i="18"/>
  <c r="AN21" i="16"/>
  <c r="AL21" i="16"/>
  <c r="AN20" i="16"/>
  <c r="AL20" i="16"/>
  <c r="AN19" i="16"/>
  <c r="AL19" i="16"/>
  <c r="AN18" i="16"/>
  <c r="AL18" i="16"/>
  <c r="AN17" i="16"/>
  <c r="AL17" i="16"/>
  <c r="AL16" i="16"/>
  <c r="AN16" i="16"/>
  <c r="B40" i="15"/>
  <c r="X37" i="19"/>
  <c r="AE23" i="14"/>
  <c r="AG23" i="14" s="1"/>
  <c r="AA16" i="16"/>
  <c r="AC16" i="16"/>
  <c r="Z16" i="16"/>
  <c r="AD16" i="16"/>
  <c r="AB16" i="16"/>
  <c r="AA12" i="16"/>
  <c r="AD12" i="16"/>
  <c r="Z12" i="16"/>
  <c r="AB12" i="16"/>
  <c r="AC12" i="16"/>
  <c r="AD40" i="16"/>
  <c r="AB40" i="16"/>
  <c r="Z40" i="16"/>
  <c r="AA40" i="16"/>
  <c r="AC40" i="16"/>
  <c r="AA108" i="16"/>
  <c r="AB108" i="16"/>
  <c r="AC108" i="16"/>
  <c r="Z108" i="16"/>
  <c r="AD108" i="16"/>
  <c r="AB5" i="16"/>
  <c r="AA5" i="16"/>
  <c r="AD5" i="16"/>
  <c r="Z5" i="16"/>
  <c r="AC5" i="16"/>
  <c r="AD45" i="16"/>
  <c r="AC45" i="16"/>
  <c r="Z45" i="16"/>
  <c r="AA45" i="16"/>
  <c r="AB45" i="16"/>
  <c r="AC24" i="16"/>
  <c r="AD24" i="16"/>
  <c r="AA24" i="16"/>
  <c r="Z24" i="16"/>
  <c r="AB24" i="16"/>
  <c r="AD58" i="16"/>
  <c r="Z58" i="16"/>
  <c r="AB58" i="16"/>
  <c r="AC58" i="16"/>
  <c r="AA58" i="16"/>
  <c r="AD78" i="16"/>
  <c r="Z78" i="16"/>
  <c r="AC78" i="16"/>
  <c r="AA78" i="16"/>
  <c r="AB78" i="16"/>
  <c r="AA8" i="16"/>
  <c r="Z8" i="16"/>
  <c r="AD8" i="16"/>
  <c r="AB8" i="16"/>
  <c r="AC8" i="16"/>
  <c r="AC17" i="16"/>
  <c r="AB17" i="16"/>
  <c r="Z17" i="16"/>
  <c r="AD17" i="16"/>
  <c r="AA17" i="16"/>
  <c r="Z60" i="16"/>
  <c r="AB60" i="16"/>
  <c r="AA60" i="16"/>
  <c r="AC60" i="16"/>
  <c r="AD60" i="16"/>
  <c r="AC69" i="16"/>
  <c r="Z69" i="16"/>
  <c r="AB69" i="16"/>
  <c r="AD69" i="16"/>
  <c r="AA69" i="16"/>
  <c r="AD112" i="16"/>
  <c r="AC112" i="16"/>
  <c r="Z112" i="16"/>
  <c r="AA112" i="16"/>
  <c r="AB112" i="16"/>
  <c r="Y66" i="17"/>
  <c r="AB66" i="17"/>
  <c r="AC66" i="17"/>
  <c r="Z66" i="17"/>
  <c r="AA66" i="17"/>
  <c r="Z90" i="17"/>
  <c r="Y90" i="17"/>
  <c r="AB90" i="17"/>
  <c r="AA90" i="17"/>
  <c r="AC90" i="17"/>
  <c r="Z28" i="17"/>
  <c r="AB28" i="17"/>
  <c r="Y28" i="17"/>
  <c r="AA28" i="17"/>
  <c r="AC28" i="17"/>
  <c r="AB48" i="17"/>
  <c r="AC48" i="17"/>
  <c r="AA48" i="17"/>
  <c r="Z48" i="17"/>
  <c r="Y48" i="17"/>
  <c r="AB70" i="17"/>
  <c r="Z70" i="17"/>
  <c r="AC70" i="17"/>
  <c r="Y70" i="17"/>
  <c r="AA70" i="17"/>
  <c r="Y86" i="17"/>
  <c r="AC86" i="17"/>
  <c r="AB86" i="17"/>
  <c r="Z86" i="17"/>
  <c r="AA86" i="17"/>
  <c r="AA45" i="17"/>
  <c r="Y45" i="17"/>
  <c r="AC45" i="17"/>
  <c r="AB45" i="17"/>
  <c r="Z45" i="17"/>
  <c r="AB57" i="17"/>
  <c r="Z57" i="17"/>
  <c r="AC57" i="17"/>
  <c r="Y57" i="17"/>
  <c r="AA57" i="17"/>
  <c r="AC46" i="17"/>
  <c r="AA46" i="17"/>
  <c r="Z46" i="17"/>
  <c r="Y46" i="17"/>
  <c r="AB46" i="17"/>
  <c r="AB15" i="17"/>
  <c r="AC15" i="17"/>
  <c r="AA15" i="17"/>
  <c r="Y15" i="17"/>
  <c r="Z15" i="17"/>
  <c r="Y19" i="17"/>
  <c r="Z19" i="17"/>
  <c r="AC19" i="17"/>
  <c r="AA19" i="17"/>
  <c r="AB19" i="17"/>
  <c r="Z28" i="18"/>
  <c r="AA28" i="18"/>
  <c r="Y28" i="18"/>
  <c r="AC28" i="18"/>
  <c r="AB28" i="18"/>
  <c r="Y98" i="18"/>
  <c r="Z98" i="18"/>
  <c r="AA98" i="18"/>
  <c r="AB98" i="18"/>
  <c r="AC98" i="18"/>
  <c r="Y32" i="18"/>
  <c r="AC32" i="18"/>
  <c r="AB32" i="18"/>
  <c r="Z32" i="18"/>
  <c r="AA32" i="18"/>
  <c r="AA50" i="18"/>
  <c r="Z50" i="18"/>
  <c r="AB50" i="18"/>
  <c r="Y50" i="18"/>
  <c r="AC50" i="18"/>
  <c r="AB93" i="18"/>
  <c r="AA93" i="18"/>
  <c r="Y93" i="18"/>
  <c r="AC93" i="18"/>
  <c r="Z93" i="18"/>
  <c r="AC60" i="18"/>
  <c r="Y60" i="18"/>
  <c r="AB60" i="18"/>
  <c r="Z60" i="18"/>
  <c r="AA60" i="18"/>
  <c r="AC67" i="18"/>
  <c r="Z67" i="18"/>
  <c r="AB67" i="18"/>
  <c r="AA67" i="18"/>
  <c r="Y67" i="18"/>
  <c r="AC68" i="18"/>
  <c r="Z68" i="18"/>
  <c r="Y68" i="18"/>
  <c r="AB68" i="18"/>
  <c r="AA68" i="18"/>
  <c r="AA72" i="18"/>
  <c r="AC72" i="18"/>
  <c r="AB72" i="18"/>
  <c r="Y72" i="18"/>
  <c r="Z72" i="18"/>
  <c r="AB8" i="18"/>
  <c r="Z8" i="18"/>
  <c r="Y8" i="18"/>
  <c r="AC8" i="18"/>
  <c r="AA8" i="18"/>
  <c r="Z14" i="18"/>
  <c r="AA14" i="18"/>
  <c r="AC14" i="18"/>
  <c r="Y14" i="18"/>
  <c r="AB14" i="18"/>
  <c r="AC61" i="18"/>
  <c r="AB61" i="18"/>
  <c r="Z61" i="18"/>
  <c r="Y61" i="18"/>
  <c r="AA61" i="18"/>
  <c r="AB90" i="18"/>
  <c r="Z90" i="18"/>
  <c r="AA90" i="18"/>
  <c r="AC90" i="18"/>
  <c r="Y90" i="18"/>
  <c r="AA55" i="18"/>
  <c r="Z55" i="18"/>
  <c r="AB55" i="18"/>
  <c r="Y55" i="18"/>
  <c r="AC55" i="18"/>
  <c r="AA16" i="17"/>
  <c r="Y16" i="17"/>
  <c r="Z16" i="17"/>
  <c r="AB16" i="17"/>
  <c r="AC16" i="17"/>
  <c r="AA79" i="18"/>
  <c r="AB79" i="18"/>
  <c r="Y79" i="18"/>
  <c r="AC79" i="18"/>
  <c r="Z79" i="18"/>
  <c r="AG23" i="17"/>
  <c r="AI23" i="17" s="1"/>
  <c r="AA43" i="17"/>
  <c r="AB43" i="17"/>
  <c r="Y43" i="17"/>
  <c r="Z43" i="17"/>
  <c r="AC43" i="17"/>
  <c r="Y78" i="18"/>
  <c r="AA78" i="18"/>
  <c r="AB78" i="18"/>
  <c r="Z78" i="18"/>
  <c r="AC78" i="18"/>
  <c r="Z94" i="18"/>
  <c r="AB94" i="18"/>
  <c r="AC94" i="18"/>
  <c r="AA94" i="18"/>
  <c r="Y94" i="18"/>
  <c r="AG12" i="15"/>
  <c r="AC107" i="16"/>
  <c r="Z107" i="16"/>
  <c r="AA107" i="16"/>
  <c r="AB107" i="16"/>
  <c r="AD107" i="16"/>
  <c r="AC35" i="17"/>
  <c r="Y35" i="17"/>
  <c r="AB35" i="17"/>
  <c r="AA35" i="17"/>
  <c r="Z35" i="17"/>
  <c r="AB67" i="17"/>
  <c r="Z67" i="17"/>
  <c r="AA67" i="17"/>
  <c r="AC67" i="17"/>
  <c r="Y67" i="17"/>
  <c r="Y3" i="18"/>
  <c r="Z3" i="18"/>
  <c r="AB3" i="18"/>
  <c r="AA3" i="18"/>
  <c r="AC3" i="18"/>
  <c r="Y36" i="18"/>
  <c r="Z36" i="18"/>
  <c r="AB36" i="18"/>
  <c r="AA36" i="18"/>
  <c r="AC36" i="18"/>
  <c r="Z102" i="18"/>
  <c r="AB102" i="18"/>
  <c r="AA102" i="18"/>
  <c r="Y102" i="18"/>
  <c r="AC102" i="18"/>
  <c r="Z27" i="18"/>
  <c r="AC27" i="18"/>
  <c r="Y27" i="18"/>
  <c r="AB27" i="18"/>
  <c r="AA27" i="18"/>
  <c r="Y15" i="18"/>
  <c r="AC15" i="18"/>
  <c r="AA15" i="18"/>
  <c r="Z15" i="18"/>
  <c r="AB15" i="18"/>
  <c r="Y16" i="18"/>
  <c r="AA16" i="18"/>
  <c r="AC16" i="18"/>
  <c r="AB16" i="18"/>
  <c r="Z16" i="18"/>
  <c r="Y37" i="19"/>
  <c r="AG23" i="15"/>
  <c r="AI23" i="15" s="1"/>
  <c r="AC25" i="18"/>
  <c r="AB25" i="18"/>
  <c r="AA25" i="18"/>
  <c r="Y25" i="18"/>
  <c r="Z25" i="18"/>
  <c r="W38" i="19"/>
  <c r="Z36" i="19"/>
  <c r="AA36" i="19"/>
  <c r="Y36" i="19"/>
  <c r="AH23" i="16"/>
  <c r="AJ23" i="16" s="1"/>
  <c r="AA77" i="18"/>
  <c r="AB77" i="18"/>
  <c r="Z77" i="18"/>
  <c r="AC77" i="18"/>
  <c r="Y77" i="18"/>
  <c r="AA35" i="19"/>
  <c r="Z35" i="19"/>
  <c r="Y35" i="19"/>
  <c r="AC84" i="16"/>
  <c r="Z84" i="16"/>
  <c r="AA84" i="16"/>
  <c r="AB84" i="16"/>
  <c r="AD84" i="16"/>
  <c r="AD90" i="16"/>
  <c r="AB90" i="16"/>
  <c r="AC90" i="16"/>
  <c r="AA90" i="16"/>
  <c r="Z90" i="16"/>
  <c r="AB51" i="16"/>
  <c r="AA51" i="16"/>
  <c r="AD51" i="16"/>
  <c r="AC51" i="16"/>
  <c r="Z51" i="16"/>
  <c r="Z7" i="16"/>
  <c r="AC7" i="16"/>
  <c r="AD7" i="16"/>
  <c r="AB7" i="16"/>
  <c r="AA7" i="16"/>
  <c r="AC85" i="16"/>
  <c r="Z85" i="16"/>
  <c r="AD85" i="16"/>
  <c r="AA85" i="16"/>
  <c r="AB85" i="16"/>
  <c r="AB22" i="16"/>
  <c r="Z22" i="16"/>
  <c r="AA22" i="16"/>
  <c r="AD22" i="16"/>
  <c r="AC22" i="16"/>
  <c r="Z43" i="16"/>
  <c r="AC43" i="16"/>
  <c r="AA43" i="16"/>
  <c r="AB43" i="16"/>
  <c r="AD43" i="16"/>
  <c r="AA99" i="16"/>
  <c r="Z99" i="16"/>
  <c r="AC99" i="16"/>
  <c r="AD99" i="16"/>
  <c r="AB99" i="16"/>
  <c r="AC31" i="16"/>
  <c r="AD31" i="16"/>
  <c r="AA31" i="16"/>
  <c r="Z31" i="16"/>
  <c r="AB31" i="16"/>
  <c r="AA101" i="16"/>
  <c r="AB101" i="16"/>
  <c r="AD101" i="16"/>
  <c r="Z101" i="16"/>
  <c r="AC101" i="16"/>
  <c r="AB34" i="16"/>
  <c r="AA34" i="16"/>
  <c r="AC34" i="16"/>
  <c r="AD34" i="16"/>
  <c r="Z34" i="16"/>
  <c r="AC94" i="16"/>
  <c r="Z94" i="16"/>
  <c r="AA94" i="16"/>
  <c r="AB94" i="16"/>
  <c r="AD94" i="16"/>
  <c r="AB98" i="16"/>
  <c r="AD98" i="16"/>
  <c r="AC98" i="16"/>
  <c r="Z98" i="16"/>
  <c r="AA98" i="16"/>
  <c r="AA37" i="16"/>
  <c r="AC37" i="16"/>
  <c r="AD37" i="16"/>
  <c r="Z37" i="16"/>
  <c r="AB37" i="16"/>
  <c r="Z53" i="17"/>
  <c r="AA53" i="17"/>
  <c r="AC53" i="17"/>
  <c r="AB53" i="17"/>
  <c r="Y53" i="17"/>
  <c r="Y84" i="17"/>
  <c r="AA84" i="17"/>
  <c r="Z84" i="17"/>
  <c r="AC84" i="17"/>
  <c r="AB84" i="17"/>
  <c r="Z82" i="17"/>
  <c r="AA82" i="17"/>
  <c r="AC82" i="17"/>
  <c r="AB82" i="17"/>
  <c r="Y82" i="17"/>
  <c r="AA8" i="17"/>
  <c r="Z8" i="17"/>
  <c r="Y8" i="17"/>
  <c r="AC8" i="17"/>
  <c r="AB8" i="17"/>
  <c r="AA50" i="17"/>
  <c r="AB50" i="17"/>
  <c r="Z50" i="17"/>
  <c r="Y50" i="17"/>
  <c r="AC50" i="17"/>
  <c r="AC20" i="17"/>
  <c r="AB20" i="17"/>
  <c r="Z20" i="17"/>
  <c r="AA20" i="17"/>
  <c r="Y20" i="17"/>
  <c r="AC22" i="17"/>
  <c r="AB22" i="17"/>
  <c r="Z22" i="17"/>
  <c r="AA22" i="17"/>
  <c r="Y22" i="17"/>
  <c r="AA39" i="17"/>
  <c r="Z39" i="17"/>
  <c r="AB39" i="17"/>
  <c r="Y39" i="17"/>
  <c r="AC39" i="17"/>
  <c r="AB76" i="17"/>
  <c r="AA76" i="17"/>
  <c r="AC76" i="17"/>
  <c r="Y76" i="17"/>
  <c r="Z76" i="17"/>
  <c r="Z17" i="17"/>
  <c r="Y17" i="17"/>
  <c r="AB17" i="17"/>
  <c r="AC17" i="17"/>
  <c r="AA17" i="17"/>
  <c r="AA60" i="17"/>
  <c r="AB60" i="17"/>
  <c r="AC60" i="17"/>
  <c r="Z60" i="17"/>
  <c r="Y60" i="17"/>
  <c r="Y111" i="18"/>
  <c r="AA111" i="18"/>
  <c r="AB111" i="18"/>
  <c r="Z111" i="18"/>
  <c r="AC111" i="18"/>
  <c r="Y100" i="18"/>
  <c r="Z100" i="18"/>
  <c r="AB100" i="18"/>
  <c r="AA100" i="18"/>
  <c r="AC100" i="18"/>
  <c r="AB24" i="18"/>
  <c r="Z24" i="18"/>
  <c r="AA24" i="18"/>
  <c r="AC24" i="18"/>
  <c r="Y24" i="18"/>
  <c r="AA65" i="18"/>
  <c r="Y65" i="18"/>
  <c r="AC65" i="18"/>
  <c r="Z65" i="18"/>
  <c r="AB65" i="18"/>
  <c r="AA75" i="18"/>
  <c r="AB75" i="18"/>
  <c r="Z75" i="18"/>
  <c r="AC75" i="18"/>
  <c r="Y75" i="18"/>
  <c r="AC110" i="18"/>
  <c r="AB110" i="18"/>
  <c r="Y110" i="18"/>
  <c r="AA110" i="18"/>
  <c r="Z110" i="18"/>
  <c r="Z112" i="18"/>
  <c r="Y112" i="18"/>
  <c r="AC112" i="18"/>
  <c r="AA112" i="18"/>
  <c r="AB112" i="18"/>
  <c r="Z35" i="18"/>
  <c r="Y35" i="18"/>
  <c r="AA35" i="18"/>
  <c r="AC35" i="18"/>
  <c r="AB35" i="18"/>
  <c r="AC44" i="18"/>
  <c r="Y44" i="18"/>
  <c r="AB44" i="18"/>
  <c r="Z44" i="18"/>
  <c r="AA44" i="18"/>
  <c r="Z39" i="18"/>
  <c r="AC39" i="18"/>
  <c r="Y39" i="18"/>
  <c r="AA39" i="18"/>
  <c r="AB39" i="18"/>
  <c r="AA113" i="18"/>
  <c r="Z113" i="18"/>
  <c r="AB113" i="18"/>
  <c r="AC113" i="18"/>
  <c r="Y113" i="18"/>
  <c r="Y104" i="18"/>
  <c r="AB104" i="18"/>
  <c r="Z104" i="18"/>
  <c r="AC104" i="18"/>
  <c r="AA104" i="18"/>
  <c r="AD76" i="16"/>
  <c r="AA76" i="16"/>
  <c r="AB76" i="16"/>
  <c r="AC76" i="16"/>
  <c r="Z76" i="16"/>
  <c r="Z103" i="16"/>
  <c r="AA103" i="16"/>
  <c r="AB103" i="16"/>
  <c r="AD103" i="16"/>
  <c r="AC103" i="16"/>
  <c r="AA85" i="17"/>
  <c r="AB85" i="17"/>
  <c r="Z85" i="17"/>
  <c r="Y85" i="17"/>
  <c r="AC85" i="17"/>
  <c r="AC10" i="17"/>
  <c r="Z10" i="17"/>
  <c r="AB10" i="17"/>
  <c r="AA10" i="17"/>
  <c r="Y10" i="17"/>
  <c r="AB54" i="17"/>
  <c r="Y54" i="17"/>
  <c r="Z54" i="17"/>
  <c r="AC54" i="17"/>
  <c r="AA54" i="17"/>
  <c r="Z7" i="18"/>
  <c r="AC7" i="18"/>
  <c r="AA7" i="18"/>
  <c r="Y7" i="18"/>
  <c r="AB7" i="18"/>
  <c r="AB71" i="18"/>
  <c r="Z71" i="18"/>
  <c r="AA71" i="18"/>
  <c r="AC71" i="18"/>
  <c r="Y71" i="18"/>
  <c r="AC20" i="18"/>
  <c r="Z20" i="18"/>
  <c r="AA20" i="18"/>
  <c r="AB20" i="18"/>
  <c r="Y20" i="18"/>
  <c r="O6" i="14"/>
  <c r="V3" i="14" s="1" a="1"/>
  <c r="Z42" i="16"/>
  <c r="AC42" i="16"/>
  <c r="AB42" i="16"/>
  <c r="AA42" i="16"/>
  <c r="AD42" i="16"/>
  <c r="AC105" i="16"/>
  <c r="AB105" i="16"/>
  <c r="AD105" i="16"/>
  <c r="Z105" i="16"/>
  <c r="AA105" i="16"/>
  <c r="AB49" i="16"/>
  <c r="AA49" i="16"/>
  <c r="AD49" i="16"/>
  <c r="Z49" i="16"/>
  <c r="AC49" i="16"/>
  <c r="Z96" i="16"/>
  <c r="AB96" i="16"/>
  <c r="AA96" i="16"/>
  <c r="AC96" i="16"/>
  <c r="AD96" i="16"/>
  <c r="Z86" i="16"/>
  <c r="AA86" i="16"/>
  <c r="AB86" i="16"/>
  <c r="AC86" i="16"/>
  <c r="AD86" i="16"/>
  <c r="AC47" i="16"/>
  <c r="AD47" i="16"/>
  <c r="AA47" i="16"/>
  <c r="Z47" i="16"/>
  <c r="AB47" i="16"/>
  <c r="AB110" i="16"/>
  <c r="AA110" i="16"/>
  <c r="AD110" i="16"/>
  <c r="Z110" i="16"/>
  <c r="AC110" i="16"/>
  <c r="AC46" i="16"/>
  <c r="AB46" i="16"/>
  <c r="AD46" i="16"/>
  <c r="AA46" i="16"/>
  <c r="Z46" i="16"/>
  <c r="AD79" i="16"/>
  <c r="AB79" i="16"/>
  <c r="Z79" i="16"/>
  <c r="AC79" i="16"/>
  <c r="AA79" i="16"/>
  <c r="AA80" i="16"/>
  <c r="AD80" i="16"/>
  <c r="AB80" i="16"/>
  <c r="Z80" i="16"/>
  <c r="AC80" i="16"/>
  <c r="AB32" i="16"/>
  <c r="AA32" i="16"/>
  <c r="Z32" i="16"/>
  <c r="AD32" i="16"/>
  <c r="AC32" i="16"/>
  <c r="AB67" i="16"/>
  <c r="AA67" i="16"/>
  <c r="AD67" i="16"/>
  <c r="AC67" i="16"/>
  <c r="Z67" i="16"/>
  <c r="AC72" i="16"/>
  <c r="Z72" i="16"/>
  <c r="AB72" i="16"/>
  <c r="AD72" i="16"/>
  <c r="AA72" i="16"/>
  <c r="AC33" i="16"/>
  <c r="AD33" i="16"/>
  <c r="AB33" i="16"/>
  <c r="AA33" i="16"/>
  <c r="Z33" i="16"/>
  <c r="Y61" i="17"/>
  <c r="AC61" i="17"/>
  <c r="AA61" i="17"/>
  <c r="AB61" i="17"/>
  <c r="Z61" i="17"/>
  <c r="AA64" i="17"/>
  <c r="Y64" i="17"/>
  <c r="AB64" i="17"/>
  <c r="AC64" i="17"/>
  <c r="Z64" i="17"/>
  <c r="Y65" i="17"/>
  <c r="Z65" i="17"/>
  <c r="AB65" i="17"/>
  <c r="AC65" i="17"/>
  <c r="AA65" i="17"/>
  <c r="Y89" i="17"/>
  <c r="AC89" i="17"/>
  <c r="Z89" i="17"/>
  <c r="AA89" i="17"/>
  <c r="AB89" i="17"/>
  <c r="AB4" i="17"/>
  <c r="AC4" i="17"/>
  <c r="Y4" i="17"/>
  <c r="AA4" i="17"/>
  <c r="Z4" i="17"/>
  <c r="AA80" i="17"/>
  <c r="AC80" i="17"/>
  <c r="AB80" i="17"/>
  <c r="Y80" i="17"/>
  <c r="Z80" i="17"/>
  <c r="Z78" i="17"/>
  <c r="AA78" i="17"/>
  <c r="AB78" i="17"/>
  <c r="Y78" i="17"/>
  <c r="AC78" i="17"/>
  <c r="AC91" i="17"/>
  <c r="AA91" i="17"/>
  <c r="Y91" i="17"/>
  <c r="AB91" i="17"/>
  <c r="Z91" i="17"/>
  <c r="Z6" i="17"/>
  <c r="Y6" i="17"/>
  <c r="AC6" i="17"/>
  <c r="AA6" i="17"/>
  <c r="AB6" i="17"/>
  <c r="AB12" i="17"/>
  <c r="Y12" i="17"/>
  <c r="AC12" i="17"/>
  <c r="AA12" i="17"/>
  <c r="Z12" i="17"/>
  <c r="AC64" i="18"/>
  <c r="AA64" i="18"/>
  <c r="AB64" i="18"/>
  <c r="Z64" i="18"/>
  <c r="Y64" i="18"/>
  <c r="Y106" i="18"/>
  <c r="AB106" i="18"/>
  <c r="AA106" i="18"/>
  <c r="AC106" i="18"/>
  <c r="Z106" i="18"/>
  <c r="Z101" i="18"/>
  <c r="AB101" i="18"/>
  <c r="AA101" i="18"/>
  <c r="AC101" i="18"/>
  <c r="Y101" i="18"/>
  <c r="Y88" i="18"/>
  <c r="AA88" i="18"/>
  <c r="AB88" i="18"/>
  <c r="Z88" i="18"/>
  <c r="AC88" i="18"/>
  <c r="Z91" i="18"/>
  <c r="AB91" i="18"/>
  <c r="AA91" i="18"/>
  <c r="Y91" i="18"/>
  <c r="AC91" i="18"/>
  <c r="AC30" i="18"/>
  <c r="AB30" i="18"/>
  <c r="Z30" i="18"/>
  <c r="AA30" i="18"/>
  <c r="Y30" i="18"/>
  <c r="AC38" i="18"/>
  <c r="AB38" i="18"/>
  <c r="Z38" i="18"/>
  <c r="AA38" i="18"/>
  <c r="Y38" i="18"/>
  <c r="AA17" i="18"/>
  <c r="AC17" i="18"/>
  <c r="Y17" i="18"/>
  <c r="AB17" i="18"/>
  <c r="Z17" i="18"/>
  <c r="AC26" i="18"/>
  <c r="AA26" i="18"/>
  <c r="AB26" i="18"/>
  <c r="Y26" i="18"/>
  <c r="Z26" i="18"/>
  <c r="AA47" i="18"/>
  <c r="AB47" i="18"/>
  <c r="AC47" i="18"/>
  <c r="Z47" i="18"/>
  <c r="Y47" i="18"/>
  <c r="Y19" i="18"/>
  <c r="AC19" i="18"/>
  <c r="AB19" i="18"/>
  <c r="AA19" i="18"/>
  <c r="Z19" i="18"/>
  <c r="AC34" i="18"/>
  <c r="AA34" i="18"/>
  <c r="Y34" i="18"/>
  <c r="Z34" i="18"/>
  <c r="AB34" i="18"/>
  <c r="Z89" i="18"/>
  <c r="AA89" i="18"/>
  <c r="Y89" i="18"/>
  <c r="AB89" i="18"/>
  <c r="AC89" i="18"/>
  <c r="AC54" i="16"/>
  <c r="AB54" i="16"/>
  <c r="AA54" i="16"/>
  <c r="Z54" i="16"/>
  <c r="AD54" i="16"/>
  <c r="AD114" i="16"/>
  <c r="AB114" i="16"/>
  <c r="Z114" i="16"/>
  <c r="AC114" i="16"/>
  <c r="AA114" i="16"/>
  <c r="AD3" i="16"/>
  <c r="AA3" i="16"/>
  <c r="Z3" i="16"/>
  <c r="AC3" i="16"/>
  <c r="AB3" i="16"/>
  <c r="AB4" i="16"/>
  <c r="AD4" i="16"/>
  <c r="Z4" i="16"/>
  <c r="AA4" i="16"/>
  <c r="AC4" i="16"/>
  <c r="AC19" i="16"/>
  <c r="Z19" i="16"/>
  <c r="AD19" i="16"/>
  <c r="AB19" i="16"/>
  <c r="AA19" i="16"/>
  <c r="AA14" i="16"/>
  <c r="AC14" i="16"/>
  <c r="Z14" i="16"/>
  <c r="AD14" i="16"/>
  <c r="AB14" i="16"/>
  <c r="AC52" i="16"/>
  <c r="AD52" i="16"/>
  <c r="AA52" i="16"/>
  <c r="Z52" i="16"/>
  <c r="AB52" i="16"/>
  <c r="AB102" i="16"/>
  <c r="Z102" i="16"/>
  <c r="AC102" i="16"/>
  <c r="AD102" i="16"/>
  <c r="AA102" i="16"/>
  <c r="Z57" i="16"/>
  <c r="AD57" i="16"/>
  <c r="AA57" i="16"/>
  <c r="AC57" i="16"/>
  <c r="AB57" i="16"/>
  <c r="AB50" i="16"/>
  <c r="AA50" i="16"/>
  <c r="AD50" i="16"/>
  <c r="Z50" i="16"/>
  <c r="AC50" i="16"/>
  <c r="AB87" i="16"/>
  <c r="Z87" i="16"/>
  <c r="AD87" i="16"/>
  <c r="AA87" i="16"/>
  <c r="AC87" i="16"/>
  <c r="AB82" i="16"/>
  <c r="Z82" i="16"/>
  <c r="AD82" i="16"/>
  <c r="AC82" i="16"/>
  <c r="AA82" i="16"/>
  <c r="AA65" i="16"/>
  <c r="AC65" i="16"/>
  <c r="AB65" i="16"/>
  <c r="AD65" i="16"/>
  <c r="Z65" i="16"/>
  <c r="AC91" i="16"/>
  <c r="AA91" i="16"/>
  <c r="AB91" i="16"/>
  <c r="AD91" i="16"/>
  <c r="Z91" i="16"/>
  <c r="AC21" i="16"/>
  <c r="Z21" i="16"/>
  <c r="AD21" i="16"/>
  <c r="AB21" i="16"/>
  <c r="AA21" i="16"/>
  <c r="AB88" i="17"/>
  <c r="Z88" i="17"/>
  <c r="AC88" i="17"/>
  <c r="AA88" i="17"/>
  <c r="Y88" i="17"/>
  <c r="AA68" i="17"/>
  <c r="AB68" i="17"/>
  <c r="Z68" i="17"/>
  <c r="AC68" i="17"/>
  <c r="Y68" i="17"/>
  <c r="AC32" i="17"/>
  <c r="Y32" i="17"/>
  <c r="Z32" i="17"/>
  <c r="AA32" i="17"/>
  <c r="AB32" i="17"/>
  <c r="Y77" i="17"/>
  <c r="AC77" i="17"/>
  <c r="AB77" i="17"/>
  <c r="Z77" i="17"/>
  <c r="AA77" i="17"/>
  <c r="AA9" i="17"/>
  <c r="Y9" i="17"/>
  <c r="AC9" i="17"/>
  <c r="Z9" i="17"/>
  <c r="AB9" i="17"/>
  <c r="Y63" i="17"/>
  <c r="AB63" i="17"/>
  <c r="AC63" i="17"/>
  <c r="Z63" i="17"/>
  <c r="AA63" i="17"/>
  <c r="AC37" i="17"/>
  <c r="Y37" i="17"/>
  <c r="AB37" i="17"/>
  <c r="AA37" i="17"/>
  <c r="Z37" i="17"/>
  <c r="Y36" i="17"/>
  <c r="AA36" i="17"/>
  <c r="AC36" i="17"/>
  <c r="AB36" i="17"/>
  <c r="Z36" i="17"/>
  <c r="Z83" i="17"/>
  <c r="AB83" i="17"/>
  <c r="AA83" i="17"/>
  <c r="AC83" i="17"/>
  <c r="Y83" i="17"/>
  <c r="AB56" i="17"/>
  <c r="Z56" i="17"/>
  <c r="AA56" i="17"/>
  <c r="Y56" i="17"/>
  <c r="AC56" i="17"/>
  <c r="Y109" i="18"/>
  <c r="AB109" i="18"/>
  <c r="AC109" i="18"/>
  <c r="Z109" i="18"/>
  <c r="AA109" i="18"/>
  <c r="Z57" i="18"/>
  <c r="AB57" i="18"/>
  <c r="AC57" i="18"/>
  <c r="Y57" i="18"/>
  <c r="AA57" i="18"/>
  <c r="Z4" i="18"/>
  <c r="Y4" i="18"/>
  <c r="AC4" i="18"/>
  <c r="AB4" i="18"/>
  <c r="AA4" i="18"/>
  <c r="Z92" i="18"/>
  <c r="AC92" i="18"/>
  <c r="AB92" i="18"/>
  <c r="Y92" i="18"/>
  <c r="AA92" i="18"/>
  <c r="Z33" i="18"/>
  <c r="Y33" i="18"/>
  <c r="AA33" i="18"/>
  <c r="AB33" i="18"/>
  <c r="AC33" i="18"/>
  <c r="Y59" i="18"/>
  <c r="AB59" i="18"/>
  <c r="AA59" i="18"/>
  <c r="AC59" i="18"/>
  <c r="Z59" i="18"/>
  <c r="AC99" i="18"/>
  <c r="Y99" i="18"/>
  <c r="AA99" i="18"/>
  <c r="AB99" i="18"/>
  <c r="Z99" i="18"/>
  <c r="Z40" i="18"/>
  <c r="AC40" i="18"/>
  <c r="AB40" i="18"/>
  <c r="Y40" i="18"/>
  <c r="AA40" i="18"/>
  <c r="AB52" i="18"/>
  <c r="AA52" i="18"/>
  <c r="Z52" i="18"/>
  <c r="AC52" i="18"/>
  <c r="Y52" i="18"/>
  <c r="AA6" i="18"/>
  <c r="AC6" i="18"/>
  <c r="AB6" i="18"/>
  <c r="Y6" i="18"/>
  <c r="Z6" i="18"/>
  <c r="AC108" i="18"/>
  <c r="AB108" i="18"/>
  <c r="Z108" i="18"/>
  <c r="AA108" i="18"/>
  <c r="Y108" i="18"/>
  <c r="Z10" i="18"/>
  <c r="AB10" i="18"/>
  <c r="Y10" i="18"/>
  <c r="AC10" i="18"/>
  <c r="AA10" i="18"/>
  <c r="AD48" i="16"/>
  <c r="Z48" i="16"/>
  <c r="AB48" i="16"/>
  <c r="AA48" i="16"/>
  <c r="AC48" i="16"/>
  <c r="AB83" i="16"/>
  <c r="Z83" i="16"/>
  <c r="AC83" i="16"/>
  <c r="AA83" i="16"/>
  <c r="AD83" i="16"/>
  <c r="AA97" i="16"/>
  <c r="AB97" i="16"/>
  <c r="AC97" i="16"/>
  <c r="Z97" i="16"/>
  <c r="AD97" i="16"/>
  <c r="AA44" i="16"/>
  <c r="AC44" i="16"/>
  <c r="AB44" i="16"/>
  <c r="Z44" i="16"/>
  <c r="AD44" i="16"/>
  <c r="AA93" i="16"/>
  <c r="Z93" i="16"/>
  <c r="AB93" i="16"/>
  <c r="AD93" i="16"/>
  <c r="AC93" i="16"/>
  <c r="AC28" i="16"/>
  <c r="AB28" i="16"/>
  <c r="Z28" i="16"/>
  <c r="AA28" i="16"/>
  <c r="AD28" i="16"/>
  <c r="AC29" i="16"/>
  <c r="AB29" i="16"/>
  <c r="AD29" i="16"/>
  <c r="Z29" i="16"/>
  <c r="AA29" i="16"/>
  <c r="AC36" i="16"/>
  <c r="AB36" i="16"/>
  <c r="Z36" i="16"/>
  <c r="AD36" i="16"/>
  <c r="AA36" i="16"/>
  <c r="AA53" i="16"/>
  <c r="AD53" i="16"/>
  <c r="AC53" i="16"/>
  <c r="Z53" i="16"/>
  <c r="AB53" i="16"/>
  <c r="Z64" i="16"/>
  <c r="AB64" i="16"/>
  <c r="AC64" i="16"/>
  <c r="AA64" i="16"/>
  <c r="AD64" i="16"/>
  <c r="AD56" i="16"/>
  <c r="AA56" i="16"/>
  <c r="AB56" i="16"/>
  <c r="Z56" i="16"/>
  <c r="AC56" i="16"/>
  <c r="AC41" i="16"/>
  <c r="AA41" i="16"/>
  <c r="Z41" i="16"/>
  <c r="AD41" i="16"/>
  <c r="AB41" i="16"/>
  <c r="AD115" i="16"/>
  <c r="Z115" i="16"/>
  <c r="AC115" i="16"/>
  <c r="AA115" i="16"/>
  <c r="AB115" i="16"/>
  <c r="Y24" i="17"/>
  <c r="AC24" i="17"/>
  <c r="Z24" i="17"/>
  <c r="AB24" i="17"/>
  <c r="AA24" i="17"/>
  <c r="AB5" i="17"/>
  <c r="Y5" i="17"/>
  <c r="Z5" i="17"/>
  <c r="AC5" i="17"/>
  <c r="AA5" i="17"/>
  <c r="AA74" i="17"/>
  <c r="AB74" i="17"/>
  <c r="Y74" i="17"/>
  <c r="Z74" i="17"/>
  <c r="AC74" i="17"/>
  <c r="Z79" i="17"/>
  <c r="AA79" i="17"/>
  <c r="AC79" i="17"/>
  <c r="AB79" i="17"/>
  <c r="Y79" i="17"/>
  <c r="AC51" i="17"/>
  <c r="AB51" i="17"/>
  <c r="Y51" i="17"/>
  <c r="Z51" i="17"/>
  <c r="AA51" i="17"/>
  <c r="AC25" i="17"/>
  <c r="AA25" i="17"/>
  <c r="AB25" i="17"/>
  <c r="Z25" i="17"/>
  <c r="Y25" i="17"/>
  <c r="AB49" i="17"/>
  <c r="AA49" i="17"/>
  <c r="AC49" i="17"/>
  <c r="Z49" i="17"/>
  <c r="Y49" i="17"/>
  <c r="Y7" i="17"/>
  <c r="Z7" i="17"/>
  <c r="AA7" i="17"/>
  <c r="AC7" i="17"/>
  <c r="AB7" i="17"/>
  <c r="AA26" i="17"/>
  <c r="Z26" i="17"/>
  <c r="AC26" i="17"/>
  <c r="AB26" i="17"/>
  <c r="Y26" i="17"/>
  <c r="AC59" i="17"/>
  <c r="AA59" i="17"/>
  <c r="Y59" i="17"/>
  <c r="AB59" i="17"/>
  <c r="Z59" i="17"/>
  <c r="AC9" i="18"/>
  <c r="AA9" i="18"/>
  <c r="Y9" i="18"/>
  <c r="AB9" i="18"/>
  <c r="Z9" i="18"/>
  <c r="AA23" i="18"/>
  <c r="AC23" i="18"/>
  <c r="AB23" i="18"/>
  <c r="Z23" i="18"/>
  <c r="Y23" i="18"/>
  <c r="Z43" i="18"/>
  <c r="AB43" i="18"/>
  <c r="Y43" i="18"/>
  <c r="AA43" i="18"/>
  <c r="AC43" i="18"/>
  <c r="AC105" i="18"/>
  <c r="Z105" i="18"/>
  <c r="AA105" i="18"/>
  <c r="Y105" i="18"/>
  <c r="AB105" i="18"/>
  <c r="Y31" i="18"/>
  <c r="AC31" i="18"/>
  <c r="AA31" i="18"/>
  <c r="AB31" i="18"/>
  <c r="Z31" i="18"/>
  <c r="AB114" i="18"/>
  <c r="Y114" i="18"/>
  <c r="Z114" i="18"/>
  <c r="AA114" i="18"/>
  <c r="AC114" i="18"/>
  <c r="Z62" i="18"/>
  <c r="AC62" i="18"/>
  <c r="AB62" i="18"/>
  <c r="AA62" i="18"/>
  <c r="Y62" i="18"/>
  <c r="AA107" i="18"/>
  <c r="AB107" i="18"/>
  <c r="Y107" i="18"/>
  <c r="Z107" i="18"/>
  <c r="AC107" i="18"/>
  <c r="AJ22" i="16"/>
  <c r="AD27" i="16"/>
  <c r="AA27" i="16"/>
  <c r="AB27" i="16"/>
  <c r="Z27" i="16"/>
  <c r="AC27" i="16"/>
  <c r="AA62" i="16"/>
  <c r="AB62" i="16"/>
  <c r="Z62" i="16"/>
  <c r="AC62" i="16"/>
  <c r="AD62" i="16"/>
  <c r="AB89" i="16"/>
  <c r="AD89" i="16"/>
  <c r="Z89" i="16"/>
  <c r="AC89" i="16"/>
  <c r="AA89" i="16"/>
  <c r="AD55" i="16"/>
  <c r="AB55" i="16"/>
  <c r="AC55" i="16"/>
  <c r="Z55" i="16"/>
  <c r="AA55" i="16"/>
  <c r="AA6" i="16"/>
  <c r="Z6" i="16"/>
  <c r="AD6" i="16"/>
  <c r="AB6" i="16"/>
  <c r="AC6" i="16"/>
  <c r="AD73" i="16"/>
  <c r="AB73" i="16"/>
  <c r="AA73" i="16"/>
  <c r="AC73" i="16"/>
  <c r="Z73" i="16"/>
  <c r="AD71" i="16"/>
  <c r="AB71" i="16"/>
  <c r="AA71" i="16"/>
  <c r="Z71" i="16"/>
  <c r="AC71" i="16"/>
  <c r="AD63" i="16"/>
  <c r="Z63" i="16"/>
  <c r="AB63" i="16"/>
  <c r="AA63" i="16"/>
  <c r="AC63" i="16"/>
  <c r="AA61" i="16"/>
  <c r="AD61" i="16"/>
  <c r="AB61" i="16"/>
  <c r="Z61" i="16"/>
  <c r="AC61" i="16"/>
  <c r="AB25" i="16"/>
  <c r="AC25" i="16"/>
  <c r="AD25" i="16"/>
  <c r="Z25" i="16"/>
  <c r="AA25" i="16"/>
  <c r="AB109" i="16"/>
  <c r="AD109" i="16"/>
  <c r="AC109" i="16"/>
  <c r="Z109" i="16"/>
  <c r="AA109" i="16"/>
  <c r="AB74" i="16"/>
  <c r="AA74" i="16"/>
  <c r="AD74" i="16"/>
  <c r="Z74" i="16"/>
  <c r="AC74" i="16"/>
  <c r="Z23" i="16"/>
  <c r="AB23" i="16"/>
  <c r="AC23" i="16"/>
  <c r="AD23" i="16"/>
  <c r="AA23" i="16"/>
  <c r="AB35" i="16"/>
  <c r="Z35" i="16"/>
  <c r="AA35" i="16"/>
  <c r="AC35" i="16"/>
  <c r="AD35" i="16"/>
  <c r="Y13" i="17"/>
  <c r="AB13" i="17"/>
  <c r="AA13" i="17"/>
  <c r="Z13" i="17"/>
  <c r="AC13" i="17"/>
  <c r="Z30" i="17"/>
  <c r="AA30" i="17"/>
  <c r="Y30" i="17"/>
  <c r="AB30" i="17"/>
  <c r="AC30" i="17"/>
  <c r="Z81" i="17"/>
  <c r="AC81" i="17"/>
  <c r="Y81" i="17"/>
  <c r="AB81" i="17"/>
  <c r="AA81" i="17"/>
  <c r="AC52" i="17"/>
  <c r="Y52" i="17"/>
  <c r="Z52" i="17"/>
  <c r="AA52" i="17"/>
  <c r="AB52" i="17"/>
  <c r="AB41" i="17"/>
  <c r="Y41" i="17"/>
  <c r="AC41" i="17"/>
  <c r="AA41" i="17"/>
  <c r="Z41" i="17"/>
  <c r="AC34" i="17"/>
  <c r="AA34" i="17"/>
  <c r="AB34" i="17"/>
  <c r="Z34" i="17"/>
  <c r="Y34" i="17"/>
  <c r="AB33" i="17"/>
  <c r="Z33" i="17"/>
  <c r="Y33" i="17"/>
  <c r="AA33" i="17"/>
  <c r="AC33" i="17"/>
  <c r="Z55" i="17"/>
  <c r="AC55" i="17"/>
  <c r="Y55" i="17"/>
  <c r="AB55" i="17"/>
  <c r="AA55" i="17"/>
  <c r="AB72" i="17"/>
  <c r="Y72" i="17"/>
  <c r="AA72" i="17"/>
  <c r="AC72" i="17"/>
  <c r="Z72" i="17"/>
  <c r="Z40" i="17"/>
  <c r="AC40" i="17"/>
  <c r="AA40" i="17"/>
  <c r="Y40" i="17"/>
  <c r="AB40" i="17"/>
  <c r="AB73" i="17"/>
  <c r="Z73" i="17"/>
  <c r="AC73" i="17"/>
  <c r="Y73" i="17"/>
  <c r="AA73" i="17"/>
  <c r="Z45" i="18"/>
  <c r="Y45" i="18"/>
  <c r="AA45" i="18"/>
  <c r="AC45" i="18"/>
  <c r="AB45" i="18"/>
  <c r="Y53" i="18"/>
  <c r="AC53" i="18"/>
  <c r="Z53" i="18"/>
  <c r="AA53" i="18"/>
  <c r="AB53" i="18"/>
  <c r="Y58" i="18"/>
  <c r="Z58" i="18"/>
  <c r="AA58" i="18"/>
  <c r="AB58" i="18"/>
  <c r="AC58" i="18"/>
  <c r="Z95" i="18"/>
  <c r="Y95" i="18"/>
  <c r="AB95" i="18"/>
  <c r="AA95" i="18"/>
  <c r="AC95" i="18"/>
  <c r="AC21" i="18"/>
  <c r="AB21" i="18"/>
  <c r="Y21" i="18"/>
  <c r="AA21" i="18"/>
  <c r="Z21" i="18"/>
  <c r="AB97" i="18"/>
  <c r="Y97" i="18"/>
  <c r="AA97" i="18"/>
  <c r="Z97" i="18"/>
  <c r="AC97" i="18"/>
  <c r="AA46" i="18"/>
  <c r="AB46" i="18"/>
  <c r="Z46" i="18"/>
  <c r="AC46" i="18"/>
  <c r="Y46" i="18"/>
  <c r="AA56" i="18"/>
  <c r="Z56" i="18"/>
  <c r="AB56" i="18"/>
  <c r="Y56" i="18"/>
  <c r="AC56" i="18"/>
  <c r="AB13" i="18"/>
  <c r="AC13" i="18"/>
  <c r="AA13" i="18"/>
  <c r="Y13" i="18"/>
  <c r="Z13" i="18"/>
  <c r="Z115" i="18"/>
  <c r="Y115" i="18"/>
  <c r="AA115" i="18"/>
  <c r="AB115" i="18"/>
  <c r="AC115" i="18"/>
  <c r="Y84" i="18"/>
  <c r="AB84" i="18"/>
  <c r="Z84" i="18"/>
  <c r="AA84" i="18"/>
  <c r="AC84" i="18"/>
  <c r="AC5" i="18"/>
  <c r="Z5" i="18"/>
  <c r="AA5" i="18"/>
  <c r="AB5" i="18"/>
  <c r="Y5" i="18"/>
  <c r="AA74" i="18"/>
  <c r="AB74" i="18"/>
  <c r="Z74" i="18"/>
  <c r="AC74" i="18"/>
  <c r="Y74" i="18"/>
  <c r="AA82" i="18"/>
  <c r="AC82" i="18"/>
  <c r="AB82" i="18"/>
  <c r="Y82" i="18"/>
  <c r="Z82" i="18"/>
  <c r="AD18" i="16"/>
  <c r="AC18" i="16"/>
  <c r="Z18" i="16"/>
  <c r="AA18" i="16"/>
  <c r="AB18" i="16"/>
  <c r="AC9" i="16"/>
  <c r="AD9" i="16"/>
  <c r="AA9" i="16"/>
  <c r="Z9" i="16"/>
  <c r="AB9" i="16"/>
  <c r="AB111" i="16"/>
  <c r="Z111" i="16"/>
  <c r="AD111" i="16"/>
  <c r="AC111" i="16"/>
  <c r="AA111" i="16"/>
  <c r="AA70" i="16"/>
  <c r="AB70" i="16"/>
  <c r="Z70" i="16"/>
  <c r="AC70" i="16"/>
  <c r="AD70" i="16"/>
  <c r="AA13" i="16"/>
  <c r="Z13" i="16"/>
  <c r="AB13" i="16"/>
  <c r="AC13" i="16"/>
  <c r="AD13" i="16"/>
  <c r="AA30" i="16"/>
  <c r="AD30" i="16"/>
  <c r="AB30" i="16"/>
  <c r="Z30" i="16"/>
  <c r="AC30" i="16"/>
  <c r="AB81" i="16"/>
  <c r="AA81" i="16"/>
  <c r="Z81" i="16"/>
  <c r="AD81" i="16"/>
  <c r="AC81" i="16"/>
  <c r="Z68" i="16"/>
  <c r="AA68" i="16"/>
  <c r="AB68" i="16"/>
  <c r="AD68" i="16"/>
  <c r="AC68" i="16"/>
  <c r="AC113" i="16"/>
  <c r="AD113" i="16"/>
  <c r="Z113" i="16"/>
  <c r="AA113" i="16"/>
  <c r="AB113" i="16"/>
  <c r="AB59" i="16"/>
  <c r="AC59" i="16"/>
  <c r="Z59" i="16"/>
  <c r="AD59" i="16"/>
  <c r="AA59" i="16"/>
  <c r="AA106" i="16"/>
  <c r="AB106" i="16"/>
  <c r="AD106" i="16"/>
  <c r="Z106" i="16"/>
  <c r="AC106" i="16"/>
  <c r="AC77" i="16"/>
  <c r="AB77" i="16"/>
  <c r="AD77" i="16"/>
  <c r="Z77" i="16"/>
  <c r="AA77" i="16"/>
  <c r="AD39" i="16"/>
  <c r="AB39" i="16"/>
  <c r="Z39" i="16"/>
  <c r="AA39" i="16"/>
  <c r="AC39" i="16"/>
  <c r="Z92" i="16"/>
  <c r="AD92" i="16"/>
  <c r="AA92" i="16"/>
  <c r="AB92" i="16"/>
  <c r="AC92" i="16"/>
  <c r="Z18" i="17"/>
  <c r="AA18" i="17"/>
  <c r="AC18" i="17"/>
  <c r="Y18" i="17"/>
  <c r="AB18" i="17"/>
  <c r="Y58" i="17"/>
  <c r="AC58" i="17"/>
  <c r="AB58" i="17"/>
  <c r="AA58" i="17"/>
  <c r="Z58" i="17"/>
  <c r="Y75" i="17"/>
  <c r="AB75" i="17"/>
  <c r="Z75" i="17"/>
  <c r="AA75" i="17"/>
  <c r="AC75" i="17"/>
  <c r="Y23" i="17"/>
  <c r="AB23" i="17"/>
  <c r="AA23" i="17"/>
  <c r="Z23" i="17"/>
  <c r="AC23" i="17"/>
  <c r="AA69" i="17"/>
  <c r="AC69" i="17"/>
  <c r="AB69" i="17"/>
  <c r="Z69" i="17"/>
  <c r="Y69" i="17"/>
  <c r="AA38" i="17"/>
  <c r="Z38" i="17"/>
  <c r="AB38" i="17"/>
  <c r="Y38" i="17"/>
  <c r="AC38" i="17"/>
  <c r="Z27" i="17"/>
  <c r="AC27" i="17"/>
  <c r="Y27" i="17"/>
  <c r="AA27" i="17"/>
  <c r="AB27" i="17"/>
  <c r="AB14" i="17"/>
  <c r="AC14" i="17"/>
  <c r="Z14" i="17"/>
  <c r="Y14" i="17"/>
  <c r="AA14" i="17"/>
  <c r="Z87" i="17"/>
  <c r="Y87" i="17"/>
  <c r="AC87" i="17"/>
  <c r="AB87" i="17"/>
  <c r="AA87" i="17"/>
  <c r="Z31" i="17"/>
  <c r="AC31" i="17"/>
  <c r="AA31" i="17"/>
  <c r="Y31" i="17"/>
  <c r="AB31" i="17"/>
  <c r="AC11" i="17"/>
  <c r="AB11" i="17"/>
  <c r="Z11" i="17"/>
  <c r="AA11" i="17"/>
  <c r="Y11" i="17"/>
  <c r="AA66" i="18"/>
  <c r="Z66" i="18"/>
  <c r="Y66" i="18"/>
  <c r="AB66" i="18"/>
  <c r="AC66" i="18"/>
  <c r="AB70" i="18"/>
  <c r="Y70" i="18"/>
  <c r="AA70" i="18"/>
  <c r="AC70" i="18"/>
  <c r="Z70" i="18"/>
  <c r="AC69" i="18"/>
  <c r="Y69" i="18"/>
  <c r="Z69" i="18"/>
  <c r="AB69" i="18"/>
  <c r="AA69" i="18"/>
  <c r="AB18" i="18"/>
  <c r="AA18" i="18"/>
  <c r="Z18" i="18"/>
  <c r="Y18" i="18"/>
  <c r="AC18" i="18"/>
  <c r="AA73" i="18"/>
  <c r="AC73" i="18"/>
  <c r="AB73" i="18"/>
  <c r="Z73" i="18"/>
  <c r="Y73" i="18"/>
  <c r="Y83" i="18"/>
  <c r="AB83" i="18"/>
  <c r="AA83" i="18"/>
  <c r="Z83" i="18"/>
  <c r="AC83" i="18"/>
  <c r="Y51" i="18"/>
  <c r="AC51" i="18"/>
  <c r="Z51" i="18"/>
  <c r="AB51" i="18"/>
  <c r="AA51" i="18"/>
  <c r="AA81" i="18"/>
  <c r="AC81" i="18"/>
  <c r="AB81" i="18"/>
  <c r="Z81" i="18"/>
  <c r="Y81" i="18"/>
  <c r="Z96" i="18"/>
  <c r="Y96" i="18"/>
  <c r="AA96" i="18"/>
  <c r="AC96" i="18"/>
  <c r="AB96" i="18"/>
  <c r="AA87" i="18"/>
  <c r="AC87" i="18"/>
  <c r="Y87" i="18"/>
  <c r="AB87" i="18"/>
  <c r="Z87" i="18"/>
  <c r="AA80" i="18"/>
  <c r="AB80" i="18"/>
  <c r="Z80" i="18"/>
  <c r="AC80" i="18"/>
  <c r="Y80" i="18"/>
  <c r="AC22" i="18"/>
  <c r="Z22" i="18"/>
  <c r="AB22" i="18"/>
  <c r="AA22" i="18"/>
  <c r="Y22" i="18"/>
  <c r="Y48" i="18"/>
  <c r="Z48" i="18"/>
  <c r="AC48" i="18"/>
  <c r="AA48" i="18"/>
  <c r="AB48" i="18"/>
  <c r="Z34" i="19"/>
  <c r="AA34" i="19"/>
  <c r="Y34" i="19"/>
  <c r="AA76" i="18"/>
  <c r="Z76" i="18"/>
  <c r="AB76" i="18"/>
  <c r="AC76" i="18"/>
  <c r="Y76" i="18"/>
  <c r="AB10" i="16"/>
  <c r="AC10" i="16"/>
  <c r="AD10" i="16"/>
  <c r="Z10" i="16"/>
  <c r="AA10" i="16"/>
  <c r="AD75" i="16"/>
  <c r="AA75" i="16"/>
  <c r="AC75" i="16"/>
  <c r="Z75" i="16"/>
  <c r="AB75" i="16"/>
  <c r="Z88" i="16"/>
  <c r="AB88" i="16"/>
  <c r="AC88" i="16"/>
  <c r="AD88" i="16"/>
  <c r="AA88" i="16"/>
  <c r="AD104" i="16"/>
  <c r="Z104" i="16"/>
  <c r="AA104" i="16"/>
  <c r="AC104" i="16"/>
  <c r="AB104" i="16"/>
  <c r="AD26" i="16"/>
  <c r="Z26" i="16"/>
  <c r="AB26" i="16"/>
  <c r="AC26" i="16"/>
  <c r="AA26" i="16"/>
  <c r="Y29" i="17"/>
  <c r="AC29" i="17"/>
  <c r="AB29" i="17"/>
  <c r="Z29" i="17"/>
  <c r="AA29" i="17"/>
  <c r="AA47" i="17"/>
  <c r="AC47" i="17"/>
  <c r="AB47" i="17"/>
  <c r="Y47" i="17"/>
  <c r="Z47" i="17"/>
  <c r="AA3" i="17"/>
  <c r="AB3" i="17"/>
  <c r="AC3" i="17"/>
  <c r="Z3" i="17"/>
  <c r="Y3" i="17"/>
  <c r="AC44" i="17"/>
  <c r="AA44" i="17"/>
  <c r="Y44" i="17"/>
  <c r="Z44" i="17"/>
  <c r="AB44" i="17"/>
  <c r="Z11" i="18"/>
  <c r="Y11" i="18"/>
  <c r="AC11" i="18"/>
  <c r="AB11" i="18"/>
  <c r="AA11" i="18"/>
  <c r="Y37" i="18"/>
  <c r="AC37" i="18"/>
  <c r="AA37" i="18"/>
  <c r="Z37" i="18"/>
  <c r="AB37" i="18"/>
  <c r="AA42" i="18"/>
  <c r="AB42" i="18"/>
  <c r="AC42" i="18"/>
  <c r="Y42" i="18"/>
  <c r="Z42" i="18"/>
  <c r="AC41" i="18"/>
  <c r="Y41" i="18"/>
  <c r="AA41" i="18"/>
  <c r="Z41" i="18"/>
  <c r="AB41" i="18"/>
  <c r="AC12" i="18"/>
  <c r="AB12" i="18"/>
  <c r="Y12" i="18"/>
  <c r="Z12" i="18"/>
  <c r="AA12" i="18"/>
  <c r="AC63" i="18"/>
  <c r="Z63" i="18"/>
  <c r="AA63" i="18"/>
  <c r="Y63" i="18"/>
  <c r="AB63" i="18"/>
  <c r="Z86" i="18"/>
  <c r="AA86" i="18"/>
  <c r="AB86" i="18"/>
  <c r="AC86" i="18"/>
  <c r="Y86" i="18"/>
  <c r="AA54" i="18"/>
  <c r="Y54" i="18"/>
  <c r="AB54" i="18"/>
  <c r="Z54" i="18"/>
  <c r="AC54" i="18"/>
  <c r="Z95" i="16"/>
  <c r="AA95" i="16"/>
  <c r="AD95" i="16"/>
  <c r="AB95" i="16"/>
  <c r="AC95" i="16"/>
  <c r="AD38" i="16"/>
  <c r="AC38" i="16"/>
  <c r="AA38" i="16"/>
  <c r="Z38" i="16"/>
  <c r="AB38" i="16"/>
  <c r="Z66" i="16"/>
  <c r="AD66" i="16"/>
  <c r="AA66" i="16"/>
  <c r="AC66" i="16"/>
  <c r="AB66" i="16"/>
  <c r="AC20" i="16"/>
  <c r="AD20" i="16"/>
  <c r="AA20" i="16"/>
  <c r="Z20" i="16"/>
  <c r="AB20" i="16"/>
  <c r="AD100" i="16"/>
  <c r="Z100" i="16"/>
  <c r="AB100" i="16"/>
  <c r="AA100" i="16"/>
  <c r="AC100" i="16"/>
  <c r="AA15" i="16"/>
  <c r="AB15" i="16"/>
  <c r="AD15" i="16"/>
  <c r="Z15" i="16"/>
  <c r="AC15" i="16"/>
  <c r="Z11" i="16"/>
  <c r="AD11" i="16"/>
  <c r="AB11" i="16"/>
  <c r="AA11" i="16"/>
  <c r="AC11" i="16"/>
  <c r="AA62" i="17"/>
  <c r="AB62" i="17"/>
  <c r="Y62" i="17"/>
  <c r="AC62" i="17"/>
  <c r="Z62" i="17"/>
  <c r="Z42" i="17"/>
  <c r="AB42" i="17"/>
  <c r="AC42" i="17"/>
  <c r="Y42" i="17"/>
  <c r="AA42" i="17"/>
  <c r="AA71" i="17"/>
  <c r="Y71" i="17"/>
  <c r="Z71" i="17"/>
  <c r="AB71" i="17"/>
  <c r="AC71" i="17"/>
  <c r="Z21" i="17"/>
  <c r="AB21" i="17"/>
  <c r="Y21" i="17"/>
  <c r="AC21" i="17"/>
  <c r="AA21" i="17"/>
  <c r="AC49" i="18"/>
  <c r="AB49" i="18"/>
  <c r="AA49" i="18"/>
  <c r="Z49" i="18"/>
  <c r="Y49" i="18"/>
  <c r="AA29" i="18"/>
  <c r="AB29" i="18"/>
  <c r="AC29" i="18"/>
  <c r="Z29" i="18"/>
  <c r="Y29" i="18"/>
  <c r="AA85" i="18"/>
  <c r="Y85" i="18"/>
  <c r="AC85" i="18"/>
  <c r="AB85" i="18"/>
  <c r="Z85" i="18"/>
  <c r="AA103" i="18"/>
  <c r="AC103" i="18"/>
  <c r="Z103" i="18"/>
  <c r="AB103" i="18"/>
  <c r="Y103" i="18"/>
  <c r="Z37" i="19"/>
  <c r="AA37" i="19"/>
  <c r="AG13" i="15"/>
  <c r="AI13" i="15"/>
  <c r="AG14" i="15"/>
  <c r="AG15" i="15"/>
  <c r="AI14" i="15"/>
  <c r="AG16" i="15"/>
  <c r="AI15" i="15"/>
  <c r="AG17" i="15"/>
  <c r="AI16" i="15"/>
  <c r="AG18" i="15"/>
  <c r="AI17" i="15"/>
  <c r="AI18" i="15"/>
  <c r="AG19" i="15"/>
  <c r="AG20" i="15"/>
  <c r="AI19" i="15"/>
  <c r="AG21" i="15"/>
  <c r="AI20" i="15"/>
  <c r="AG22" i="15"/>
  <c r="AI21" i="15"/>
  <c r="AK21" i="15" l="1"/>
  <c r="AM21" i="15"/>
  <c r="AM20" i="15"/>
  <c r="AK20" i="15"/>
  <c r="AK19" i="15"/>
  <c r="AM19" i="15"/>
  <c r="AM18" i="15"/>
  <c r="AK18" i="15"/>
  <c r="AK17" i="15"/>
  <c r="AM17" i="15"/>
  <c r="AM16" i="15"/>
  <c r="AK16" i="15"/>
  <c r="AK15" i="15"/>
  <c r="AM15" i="15"/>
  <c r="AM14" i="15"/>
  <c r="AK14" i="15"/>
  <c r="AK13" i="15"/>
  <c r="AM13" i="15"/>
  <c r="W103" i="18"/>
  <c r="W85" i="18"/>
  <c r="W29" i="18"/>
  <c r="W49" i="18"/>
  <c r="W21" i="17"/>
  <c r="W71" i="17"/>
  <c r="W42" i="17"/>
  <c r="W62" i="17"/>
  <c r="X11" i="16"/>
  <c r="X15" i="16"/>
  <c r="X100" i="16"/>
  <c r="X20" i="16"/>
  <c r="X66" i="16"/>
  <c r="X38" i="16"/>
  <c r="X95" i="16"/>
  <c r="W54" i="18"/>
  <c r="W86" i="18"/>
  <c r="W63" i="18"/>
  <c r="W12" i="18"/>
  <c r="W41" i="18"/>
  <c r="W42" i="18"/>
  <c r="W37" i="18"/>
  <c r="W11" i="18"/>
  <c r="W44" i="17"/>
  <c r="W3" i="17"/>
  <c r="W47" i="17"/>
  <c r="W29" i="17"/>
  <c r="X26" i="16"/>
  <c r="X104" i="16"/>
  <c r="X88" i="16"/>
  <c r="X75" i="16"/>
  <c r="X10" i="16"/>
  <c r="W76" i="18"/>
  <c r="H37" i="15"/>
  <c r="AB34" i="19"/>
  <c r="W48" i="18"/>
  <c r="W22" i="18"/>
  <c r="W80" i="18"/>
  <c r="W87" i="18"/>
  <c r="W96" i="18"/>
  <c r="W81" i="18"/>
  <c r="W51" i="18"/>
  <c r="W83" i="18"/>
  <c r="W73" i="18"/>
  <c r="W18" i="18"/>
  <c r="W69" i="18"/>
  <c r="W70" i="18"/>
  <c r="W66" i="18"/>
  <c r="W11" i="17"/>
  <c r="W31" i="17"/>
  <c r="W87" i="17"/>
  <c r="W14" i="17"/>
  <c r="W27" i="17"/>
  <c r="W38" i="17"/>
  <c r="W69" i="17"/>
  <c r="W23" i="17"/>
  <c r="W75" i="17"/>
  <c r="W58" i="17"/>
  <c r="W18" i="17"/>
  <c r="X92" i="16"/>
  <c r="X39" i="16"/>
  <c r="X77" i="16"/>
  <c r="X106" i="16"/>
  <c r="X59" i="16"/>
  <c r="X113" i="16"/>
  <c r="X68" i="16"/>
  <c r="X81" i="16"/>
  <c r="X30" i="16"/>
  <c r="X13" i="16"/>
  <c r="X70" i="16"/>
  <c r="X111" i="16"/>
  <c r="X9" i="16"/>
  <c r="X18" i="16"/>
  <c r="W82" i="18"/>
  <c r="W74" i="18"/>
  <c r="W5" i="18"/>
  <c r="W84" i="18"/>
  <c r="W115" i="18"/>
  <c r="W13" i="18"/>
  <c r="W56" i="18"/>
  <c r="W46" i="18"/>
  <c r="W97" i="18"/>
  <c r="W21" i="18"/>
  <c r="W95" i="18"/>
  <c r="W58" i="18"/>
  <c r="W53" i="18"/>
  <c r="W45" i="18"/>
  <c r="W73" i="17"/>
  <c r="W40" i="17"/>
  <c r="W72" i="17"/>
  <c r="W55" i="17"/>
  <c r="W33" i="17"/>
  <c r="W34" i="17"/>
  <c r="W41" i="17"/>
  <c r="W52" i="17"/>
  <c r="W81" i="17"/>
  <c r="W30" i="17"/>
  <c r="W13" i="17"/>
  <c r="X35" i="16"/>
  <c r="X23" i="16"/>
  <c r="X74" i="16"/>
  <c r="X109" i="16"/>
  <c r="X25" i="16"/>
  <c r="X61" i="16"/>
  <c r="X63" i="16"/>
  <c r="X71" i="16"/>
  <c r="X73" i="16"/>
  <c r="X6" i="16"/>
  <c r="X55" i="16"/>
  <c r="X89" i="16"/>
  <c r="X62" i="16"/>
  <c r="X27" i="16"/>
  <c r="AL22" i="16"/>
  <c r="AN22" i="16"/>
  <c r="W107" i="18"/>
  <c r="W62" i="18"/>
  <c r="W114" i="18"/>
  <c r="W31" i="18"/>
  <c r="W43" i="18"/>
  <c r="W23" i="18"/>
  <c r="W9" i="18"/>
  <c r="W59" i="17"/>
  <c r="W26" i="17"/>
  <c r="W7" i="17"/>
  <c r="W49" i="17"/>
  <c r="W25" i="17"/>
  <c r="W51" i="17"/>
  <c r="W79" i="17"/>
  <c r="W74" i="17"/>
  <c r="W5" i="17"/>
  <c r="W24" i="17"/>
  <c r="X115" i="16"/>
  <c r="X41" i="16"/>
  <c r="X56" i="16"/>
  <c r="X64" i="16"/>
  <c r="X53" i="16"/>
  <c r="X36" i="16"/>
  <c r="X29" i="16"/>
  <c r="X28" i="16"/>
  <c r="X93" i="16"/>
  <c r="X44" i="16"/>
  <c r="X97" i="16"/>
  <c r="X83" i="16"/>
  <c r="X48" i="16"/>
  <c r="W10" i="18"/>
  <c r="W108" i="18"/>
  <c r="W6" i="18"/>
  <c r="W52" i="18"/>
  <c r="W40" i="18"/>
  <c r="W99" i="18"/>
  <c r="W59" i="18"/>
  <c r="W33" i="18"/>
  <c r="W92" i="18"/>
  <c r="W4" i="18"/>
  <c r="W57" i="18"/>
  <c r="W109" i="18"/>
  <c r="W56" i="17"/>
  <c r="W83" i="17"/>
  <c r="W36" i="17"/>
  <c r="W37" i="17"/>
  <c r="W63" i="17"/>
  <c r="W9" i="17"/>
  <c r="W77" i="17"/>
  <c r="W32" i="17"/>
  <c r="W68" i="17"/>
  <c r="W88" i="17"/>
  <c r="X21" i="16"/>
  <c r="X91" i="16"/>
  <c r="X65" i="16"/>
  <c r="X82" i="16"/>
  <c r="X87" i="16"/>
  <c r="X50" i="16"/>
  <c r="X57" i="16"/>
  <c r="X102" i="16"/>
  <c r="X52" i="16"/>
  <c r="X14" i="16"/>
  <c r="X19" i="16"/>
  <c r="X4" i="16"/>
  <c r="X3" i="16"/>
  <c r="X114" i="16"/>
  <c r="X54" i="16"/>
  <c r="W89" i="18"/>
  <c r="W34" i="18"/>
  <c r="W19" i="18"/>
  <c r="W47" i="18"/>
  <c r="W26" i="18"/>
  <c r="W17" i="18"/>
  <c r="W38" i="18"/>
  <c r="W30" i="18"/>
  <c r="W91" i="18"/>
  <c r="W88" i="18"/>
  <c r="W101" i="18"/>
  <c r="W64" i="18"/>
  <c r="W12" i="17"/>
  <c r="W6" i="17"/>
  <c r="W91" i="17"/>
  <c r="W78" i="17"/>
  <c r="W80" i="17"/>
  <c r="W4" i="17"/>
  <c r="W89" i="17"/>
  <c r="W65" i="17"/>
  <c r="W64" i="17"/>
  <c r="W61" i="17"/>
  <c r="X33" i="16"/>
  <c r="X72" i="16"/>
  <c r="X67" i="16"/>
  <c r="X32" i="16"/>
  <c r="X80" i="16"/>
  <c r="X79" i="16"/>
  <c r="X46" i="16"/>
  <c r="X110" i="16"/>
  <c r="X47" i="16"/>
  <c r="X86" i="16"/>
  <c r="X96" i="16"/>
  <c r="X49" i="16"/>
  <c r="X105" i="16"/>
  <c r="X42" i="16"/>
  <c r="V85" i="14"/>
  <c r="V82" i="14"/>
  <c r="V80" i="14"/>
  <c r="V36" i="14"/>
  <c r="V60" i="14"/>
  <c r="V55" i="14"/>
  <c r="V59" i="14"/>
  <c r="V22" i="14"/>
  <c r="V31" i="14"/>
  <c r="V86" i="14"/>
  <c r="V38" i="14"/>
  <c r="V41" i="14"/>
  <c r="V15" i="14"/>
  <c r="V17" i="14"/>
  <c r="V35" i="14"/>
  <c r="V12" i="14"/>
  <c r="V5" i="14"/>
  <c r="V40" i="14"/>
  <c r="V90" i="14"/>
  <c r="V78" i="14"/>
  <c r="V37" i="14"/>
  <c r="V69" i="14"/>
  <c r="V20" i="14"/>
  <c r="V57" i="14"/>
  <c r="V52" i="14"/>
  <c r="V47" i="14"/>
  <c r="V43" i="14"/>
  <c r="V4" i="14"/>
  <c r="V9" i="14"/>
  <c r="V67" i="14"/>
  <c r="V91" i="14"/>
  <c r="V7" i="14"/>
  <c r="V26" i="14"/>
  <c r="V27" i="14"/>
  <c r="V62" i="14"/>
  <c r="V45" i="14"/>
  <c r="V23" i="14"/>
  <c r="V77" i="14"/>
  <c r="V29" i="14"/>
  <c r="V71" i="14"/>
  <c r="V33" i="14"/>
  <c r="V24" i="14"/>
  <c r="V13" i="14"/>
  <c r="V68" i="14"/>
  <c r="V49" i="14"/>
  <c r="V89" i="14"/>
  <c r="V50" i="14"/>
  <c r="V88" i="14"/>
  <c r="V21" i="14"/>
  <c r="V44" i="14"/>
  <c r="V14" i="14"/>
  <c r="V16" i="14"/>
  <c r="V87" i="14"/>
  <c r="V70" i="14"/>
  <c r="V3" i="14"/>
  <c r="V34" i="14"/>
  <c r="V48" i="14"/>
  <c r="V46" i="14"/>
  <c r="V76" i="14"/>
  <c r="V19" i="14"/>
  <c r="V10" i="14"/>
  <c r="V28" i="14"/>
  <c r="V25" i="14"/>
  <c r="V58" i="14"/>
  <c r="V74" i="14"/>
  <c r="V6" i="14"/>
  <c r="V39" i="14"/>
  <c r="V81" i="14"/>
  <c r="V63" i="14"/>
  <c r="V84" i="14"/>
  <c r="V54" i="14"/>
  <c r="V8" i="14"/>
  <c r="V75" i="14"/>
  <c r="V51" i="14"/>
  <c r="V53" i="14"/>
  <c r="V64" i="14"/>
  <c r="V66" i="14"/>
  <c r="V32" i="14"/>
  <c r="V73" i="14"/>
  <c r="V83" i="14"/>
  <c r="V42" i="14"/>
  <c r="V61" i="14"/>
  <c r="V72" i="14"/>
  <c r="V65" i="14"/>
  <c r="V79" i="14"/>
  <c r="V30" i="14"/>
  <c r="V56" i="14"/>
  <c r="V11" i="14"/>
  <c r="V18" i="14"/>
  <c r="W20" i="18"/>
  <c r="W71" i="18"/>
  <c r="W7" i="18"/>
  <c r="W54" i="17"/>
  <c r="W10" i="17"/>
  <c r="W85" i="17"/>
  <c r="X103" i="16"/>
  <c r="X76" i="16"/>
  <c r="W113" i="18"/>
  <c r="W39" i="18"/>
  <c r="W44" i="18"/>
  <c r="W35" i="18"/>
  <c r="W112" i="18"/>
  <c r="W110" i="18"/>
  <c r="W75" i="18"/>
  <c r="W65" i="18"/>
  <c r="W24" i="18"/>
  <c r="W100" i="18"/>
  <c r="W111" i="18"/>
  <c r="W60" i="17"/>
  <c r="W17" i="17"/>
  <c r="W76" i="17"/>
  <c r="W39" i="17"/>
  <c r="W22" i="17"/>
  <c r="W20" i="17"/>
  <c r="W50" i="17"/>
  <c r="W8" i="17"/>
  <c r="W82" i="17"/>
  <c r="W84" i="17"/>
  <c r="W53" i="17"/>
  <c r="X37" i="16"/>
  <c r="X98" i="16"/>
  <c r="X94" i="16"/>
  <c r="X34" i="16"/>
  <c r="X101" i="16"/>
  <c r="X31" i="16"/>
  <c r="X99" i="16"/>
  <c r="X43" i="16"/>
  <c r="X22" i="16"/>
  <c r="X85" i="16"/>
  <c r="X7" i="16"/>
  <c r="X51" i="16"/>
  <c r="X90" i="16"/>
  <c r="X84" i="16"/>
  <c r="H38" i="15"/>
  <c r="AB35" i="19"/>
  <c r="W77" i="18"/>
  <c r="AN23" i="16"/>
  <c r="AL23" i="16"/>
  <c r="H39" i="15"/>
  <c r="AB36" i="19"/>
  <c r="X38" i="19"/>
  <c r="B41" i="15"/>
  <c r="W25" i="18"/>
  <c r="AM23" i="15"/>
  <c r="AK23" i="15"/>
  <c r="W16" i="18"/>
  <c r="W15" i="18"/>
  <c r="W27" i="18"/>
  <c r="W102" i="18"/>
  <c r="W36" i="18"/>
  <c r="W3" i="18"/>
  <c r="W67" i="17"/>
  <c r="W35" i="17"/>
  <c r="X107" i="16"/>
  <c r="W94" i="18"/>
  <c r="W78" i="18"/>
  <c r="W43" i="17"/>
  <c r="AM23" i="17"/>
  <c r="AK23" i="17"/>
  <c r="W79" i="18"/>
  <c r="W16" i="17"/>
  <c r="W55" i="18"/>
  <c r="W90" i="18"/>
  <c r="W61" i="18"/>
  <c r="W14" i="18"/>
  <c r="W8" i="18"/>
  <c r="W72" i="18"/>
  <c r="W68" i="18"/>
  <c r="W67" i="18"/>
  <c r="W60" i="18"/>
  <c r="W93" i="18"/>
  <c r="W50" i="18"/>
  <c r="W32" i="18"/>
  <c r="W98" i="18"/>
  <c r="W28" i="18"/>
  <c r="W19" i="17"/>
  <c r="W15" i="17"/>
  <c r="W46" i="17"/>
  <c r="W57" i="17"/>
  <c r="W45" i="17"/>
  <c r="W86" i="17"/>
  <c r="W70" i="17"/>
  <c r="W48" i="17"/>
  <c r="W28" i="17"/>
  <c r="W90" i="17"/>
  <c r="W66" i="17"/>
  <c r="X112" i="16"/>
  <c r="X69" i="16"/>
  <c r="X60" i="16"/>
  <c r="X17" i="16"/>
  <c r="X8" i="16"/>
  <c r="X78" i="16"/>
  <c r="X58" i="16"/>
  <c r="X24" i="16"/>
  <c r="X45" i="16"/>
  <c r="X5" i="16"/>
  <c r="X108" i="16"/>
  <c r="X40" i="16"/>
  <c r="X12" i="16"/>
  <c r="X16" i="16"/>
  <c r="AI23" i="14"/>
  <c r="AK23" i="14"/>
  <c r="H40" i="15"/>
  <c r="AB37" i="19"/>
  <c r="Z60" i="14"/>
  <c r="AA60" i="14"/>
  <c r="X60" i="14"/>
  <c r="Y60" i="14"/>
  <c r="W60" i="14"/>
  <c r="Y15" i="14"/>
  <c r="AA15" i="14"/>
  <c r="Z15" i="14"/>
  <c r="W15" i="14"/>
  <c r="X15" i="14"/>
  <c r="W37" i="14"/>
  <c r="AA37" i="14"/>
  <c r="Z37" i="14"/>
  <c r="Y37" i="14"/>
  <c r="X37" i="14"/>
  <c r="Z9" i="14"/>
  <c r="Y9" i="14"/>
  <c r="AA9" i="14"/>
  <c r="W9" i="14"/>
  <c r="X9" i="14"/>
  <c r="AA23" i="14"/>
  <c r="X23" i="14"/>
  <c r="Z23" i="14"/>
  <c r="Y23" i="14"/>
  <c r="W23" i="14"/>
  <c r="X49" i="14"/>
  <c r="AA49" i="14"/>
  <c r="W49" i="14"/>
  <c r="Z49" i="14"/>
  <c r="Y49" i="14"/>
  <c r="X87" i="14"/>
  <c r="Y87" i="14"/>
  <c r="AA87" i="14"/>
  <c r="W87" i="14"/>
  <c r="Z87" i="14"/>
  <c r="Y10" i="14"/>
  <c r="X10" i="14"/>
  <c r="W10" i="14"/>
  <c r="Z10" i="14"/>
  <c r="AA10" i="14"/>
  <c r="AA63" i="14"/>
  <c r="Y63" i="14"/>
  <c r="X63" i="14"/>
  <c r="Z63" i="14"/>
  <c r="W63" i="14"/>
  <c r="W66" i="14"/>
  <c r="Y66" i="14"/>
  <c r="AA66" i="14"/>
  <c r="Z66" i="14"/>
  <c r="X66" i="14"/>
  <c r="Y79" i="14"/>
  <c r="W79" i="14"/>
  <c r="Z79" i="14"/>
  <c r="AA79" i="14"/>
  <c r="X79" i="14"/>
  <c r="W39" i="19"/>
  <c r="AD35" i="19"/>
  <c r="AA74" i="14"/>
  <c r="Z74" i="14"/>
  <c r="Y74" i="14"/>
  <c r="X74" i="14"/>
  <c r="W74" i="14"/>
  <c r="X46" i="14"/>
  <c r="AA46" i="14"/>
  <c r="Y46" i="14"/>
  <c r="W46" i="14"/>
  <c r="Z46" i="14"/>
  <c r="Y36" i="14"/>
  <c r="AA36" i="14"/>
  <c r="W36" i="14"/>
  <c r="Z36" i="14"/>
  <c r="X36" i="14"/>
  <c r="AI12" i="15"/>
  <c r="Z55" i="14"/>
  <c r="Y55" i="14"/>
  <c r="X55" i="14"/>
  <c r="W55" i="14"/>
  <c r="AA55" i="14"/>
  <c r="Y17" i="14"/>
  <c r="Z17" i="14"/>
  <c r="W17" i="14"/>
  <c r="X17" i="14"/>
  <c r="AA17" i="14"/>
  <c r="X69" i="14"/>
  <c r="Y69" i="14"/>
  <c r="W69" i="14"/>
  <c r="Z69" i="14"/>
  <c r="AA69" i="14"/>
  <c r="Y67" i="14"/>
  <c r="X67" i="14"/>
  <c r="AA67" i="14"/>
  <c r="Z67" i="14"/>
  <c r="W67" i="14"/>
  <c r="X77" i="14"/>
  <c r="W77" i="14"/>
  <c r="AA77" i="14"/>
  <c r="Y77" i="14"/>
  <c r="Z77" i="14"/>
  <c r="Y89" i="14"/>
  <c r="X89" i="14"/>
  <c r="AA89" i="14"/>
  <c r="Z89" i="14"/>
  <c r="W89" i="14"/>
  <c r="AA70" i="14"/>
  <c r="Z70" i="14"/>
  <c r="Y70" i="14"/>
  <c r="X70" i="14"/>
  <c r="W70" i="14"/>
  <c r="AA28" i="14"/>
  <c r="W28" i="14"/>
  <c r="Y28" i="14"/>
  <c r="Z28" i="14"/>
  <c r="X28" i="14"/>
  <c r="X84" i="14"/>
  <c r="AA84" i="14"/>
  <c r="W84" i="14"/>
  <c r="Z84" i="14"/>
  <c r="Y84" i="14"/>
  <c r="Z32" i="14"/>
  <c r="AA32" i="14"/>
  <c r="Y32" i="14"/>
  <c r="W32" i="14"/>
  <c r="X32" i="14"/>
  <c r="X30" i="14"/>
  <c r="Y30" i="14"/>
  <c r="AA30" i="14"/>
  <c r="W30" i="14"/>
  <c r="Z30" i="14"/>
  <c r="I38" i="15"/>
  <c r="K38" i="15" s="1"/>
  <c r="AA38" i="19"/>
  <c r="Z38" i="19"/>
  <c r="Y38" i="19"/>
  <c r="Y22" i="14"/>
  <c r="AA22" i="14"/>
  <c r="W22" i="14"/>
  <c r="Z22" i="14"/>
  <c r="X22" i="14"/>
  <c r="AA12" i="14"/>
  <c r="Z12" i="14"/>
  <c r="Y12" i="14"/>
  <c r="W12" i="14"/>
  <c r="X12" i="14"/>
  <c r="Y57" i="14"/>
  <c r="W57" i="14"/>
  <c r="X57" i="14"/>
  <c r="Z57" i="14"/>
  <c r="AA57" i="14"/>
  <c r="X7" i="14"/>
  <c r="AA7" i="14"/>
  <c r="Y7" i="14"/>
  <c r="Z7" i="14"/>
  <c r="W7" i="14"/>
  <c r="AA71" i="14"/>
  <c r="Y71" i="14"/>
  <c r="Z71" i="14"/>
  <c r="W71" i="14"/>
  <c r="X71" i="14"/>
  <c r="Y88" i="14"/>
  <c r="Z88" i="14"/>
  <c r="AA88" i="14"/>
  <c r="X88" i="14"/>
  <c r="W88" i="14"/>
  <c r="Y34" i="14"/>
  <c r="AA34" i="14"/>
  <c r="Z34" i="14"/>
  <c r="W34" i="14"/>
  <c r="X34" i="14"/>
  <c r="Y58" i="14"/>
  <c r="AA58" i="14"/>
  <c r="Z58" i="14"/>
  <c r="X58" i="14"/>
  <c r="W58" i="14"/>
  <c r="AA8" i="14"/>
  <c r="Y8" i="14"/>
  <c r="X8" i="14"/>
  <c r="Z8" i="14"/>
  <c r="W8" i="14"/>
  <c r="X83" i="14"/>
  <c r="Y83" i="14"/>
  <c r="Z83" i="14"/>
  <c r="AA83" i="14"/>
  <c r="W83" i="14"/>
  <c r="AA11" i="14"/>
  <c r="W11" i="14"/>
  <c r="X11" i="14"/>
  <c r="Y11" i="14"/>
  <c r="Z11" i="14"/>
  <c r="Z31" i="14"/>
  <c r="W31" i="14"/>
  <c r="Y31" i="14"/>
  <c r="X31" i="14"/>
  <c r="AA31" i="14"/>
  <c r="AA52" i="14"/>
  <c r="Y52" i="14"/>
  <c r="X52" i="14"/>
  <c r="Z52" i="14"/>
  <c r="W52" i="14"/>
  <c r="AA33" i="14"/>
  <c r="X33" i="14"/>
  <c r="W33" i="14"/>
  <c r="Y33" i="14"/>
  <c r="Z33" i="14"/>
  <c r="Z48" i="14"/>
  <c r="Y48" i="14"/>
  <c r="W48" i="14"/>
  <c r="X48" i="14"/>
  <c r="AA48" i="14"/>
  <c r="AA42" i="14"/>
  <c r="Y42" i="14"/>
  <c r="X42" i="14"/>
  <c r="W42" i="14"/>
  <c r="Z42" i="14"/>
  <c r="Z61" i="14"/>
  <c r="W61" i="14"/>
  <c r="X61" i="14"/>
  <c r="Y61" i="14"/>
  <c r="AA61" i="14"/>
  <c r="Z38" i="14"/>
  <c r="Y38" i="14"/>
  <c r="X38" i="14"/>
  <c r="AA38" i="14"/>
  <c r="W38" i="14"/>
  <c r="Y90" i="14"/>
  <c r="Z90" i="14"/>
  <c r="AA90" i="14"/>
  <c r="W90" i="14"/>
  <c r="X90" i="14"/>
  <c r="X43" i="14"/>
  <c r="AA43" i="14"/>
  <c r="Z43" i="14"/>
  <c r="Y43" i="14"/>
  <c r="W43" i="14"/>
  <c r="X62" i="14"/>
  <c r="Z62" i="14"/>
  <c r="AA62" i="14"/>
  <c r="W62" i="14"/>
  <c r="Y62" i="14"/>
  <c r="W13" i="14"/>
  <c r="Z13" i="14"/>
  <c r="X13" i="14"/>
  <c r="AA13" i="14"/>
  <c r="Y13" i="14"/>
  <c r="AA14" i="14"/>
  <c r="Z14" i="14"/>
  <c r="X14" i="14"/>
  <c r="Y14" i="14"/>
  <c r="W14" i="14"/>
  <c r="AA76" i="14"/>
  <c r="Y76" i="14"/>
  <c r="Z76" i="14"/>
  <c r="X76" i="14"/>
  <c r="W76" i="14"/>
  <c r="W53" i="14"/>
  <c r="Y53" i="14"/>
  <c r="AA53" i="14"/>
  <c r="Z53" i="14"/>
  <c r="X53" i="14"/>
  <c r="I39" i="15"/>
  <c r="Y41" i="14"/>
  <c r="X41" i="14"/>
  <c r="W41" i="14"/>
  <c r="Z41" i="14"/>
  <c r="AA41" i="14"/>
  <c r="AD36" i="19"/>
  <c r="AI22" i="15"/>
  <c r="W59" i="14"/>
  <c r="Z59" i="14"/>
  <c r="Y59" i="14"/>
  <c r="X59" i="14"/>
  <c r="AA59" i="14"/>
  <c r="Y35" i="14"/>
  <c r="W35" i="14"/>
  <c r="AA35" i="14"/>
  <c r="X35" i="14"/>
  <c r="Z35" i="14"/>
  <c r="W20" i="14"/>
  <c r="Y20" i="14"/>
  <c r="X20" i="14"/>
  <c r="AA20" i="14"/>
  <c r="Z20" i="14"/>
  <c r="Y91" i="14"/>
  <c r="W91" i="14"/>
  <c r="X91" i="14"/>
  <c r="Z91" i="14"/>
  <c r="AA91" i="14"/>
  <c r="Y29" i="14"/>
  <c r="AA29" i="14"/>
  <c r="Z29" i="14"/>
  <c r="W29" i="14"/>
  <c r="X29" i="14"/>
  <c r="W50" i="14"/>
  <c r="Z50" i="14"/>
  <c r="Y50" i="14"/>
  <c r="AA50" i="14"/>
  <c r="X50" i="14"/>
  <c r="W3" i="14"/>
  <c r="Y3" i="14"/>
  <c r="Z3" i="14"/>
  <c r="X3" i="14"/>
  <c r="AA3" i="14"/>
  <c r="Z25" i="14"/>
  <c r="Y25" i="14"/>
  <c r="W25" i="14"/>
  <c r="X25" i="14"/>
  <c r="AA25" i="14"/>
  <c r="W54" i="14"/>
  <c r="AA54" i="14"/>
  <c r="X54" i="14"/>
  <c r="Y54" i="14"/>
  <c r="Z54" i="14"/>
  <c r="Y73" i="14"/>
  <c r="X73" i="14"/>
  <c r="AA73" i="14"/>
  <c r="Z73" i="14"/>
  <c r="W73" i="14"/>
  <c r="Y56" i="14"/>
  <c r="AA56" i="14"/>
  <c r="W56" i="14"/>
  <c r="Z56" i="14"/>
  <c r="X56" i="14"/>
  <c r="X85" i="14"/>
  <c r="W85" i="14"/>
  <c r="Y85" i="14"/>
  <c r="Z85" i="14"/>
  <c r="AA85" i="14"/>
  <c r="Y5" i="14"/>
  <c r="Z5" i="14"/>
  <c r="X5" i="14"/>
  <c r="AA5" i="14"/>
  <c r="W5" i="14"/>
  <c r="W26" i="14"/>
  <c r="Y26" i="14"/>
  <c r="Z26" i="14"/>
  <c r="X26" i="14"/>
  <c r="AA26" i="14"/>
  <c r="Z21" i="14"/>
  <c r="AA21" i="14"/>
  <c r="X21" i="14"/>
  <c r="Y21" i="14"/>
  <c r="W21" i="14"/>
  <c r="AA75" i="14"/>
  <c r="Y75" i="14"/>
  <c r="Z75" i="14"/>
  <c r="X75" i="14"/>
  <c r="W75" i="14"/>
  <c r="Y18" i="14"/>
  <c r="AA18" i="14"/>
  <c r="X18" i="14"/>
  <c r="W18" i="14"/>
  <c r="Z18" i="14"/>
  <c r="Y27" i="14"/>
  <c r="AA27" i="14"/>
  <c r="Z27" i="14"/>
  <c r="W27" i="14"/>
  <c r="X27" i="14"/>
  <c r="W72" i="14"/>
  <c r="Z72" i="14"/>
  <c r="X72" i="14"/>
  <c r="Y72" i="14"/>
  <c r="AA72" i="14"/>
  <c r="W65" i="14"/>
  <c r="X65" i="14"/>
  <c r="Y65" i="14"/>
  <c r="AA65" i="14"/>
  <c r="Z65" i="14"/>
  <c r="W80" i="14"/>
  <c r="Z80" i="14"/>
  <c r="Y80" i="14"/>
  <c r="X80" i="14"/>
  <c r="AA80" i="14"/>
  <c r="Z39" i="14"/>
  <c r="X39" i="14"/>
  <c r="AA39" i="14"/>
  <c r="Y39" i="14"/>
  <c r="W39" i="14"/>
  <c r="W64" i="14"/>
  <c r="Y64" i="14"/>
  <c r="Z64" i="14"/>
  <c r="AA64" i="14"/>
  <c r="X64" i="14"/>
  <c r="I37" i="15"/>
  <c r="K37" i="15" s="1"/>
  <c r="D29" i="1"/>
  <c r="AD34" i="19"/>
  <c r="W82" i="14"/>
  <c r="Z82" i="14"/>
  <c r="Y82" i="14"/>
  <c r="AA82" i="14"/>
  <c r="X82" i="14"/>
  <c r="W86" i="14"/>
  <c r="AA86" i="14"/>
  <c r="X86" i="14"/>
  <c r="Z86" i="14"/>
  <c r="Y86" i="14"/>
  <c r="AA40" i="14"/>
  <c r="X40" i="14"/>
  <c r="Y40" i="14"/>
  <c r="W40" i="14"/>
  <c r="Z40" i="14"/>
  <c r="X47" i="14"/>
  <c r="Z47" i="14"/>
  <c r="Y47" i="14"/>
  <c r="AA47" i="14"/>
  <c r="W47" i="14"/>
  <c r="Y24" i="14"/>
  <c r="X24" i="14"/>
  <c r="W24" i="14"/>
  <c r="Z24" i="14"/>
  <c r="AA24" i="14"/>
  <c r="X44" i="14"/>
  <c r="AA44" i="14"/>
  <c r="W44" i="14"/>
  <c r="Y44" i="14"/>
  <c r="Z44" i="14"/>
  <c r="AA6" i="14"/>
  <c r="Z6" i="14"/>
  <c r="Y6" i="14"/>
  <c r="W6" i="14"/>
  <c r="X6" i="14"/>
  <c r="Z51" i="14"/>
  <c r="AA51" i="14"/>
  <c r="W51" i="14"/>
  <c r="Y51" i="14"/>
  <c r="X51" i="14"/>
  <c r="K39" i="15"/>
  <c r="W4" i="14"/>
  <c r="AA4" i="14"/>
  <c r="Z4" i="14"/>
  <c r="X4" i="14"/>
  <c r="Y4" i="14"/>
  <c r="I40" i="15"/>
  <c r="W78" i="14"/>
  <c r="Y78" i="14"/>
  <c r="X78" i="14"/>
  <c r="AA78" i="14"/>
  <c r="Z78" i="14"/>
  <c r="Z45" i="14"/>
  <c r="AA45" i="14"/>
  <c r="Y45" i="14"/>
  <c r="X45" i="14"/>
  <c r="W45" i="14"/>
  <c r="X68" i="14"/>
  <c r="Y68" i="14"/>
  <c r="W68" i="14"/>
  <c r="AA68" i="14"/>
  <c r="Z68" i="14"/>
  <c r="Y16" i="14"/>
  <c r="AA16" i="14"/>
  <c r="Z16" i="14"/>
  <c r="X16" i="14"/>
  <c r="W16" i="14"/>
  <c r="Y19" i="14"/>
  <c r="Z19" i="14"/>
  <c r="X19" i="14"/>
  <c r="W19" i="14"/>
  <c r="AA19" i="14"/>
  <c r="W81" i="14"/>
  <c r="AA81" i="14"/>
  <c r="Z81" i="14"/>
  <c r="X81" i="14"/>
  <c r="Y81" i="14"/>
  <c r="AD37" i="19"/>
  <c r="D30" i="1"/>
  <c r="C37" i="1"/>
  <c r="D37" i="1" s="1"/>
  <c r="D39" i="1"/>
  <c r="AE2" i="16" a="1"/>
  <c r="C38" i="1"/>
  <c r="D38" i="1" s="1"/>
  <c r="AE29" i="16" l="1"/>
  <c r="AE39" i="16"/>
  <c r="AE60" i="16"/>
  <c r="AE47" i="16"/>
  <c r="AE28" i="16"/>
  <c r="AE36" i="16"/>
  <c r="AE61" i="16"/>
  <c r="AE54" i="16"/>
  <c r="AE84" i="16"/>
  <c r="AE105" i="16"/>
  <c r="AE10" i="16"/>
  <c r="AE66" i="16"/>
  <c r="AE69" i="16"/>
  <c r="AE108" i="16"/>
  <c r="AE51" i="16"/>
  <c r="AE75" i="16"/>
  <c r="AE76" i="16"/>
  <c r="AE91" i="16"/>
  <c r="AE22" i="16"/>
  <c r="AE7" i="16"/>
  <c r="AE42" i="16"/>
  <c r="AE20" i="16"/>
  <c r="AE21" i="16"/>
  <c r="AE88" i="16"/>
  <c r="AE11" i="16"/>
  <c r="AE8" i="16"/>
  <c r="AE97" i="16"/>
  <c r="AE19" i="16"/>
  <c r="AE82" i="16"/>
  <c r="AE68" i="16"/>
  <c r="AE9" i="16"/>
  <c r="AE26" i="16"/>
  <c r="AE90" i="16"/>
  <c r="AE87" i="16"/>
  <c r="AE79" i="16"/>
  <c r="AE98" i="16"/>
  <c r="AE85" i="16"/>
  <c r="AE24" i="16"/>
  <c r="AE115" i="16"/>
  <c r="AE81" i="16"/>
  <c r="AE92" i="16"/>
  <c r="AE37" i="16"/>
  <c r="AE16" i="16"/>
  <c r="AE106" i="16"/>
  <c r="AE34" i="16"/>
  <c r="AE4" i="16"/>
  <c r="AE32" i="16"/>
  <c r="AE55" i="16"/>
  <c r="AE72" i="16"/>
  <c r="AE52" i="16"/>
  <c r="AE100" i="16"/>
  <c r="AE43" i="16"/>
  <c r="AE111" i="16"/>
  <c r="AE49" i="16"/>
  <c r="AE102" i="16"/>
  <c r="AE53" i="16"/>
  <c r="AE45" i="16"/>
  <c r="AE99" i="16"/>
  <c r="AE40" i="16"/>
  <c r="AE103" i="16"/>
  <c r="AE65" i="16"/>
  <c r="AE104" i="16"/>
  <c r="AE33" i="16"/>
  <c r="AE107" i="16"/>
  <c r="AE35" i="16"/>
  <c r="AE46" i="16"/>
  <c r="AE94" i="16"/>
  <c r="AE18" i="16"/>
  <c r="AE59" i="16"/>
  <c r="AE23" i="16"/>
  <c r="AE64" i="16"/>
  <c r="AE5" i="16"/>
  <c r="AE86" i="16"/>
  <c r="AE110" i="16"/>
  <c r="AE14" i="16"/>
  <c r="AE113" i="16"/>
  <c r="AE17" i="16"/>
  <c r="AE25" i="16"/>
  <c r="AE38" i="16"/>
  <c r="AE12" i="16"/>
  <c r="AE114" i="16"/>
  <c r="AE74" i="16"/>
  <c r="AE50" i="16"/>
  <c r="AE30" i="16"/>
  <c r="AE3" i="16"/>
  <c r="AE31" i="16"/>
  <c r="AE67" i="16"/>
  <c r="AE77" i="16"/>
  <c r="AE89" i="16"/>
  <c r="AE58" i="16"/>
  <c r="AE80" i="16"/>
  <c r="AE78" i="16"/>
  <c r="AE83" i="16"/>
  <c r="AE101" i="16"/>
  <c r="AE95" i="16"/>
  <c r="AE13" i="16"/>
  <c r="AE57" i="16"/>
  <c r="AE27" i="16"/>
  <c r="AE96" i="16"/>
  <c r="AE93" i="16"/>
  <c r="AE44" i="16"/>
  <c r="AE48" i="16"/>
  <c r="AE56" i="16"/>
  <c r="AE70" i="16"/>
  <c r="AE112" i="16"/>
  <c r="AE71" i="16"/>
  <c r="AE15" i="16"/>
  <c r="AE109" i="16"/>
  <c r="AE63" i="16"/>
  <c r="AE62" i="16"/>
  <c r="AE41" i="16"/>
  <c r="AE2" i="16"/>
  <c r="AE6" i="16"/>
  <c r="AE73" i="16"/>
  <c r="U81" i="14"/>
  <c r="U19" i="14"/>
  <c r="U16" i="14"/>
  <c r="U68" i="14"/>
  <c r="U45" i="14"/>
  <c r="U78" i="14"/>
  <c r="U4" i="14"/>
  <c r="U51" i="14"/>
  <c r="U6" i="14"/>
  <c r="U44" i="14"/>
  <c r="U24" i="14"/>
  <c r="U47" i="14"/>
  <c r="U40" i="14"/>
  <c r="U86" i="14"/>
  <c r="U82" i="14"/>
  <c r="U64" i="14"/>
  <c r="U39" i="14"/>
  <c r="U80" i="14"/>
  <c r="U65" i="14"/>
  <c r="U72" i="14"/>
  <c r="U27" i="14"/>
  <c r="U18" i="14"/>
  <c r="U75" i="14"/>
  <c r="U21" i="14"/>
  <c r="U26" i="14"/>
  <c r="U5" i="14"/>
  <c r="U85" i="14"/>
  <c r="U56" i="14"/>
  <c r="U73" i="14"/>
  <c r="U54" i="14"/>
  <c r="U25" i="14"/>
  <c r="U3" i="14"/>
  <c r="U50" i="14"/>
  <c r="U29" i="14"/>
  <c r="U91" i="14"/>
  <c r="U20" i="14"/>
  <c r="U35" i="14"/>
  <c r="U59" i="14"/>
  <c r="AM22" i="15"/>
  <c r="AK22" i="15"/>
  <c r="U41" i="14"/>
  <c r="U53" i="14"/>
  <c r="U76" i="14"/>
  <c r="U14" i="14"/>
  <c r="U13" i="14"/>
  <c r="U62" i="14"/>
  <c r="U43" i="14"/>
  <c r="U90" i="14"/>
  <c r="U38" i="14"/>
  <c r="U61" i="14"/>
  <c r="U42" i="14"/>
  <c r="U48" i="14"/>
  <c r="U33" i="14"/>
  <c r="U52" i="14"/>
  <c r="U31" i="14"/>
  <c r="U11" i="14"/>
  <c r="U83" i="14"/>
  <c r="U8" i="14"/>
  <c r="U58" i="14"/>
  <c r="U34" i="14"/>
  <c r="U88" i="14"/>
  <c r="U71" i="14"/>
  <c r="U7" i="14"/>
  <c r="U57" i="14"/>
  <c r="U12" i="14"/>
  <c r="U22" i="14"/>
  <c r="H41" i="15"/>
  <c r="AB38" i="19"/>
  <c r="U30" i="14"/>
  <c r="U32" i="14"/>
  <c r="U84" i="14"/>
  <c r="U28" i="14"/>
  <c r="U70" i="14"/>
  <c r="U89" i="14"/>
  <c r="U77" i="14"/>
  <c r="U67" i="14"/>
  <c r="U69" i="14"/>
  <c r="U17" i="14"/>
  <c r="U55" i="14"/>
  <c r="AK12" i="15"/>
  <c r="AM12" i="15"/>
  <c r="U36" i="14"/>
  <c r="U46" i="14"/>
  <c r="U74" i="14"/>
  <c r="X39" i="19"/>
  <c r="B42" i="15"/>
  <c r="U79" i="14"/>
  <c r="U66" i="14"/>
  <c r="U63" i="14"/>
  <c r="U10" i="14"/>
  <c r="U87" i="14"/>
  <c r="U49" i="14"/>
  <c r="U23" i="14"/>
  <c r="U9" i="14"/>
  <c r="U37" i="14"/>
  <c r="U15" i="14"/>
  <c r="U60" i="14"/>
  <c r="N35" i="15"/>
  <c r="N33" i="15"/>
  <c r="N34" i="15"/>
  <c r="B48" i="15"/>
  <c r="O35" i="15"/>
  <c r="U34" i="15"/>
  <c r="O34" i="15"/>
  <c r="U33" i="15"/>
  <c r="U35" i="15"/>
  <c r="Z39" i="19"/>
  <c r="AA39" i="19"/>
  <c r="Y39" i="19"/>
  <c r="P33" i="15"/>
  <c r="T33" i="15"/>
  <c r="K40" i="15"/>
  <c r="O33" i="15"/>
  <c r="AD38" i="19"/>
  <c r="T35" i="15"/>
  <c r="P35" i="15"/>
  <c r="I41" i="15"/>
  <c r="K41" i="15" s="1"/>
  <c r="W40" i="19"/>
  <c r="T34" i="15"/>
  <c r="P34" i="15"/>
  <c r="X40" i="19" l="1"/>
  <c r="B43" i="15"/>
  <c r="H42" i="15"/>
  <c r="AB39" i="19"/>
  <c r="N37" i="15"/>
  <c r="N36" i="15"/>
  <c r="B49" i="15"/>
  <c r="W41" i="19"/>
  <c r="T36" i="15"/>
  <c r="Z40" i="19"/>
  <c r="AA40" i="19"/>
  <c r="Y40" i="19"/>
  <c r="U36" i="15"/>
  <c r="P36" i="15"/>
  <c r="I42" i="15"/>
  <c r="K42" i="15" s="1"/>
  <c r="U37" i="15"/>
  <c r="O36" i="15"/>
  <c r="AD39" i="19"/>
  <c r="T37" i="15"/>
  <c r="O37" i="15"/>
  <c r="P37" i="15"/>
  <c r="N38" i="15" l="1"/>
  <c r="H43" i="15"/>
  <c r="AB40" i="19"/>
  <c r="X41" i="19"/>
  <c r="B44" i="15"/>
  <c r="B50" i="15"/>
  <c r="P38" i="15"/>
  <c r="U38" i="15"/>
  <c r="T38" i="15"/>
  <c r="O38" i="15"/>
  <c r="I43" i="15"/>
  <c r="K43" i="15" s="1"/>
  <c r="AD40" i="19"/>
  <c r="W42" i="19"/>
  <c r="Z41" i="19"/>
  <c r="AA41" i="19"/>
  <c r="Y41" i="19"/>
  <c r="H44" i="15" l="1"/>
  <c r="AB41" i="19"/>
  <c r="X42" i="19"/>
  <c r="B45" i="15"/>
  <c r="N39" i="15"/>
  <c r="B51" i="15"/>
  <c r="I44" i="15"/>
  <c r="K44" i="15" s="1"/>
  <c r="AD41" i="19"/>
  <c r="W43" i="19"/>
  <c r="AA42" i="19"/>
  <c r="Z42" i="19"/>
  <c r="Y42" i="19"/>
  <c r="P39" i="15"/>
  <c r="O39" i="15"/>
  <c r="T39" i="15"/>
  <c r="U39" i="15"/>
  <c r="W44" i="19"/>
  <c r="W45" i="19"/>
  <c r="B47" i="15" l="1"/>
  <c r="X44" i="19"/>
  <c r="H45" i="15"/>
  <c r="AB42" i="19"/>
  <c r="X43" i="19"/>
  <c r="B46" i="15"/>
  <c r="N40" i="15"/>
  <c r="B52" i="15"/>
  <c r="Z44" i="19"/>
  <c r="AA44" i="19"/>
  <c r="Y44" i="19"/>
  <c r="I45" i="15"/>
  <c r="AD42" i="19"/>
  <c r="AA43" i="19"/>
  <c r="Z43" i="19"/>
  <c r="Y43" i="19"/>
  <c r="O40" i="15"/>
  <c r="P40" i="15"/>
  <c r="T40" i="15"/>
  <c r="U40" i="15"/>
  <c r="H46" i="15" l="1"/>
  <c r="AB43" i="19"/>
  <c r="H47" i="15"/>
  <c r="AB44" i="19"/>
  <c r="B53" i="15"/>
  <c r="I46" i="15"/>
  <c r="K46" i="15" s="1"/>
  <c r="AD43" i="19"/>
  <c r="AB2" i="19"/>
  <c r="K45" i="15"/>
  <c r="I47" i="15"/>
  <c r="K47" i="15" s="1"/>
  <c r="AD44" i="19"/>
  <c r="N43" i="15" l="1"/>
  <c r="N41" i="15"/>
  <c r="N42" i="15"/>
  <c r="B54" i="15"/>
  <c r="T43" i="15"/>
  <c r="O43" i="15"/>
  <c r="P43" i="15"/>
  <c r="U43" i="15"/>
  <c r="X3" i="15" a="1"/>
  <c r="P41" i="15"/>
  <c r="U41" i="15"/>
  <c r="T41" i="15"/>
  <c r="O41" i="15"/>
  <c r="O42" i="15"/>
  <c r="U42" i="15"/>
  <c r="T42" i="15"/>
  <c r="P42" i="15"/>
  <c r="X106" i="15" l="1"/>
  <c r="X100" i="15"/>
  <c r="X30" i="15"/>
  <c r="X121" i="15"/>
  <c r="X80" i="15"/>
  <c r="X40" i="15"/>
  <c r="X102" i="15"/>
  <c r="X58" i="15"/>
  <c r="X82" i="15"/>
  <c r="X97" i="15"/>
  <c r="X11" i="15"/>
  <c r="X21" i="15"/>
  <c r="X33" i="15"/>
  <c r="X7" i="15"/>
  <c r="X96" i="15"/>
  <c r="X120" i="15"/>
  <c r="X54" i="15"/>
  <c r="X67" i="15"/>
  <c r="X59" i="15"/>
  <c r="X32" i="15"/>
  <c r="X64" i="15"/>
  <c r="X29" i="15"/>
  <c r="X72" i="15"/>
  <c r="X3" i="15"/>
  <c r="X109" i="15"/>
  <c r="X50" i="15"/>
  <c r="X88" i="15"/>
  <c r="X15" i="15"/>
  <c r="X39" i="15"/>
  <c r="X23" i="15"/>
  <c r="X113" i="15"/>
  <c r="X74" i="15"/>
  <c r="X69" i="15"/>
  <c r="X27" i="15"/>
  <c r="X25" i="15"/>
  <c r="X99" i="15"/>
  <c r="X111" i="15"/>
  <c r="X24" i="15"/>
  <c r="X43" i="15"/>
  <c r="X70" i="15"/>
  <c r="X5" i="15"/>
  <c r="X85" i="15"/>
  <c r="X68" i="15"/>
  <c r="X110" i="15"/>
  <c r="X57" i="15"/>
  <c r="X104" i="15"/>
  <c r="X71" i="15"/>
  <c r="X81" i="15"/>
  <c r="X8" i="15"/>
  <c r="X108" i="15"/>
  <c r="X76" i="15"/>
  <c r="X13" i="15"/>
  <c r="X42" i="15"/>
  <c r="X17" i="15"/>
  <c r="X48" i="15"/>
  <c r="X122" i="15"/>
  <c r="X94" i="15"/>
  <c r="X73" i="15"/>
  <c r="X35" i="15"/>
  <c r="X49" i="15"/>
  <c r="X55" i="15"/>
  <c r="X83" i="15"/>
  <c r="X4" i="15"/>
  <c r="X44" i="15"/>
  <c r="X53" i="15"/>
  <c r="X115" i="15"/>
  <c r="X34" i="15"/>
  <c r="X118" i="15"/>
  <c r="X86" i="15"/>
  <c r="X123" i="15"/>
  <c r="X37" i="15"/>
  <c r="X41" i="15"/>
  <c r="X14" i="15"/>
  <c r="X90" i="15"/>
  <c r="X125" i="15"/>
  <c r="X46" i="15"/>
  <c r="X52" i="15"/>
  <c r="X65" i="15"/>
  <c r="X101" i="15"/>
  <c r="X89" i="15"/>
  <c r="X22" i="15"/>
  <c r="X87" i="15"/>
  <c r="X116" i="15"/>
  <c r="X119" i="15"/>
  <c r="X12" i="15"/>
  <c r="X92" i="15"/>
  <c r="X26" i="15"/>
  <c r="X16" i="15"/>
  <c r="X117" i="15"/>
  <c r="X62" i="15"/>
  <c r="X124" i="15"/>
  <c r="X103" i="15"/>
  <c r="X66" i="15"/>
  <c r="X31" i="15"/>
  <c r="X36" i="15"/>
  <c r="X9" i="15"/>
  <c r="X38" i="15"/>
  <c r="X63" i="15"/>
  <c r="X98" i="15"/>
  <c r="X10" i="15"/>
  <c r="X56" i="15"/>
  <c r="X28" i="15"/>
  <c r="X18" i="15"/>
  <c r="X6" i="15"/>
  <c r="X45" i="15"/>
  <c r="X75" i="15"/>
  <c r="X20" i="15"/>
  <c r="X51" i="15"/>
  <c r="X47" i="15"/>
  <c r="X93" i="15"/>
  <c r="X79" i="15"/>
  <c r="X19" i="15"/>
  <c r="X114" i="15"/>
  <c r="X60" i="15"/>
  <c r="X95" i="15"/>
  <c r="X112" i="15"/>
  <c r="X84" i="15"/>
  <c r="X61" i="15"/>
  <c r="X105" i="15"/>
  <c r="X77" i="15"/>
  <c r="X91" i="15"/>
  <c r="X107" i="15"/>
  <c r="X78" i="15"/>
  <c r="B55" i="15"/>
  <c r="Z106" i="15"/>
  <c r="Y106" i="15"/>
  <c r="AB106" i="15"/>
  <c r="AC106" i="15"/>
  <c r="AA106" i="15"/>
  <c r="AB82" i="15"/>
  <c r="AC82" i="15"/>
  <c r="Z82" i="15"/>
  <c r="AA82" i="15"/>
  <c r="Y82" i="15"/>
  <c r="AB54" i="15"/>
  <c r="AC54" i="15"/>
  <c r="AA54" i="15"/>
  <c r="Z54" i="15"/>
  <c r="Y54" i="15"/>
  <c r="AA109" i="15"/>
  <c r="AB109" i="15"/>
  <c r="Y109" i="15"/>
  <c r="AC109" i="15"/>
  <c r="Z109" i="15"/>
  <c r="AA69" i="15"/>
  <c r="Y69" i="15"/>
  <c r="Z69" i="15"/>
  <c r="AC69" i="15"/>
  <c r="AB69" i="15"/>
  <c r="Z5" i="15"/>
  <c r="Y5" i="15"/>
  <c r="AB5" i="15"/>
  <c r="AC5" i="15"/>
  <c r="AA5" i="15"/>
  <c r="Z8" i="15"/>
  <c r="AC8" i="15"/>
  <c r="Y8" i="15"/>
  <c r="AB8" i="15"/>
  <c r="AA8" i="15"/>
  <c r="AC94" i="15"/>
  <c r="AB94" i="15"/>
  <c r="Y94" i="15"/>
  <c r="Z94" i="15"/>
  <c r="AA94" i="15"/>
  <c r="AC53" i="15"/>
  <c r="Y53" i="15"/>
  <c r="AB53" i="15"/>
  <c r="Z53" i="15"/>
  <c r="AA53" i="15"/>
  <c r="AC14" i="15"/>
  <c r="AA14" i="15"/>
  <c r="Z14" i="15"/>
  <c r="AB14" i="15"/>
  <c r="Y14" i="15"/>
  <c r="Y22" i="15"/>
  <c r="AA22" i="15"/>
  <c r="Z22" i="15"/>
  <c r="AB22" i="15"/>
  <c r="AC22" i="15"/>
  <c r="AB117" i="15"/>
  <c r="AA117" i="15"/>
  <c r="Y117" i="15"/>
  <c r="Z117" i="15"/>
  <c r="AC117" i="15"/>
  <c r="AA38" i="15"/>
  <c r="Y38" i="15"/>
  <c r="AB38" i="15"/>
  <c r="AC38" i="15"/>
  <c r="Z38" i="15"/>
  <c r="Z45" i="15"/>
  <c r="AC45" i="15"/>
  <c r="Y45" i="15"/>
  <c r="AA45" i="15"/>
  <c r="AB45" i="15"/>
  <c r="AC114" i="15"/>
  <c r="Y114" i="15"/>
  <c r="AB114" i="15"/>
  <c r="AA114" i="15"/>
  <c r="Z114" i="15"/>
  <c r="AC91" i="15"/>
  <c r="AA91" i="15"/>
  <c r="AB91" i="15"/>
  <c r="Y91" i="15"/>
  <c r="Z91" i="15"/>
  <c r="AA100" i="15"/>
  <c r="Y100" i="15"/>
  <c r="AC100" i="15"/>
  <c r="AB100" i="15"/>
  <c r="Z100" i="15"/>
  <c r="AB97" i="15"/>
  <c r="AA97" i="15"/>
  <c r="Y97" i="15"/>
  <c r="AC97" i="15"/>
  <c r="Z97" i="15"/>
  <c r="AC67" i="15"/>
  <c r="AA67" i="15"/>
  <c r="AB67" i="15"/>
  <c r="Y67" i="15"/>
  <c r="Z67" i="15"/>
  <c r="Y50" i="15"/>
  <c r="AB50" i="15"/>
  <c r="AA50" i="15"/>
  <c r="Z50" i="15"/>
  <c r="AC50" i="15"/>
  <c r="AA27" i="15"/>
  <c r="AC27" i="15"/>
  <c r="Z27" i="15"/>
  <c r="AB27" i="15"/>
  <c r="Y27" i="15"/>
  <c r="Y85" i="15"/>
  <c r="Z85" i="15"/>
  <c r="AB85" i="15"/>
  <c r="AC85" i="15"/>
  <c r="AA85" i="15"/>
  <c r="AA108" i="15"/>
  <c r="AB108" i="15"/>
  <c r="AC108" i="15"/>
  <c r="Z108" i="15"/>
  <c r="Y108" i="15"/>
  <c r="AA73" i="15"/>
  <c r="AC73" i="15"/>
  <c r="Y73" i="15"/>
  <c r="Z73" i="15"/>
  <c r="AB73" i="15"/>
  <c r="Y115" i="15"/>
  <c r="Z115" i="15"/>
  <c r="AB115" i="15"/>
  <c r="AA115" i="15"/>
  <c r="AC115" i="15"/>
  <c r="Y90" i="15"/>
  <c r="AC90" i="15"/>
  <c r="Z90" i="15"/>
  <c r="AA90" i="15"/>
  <c r="AB90" i="15"/>
  <c r="AB87" i="15"/>
  <c r="AA87" i="15"/>
  <c r="Z87" i="15"/>
  <c r="Y87" i="15"/>
  <c r="AC87" i="15"/>
  <c r="AB62" i="15"/>
  <c r="Y62" i="15"/>
  <c r="AA62" i="15"/>
  <c r="AC62" i="15"/>
  <c r="Z62" i="15"/>
  <c r="AA63" i="15"/>
  <c r="AC63" i="15"/>
  <c r="Y63" i="15"/>
  <c r="Z63" i="15"/>
  <c r="AB63" i="15"/>
  <c r="Z75" i="15"/>
  <c r="Y75" i="15"/>
  <c r="AC75" i="15"/>
  <c r="AB75" i="15"/>
  <c r="AA75" i="15"/>
  <c r="Y60" i="15"/>
  <c r="AA60" i="15"/>
  <c r="AB60" i="15"/>
  <c r="AC60" i="15"/>
  <c r="Z60" i="15"/>
  <c r="Y107" i="15"/>
  <c r="AA107" i="15"/>
  <c r="Z107" i="15"/>
  <c r="AB107" i="15"/>
  <c r="AC107" i="15"/>
  <c r="AA30" i="15"/>
  <c r="Z30" i="15"/>
  <c r="Y30" i="15"/>
  <c r="AB30" i="15"/>
  <c r="AC30" i="15"/>
  <c r="Z11" i="15"/>
  <c r="AC11" i="15"/>
  <c r="AB11" i="15"/>
  <c r="AA11" i="15"/>
  <c r="Y11" i="15"/>
  <c r="AA59" i="15"/>
  <c r="Y59" i="15"/>
  <c r="AC59" i="15"/>
  <c r="Z59" i="15"/>
  <c r="AB59" i="15"/>
  <c r="Y88" i="15"/>
  <c r="AC88" i="15"/>
  <c r="AA88" i="15"/>
  <c r="AB88" i="15"/>
  <c r="Z88" i="15"/>
  <c r="AB25" i="15"/>
  <c r="Y25" i="15"/>
  <c r="AA25" i="15"/>
  <c r="Z25" i="15"/>
  <c r="AC25" i="15"/>
  <c r="Y68" i="15"/>
  <c r="AC68" i="15"/>
  <c r="Z68" i="15"/>
  <c r="AA68" i="15"/>
  <c r="AB68" i="15"/>
  <c r="AA76" i="15"/>
  <c r="Z76" i="15"/>
  <c r="AB76" i="15"/>
  <c r="AC76" i="15"/>
  <c r="Y76" i="15"/>
  <c r="AC35" i="15"/>
  <c r="AA35" i="15"/>
  <c r="Y35" i="15"/>
  <c r="Z35" i="15"/>
  <c r="AB35" i="15"/>
  <c r="Z34" i="15"/>
  <c r="AB34" i="15"/>
  <c r="AA34" i="15"/>
  <c r="AC34" i="15"/>
  <c r="Y34" i="15"/>
  <c r="AA125" i="15"/>
  <c r="AC125" i="15"/>
  <c r="Y125" i="15"/>
  <c r="Z125" i="15"/>
  <c r="AB125" i="15"/>
  <c r="AA116" i="15"/>
  <c r="AB116" i="15"/>
  <c r="Y116" i="15"/>
  <c r="AC116" i="15"/>
  <c r="Z116" i="15"/>
  <c r="AC124" i="15"/>
  <c r="AA124" i="15"/>
  <c r="Y124" i="15"/>
  <c r="Z124" i="15"/>
  <c r="AB124" i="15"/>
  <c r="Z98" i="15"/>
  <c r="AA98" i="15"/>
  <c r="AC98" i="15"/>
  <c r="Y98" i="15"/>
  <c r="AB98" i="15"/>
  <c r="Z20" i="15"/>
  <c r="AC20" i="15"/>
  <c r="AB20" i="15"/>
  <c r="AA20" i="15"/>
  <c r="Y20" i="15"/>
  <c r="AA95" i="15"/>
  <c r="AB95" i="15"/>
  <c r="Z95" i="15"/>
  <c r="AC95" i="15"/>
  <c r="Y95" i="15"/>
  <c r="AB78" i="15"/>
  <c r="Y78" i="15"/>
  <c r="Z78" i="15"/>
  <c r="AC78" i="15"/>
  <c r="AA78" i="15"/>
  <c r="AB121" i="15"/>
  <c r="Z121" i="15"/>
  <c r="AA121" i="15"/>
  <c r="AC121" i="15"/>
  <c r="Y121" i="15"/>
  <c r="AA21" i="15"/>
  <c r="Y21" i="15"/>
  <c r="AB21" i="15"/>
  <c r="AC21" i="15"/>
  <c r="Z21" i="15"/>
  <c r="Y32" i="15"/>
  <c r="AA32" i="15"/>
  <c r="Z32" i="15"/>
  <c r="AC32" i="15"/>
  <c r="AB32" i="15"/>
  <c r="AA15" i="15"/>
  <c r="AC15" i="15"/>
  <c r="Z15" i="15"/>
  <c r="Y15" i="15"/>
  <c r="AB15" i="15"/>
  <c r="Z99" i="15"/>
  <c r="AA99" i="15"/>
  <c r="AC99" i="15"/>
  <c r="AB99" i="15"/>
  <c r="Y99" i="15"/>
  <c r="Z110" i="15"/>
  <c r="AA110" i="15"/>
  <c r="Y110" i="15"/>
  <c r="AB110" i="15"/>
  <c r="AC110" i="15"/>
  <c r="AC13" i="15"/>
  <c r="AA13" i="15"/>
  <c r="Y13" i="15"/>
  <c r="AB13" i="15"/>
  <c r="Z13" i="15"/>
  <c r="AB49" i="15"/>
  <c r="AC49" i="15"/>
  <c r="Y49" i="15"/>
  <c r="Z49" i="15"/>
  <c r="AA49" i="15"/>
  <c r="AA118" i="15"/>
  <c r="Z118" i="15"/>
  <c r="AC118" i="15"/>
  <c r="AB118" i="15"/>
  <c r="Y118" i="15"/>
  <c r="Y46" i="15"/>
  <c r="AA46" i="15"/>
  <c r="AC46" i="15"/>
  <c r="Z46" i="15"/>
  <c r="AB46" i="15"/>
  <c r="AB119" i="15"/>
  <c r="AC119" i="15"/>
  <c r="Z119" i="15"/>
  <c r="Y119" i="15"/>
  <c r="AA119" i="15"/>
  <c r="Y103" i="15"/>
  <c r="AC103" i="15"/>
  <c r="AB103" i="15"/>
  <c r="AA103" i="15"/>
  <c r="Z103" i="15"/>
  <c r="AC10" i="15"/>
  <c r="Z10" i="15"/>
  <c r="AB10" i="15"/>
  <c r="AA10" i="15"/>
  <c r="Y10" i="15"/>
  <c r="Z51" i="15"/>
  <c r="AB51" i="15"/>
  <c r="Y51" i="15"/>
  <c r="AC51" i="15"/>
  <c r="AA51" i="15"/>
  <c r="AA112" i="15"/>
  <c r="AB112" i="15"/>
  <c r="Y112" i="15"/>
  <c r="Z112" i="15"/>
  <c r="AC112" i="15"/>
  <c r="AB80" i="15"/>
  <c r="Z80" i="15"/>
  <c r="Y80" i="15"/>
  <c r="AA80" i="15"/>
  <c r="AC80" i="15"/>
  <c r="AC33" i="15"/>
  <c r="Z33" i="15"/>
  <c r="AB33" i="15"/>
  <c r="Y33" i="15"/>
  <c r="AA33" i="15"/>
  <c r="Y64" i="15"/>
  <c r="AB64" i="15"/>
  <c r="Z64" i="15"/>
  <c r="AA64" i="15"/>
  <c r="AC64" i="15"/>
  <c r="AB39" i="15"/>
  <c r="Y39" i="15"/>
  <c r="Z39" i="15"/>
  <c r="AC39" i="15"/>
  <c r="AA39" i="15"/>
  <c r="Y111" i="15"/>
  <c r="Z111" i="15"/>
  <c r="AB111" i="15"/>
  <c r="AA111" i="15"/>
  <c r="AC111" i="15"/>
  <c r="AC57" i="15"/>
  <c r="Z57" i="15"/>
  <c r="Y57" i="15"/>
  <c r="AA57" i="15"/>
  <c r="AB57" i="15"/>
  <c r="AB42" i="15"/>
  <c r="Y42" i="15"/>
  <c r="AA42" i="15"/>
  <c r="Z42" i="15"/>
  <c r="AC42" i="15"/>
  <c r="AC55" i="15"/>
  <c r="Z55" i="15"/>
  <c r="AA55" i="15"/>
  <c r="Y55" i="15"/>
  <c r="AB55" i="15"/>
  <c r="AC86" i="15"/>
  <c r="Z86" i="15"/>
  <c r="Y86" i="15"/>
  <c r="AB86" i="15"/>
  <c r="AA86" i="15"/>
  <c r="AA52" i="15"/>
  <c r="AB52" i="15"/>
  <c r="Z52" i="15"/>
  <c r="Y52" i="15"/>
  <c r="AC52" i="15"/>
  <c r="Y12" i="15"/>
  <c r="AA12" i="15"/>
  <c r="AB12" i="15"/>
  <c r="Z12" i="15"/>
  <c r="AC12" i="15"/>
  <c r="AC66" i="15"/>
  <c r="Z66" i="15"/>
  <c r="AA66" i="15"/>
  <c r="AB66" i="15"/>
  <c r="Y66" i="15"/>
  <c r="Y56" i="15"/>
  <c r="Z56" i="15"/>
  <c r="AC56" i="15"/>
  <c r="AA56" i="15"/>
  <c r="AB56" i="15"/>
  <c r="AB47" i="15"/>
  <c r="Z47" i="15"/>
  <c r="AC47" i="15"/>
  <c r="AA47" i="15"/>
  <c r="Y47" i="15"/>
  <c r="AA84" i="15"/>
  <c r="AB84" i="15"/>
  <c r="Y84" i="15"/>
  <c r="Z84" i="15"/>
  <c r="AC84" i="15"/>
  <c r="AC40" i="15"/>
  <c r="AA40" i="15"/>
  <c r="Z40" i="15"/>
  <c r="AB40" i="15"/>
  <c r="Y40" i="15"/>
  <c r="Z7" i="15"/>
  <c r="AB7" i="15"/>
  <c r="AC7" i="15"/>
  <c r="AA7" i="15"/>
  <c r="Y7" i="15"/>
  <c r="Y29" i="15"/>
  <c r="AA29" i="15"/>
  <c r="Z29" i="15"/>
  <c r="AC29" i="15"/>
  <c r="AB29" i="15"/>
  <c r="Y23" i="15"/>
  <c r="Z23" i="15"/>
  <c r="AA23" i="15"/>
  <c r="AC23" i="15"/>
  <c r="AB23" i="15"/>
  <c r="Z24" i="15"/>
  <c r="AA24" i="15"/>
  <c r="AB24" i="15"/>
  <c r="AC24" i="15"/>
  <c r="Y24" i="15"/>
  <c r="AA104" i="15"/>
  <c r="AC104" i="15"/>
  <c r="Y104" i="15"/>
  <c r="AB104" i="15"/>
  <c r="Z104" i="15"/>
  <c r="AB17" i="15"/>
  <c r="Z17" i="15"/>
  <c r="Y17" i="15"/>
  <c r="AC17" i="15"/>
  <c r="AA17" i="15"/>
  <c r="AA83" i="15"/>
  <c r="AC83" i="15"/>
  <c r="Y83" i="15"/>
  <c r="AB83" i="15"/>
  <c r="Z83" i="15"/>
  <c r="AA123" i="15"/>
  <c r="AB123" i="15"/>
  <c r="Y123" i="15"/>
  <c r="Z123" i="15"/>
  <c r="AC123" i="15"/>
  <c r="AB65" i="15"/>
  <c r="Z65" i="15"/>
  <c r="AA65" i="15"/>
  <c r="Y65" i="15"/>
  <c r="AC65" i="15"/>
  <c r="AB92" i="15"/>
  <c r="Z92" i="15"/>
  <c r="AA92" i="15"/>
  <c r="Y92" i="15"/>
  <c r="AC92" i="15"/>
  <c r="AC31" i="15"/>
  <c r="AA31" i="15"/>
  <c r="Y31" i="15"/>
  <c r="Z31" i="15"/>
  <c r="AB31" i="15"/>
  <c r="Y28" i="15"/>
  <c r="AA28" i="15"/>
  <c r="Z28" i="15"/>
  <c r="AB28" i="15"/>
  <c r="AC28" i="15"/>
  <c r="Y93" i="15"/>
  <c r="Z93" i="15"/>
  <c r="AC93" i="15"/>
  <c r="AB93" i="15"/>
  <c r="AA93" i="15"/>
  <c r="AA61" i="15"/>
  <c r="AB61" i="15"/>
  <c r="AC61" i="15"/>
  <c r="Y61" i="15"/>
  <c r="Z61" i="15"/>
  <c r="AC102" i="15"/>
  <c r="AA102" i="15"/>
  <c r="Y102" i="15"/>
  <c r="Z102" i="15"/>
  <c r="AB102" i="15"/>
  <c r="Z96" i="15"/>
  <c r="AB96" i="15"/>
  <c r="AA96" i="15"/>
  <c r="Y96" i="15"/>
  <c r="AC96" i="15"/>
  <c r="AA72" i="15"/>
  <c r="Z72" i="15"/>
  <c r="AB72" i="15"/>
  <c r="AC72" i="15"/>
  <c r="Y72" i="15"/>
  <c r="Z113" i="15"/>
  <c r="Y113" i="15"/>
  <c r="AA113" i="15"/>
  <c r="AC113" i="15"/>
  <c r="AB113" i="15"/>
  <c r="AC43" i="15"/>
  <c r="AB43" i="15"/>
  <c r="Y43" i="15"/>
  <c r="AA43" i="15"/>
  <c r="Z43" i="15"/>
  <c r="AA71" i="15"/>
  <c r="AC71" i="15"/>
  <c r="AB71" i="15"/>
  <c r="Z71" i="15"/>
  <c r="Y71" i="15"/>
  <c r="AB48" i="15"/>
  <c r="AC48" i="15"/>
  <c r="AA48" i="15"/>
  <c r="Z48" i="15"/>
  <c r="Y48" i="15"/>
  <c r="Z4" i="15"/>
  <c r="AA4" i="15"/>
  <c r="Y4" i="15"/>
  <c r="AC4" i="15"/>
  <c r="AB4" i="15"/>
  <c r="AC37" i="15"/>
  <c r="Z37" i="15"/>
  <c r="Y37" i="15"/>
  <c r="AB37" i="15"/>
  <c r="AA37" i="15"/>
  <c r="Y101" i="15"/>
  <c r="Z101" i="15"/>
  <c r="AB101" i="15"/>
  <c r="AA101" i="15"/>
  <c r="AC101" i="15"/>
  <c r="AB26" i="15"/>
  <c r="Z26" i="15"/>
  <c r="AA26" i="15"/>
  <c r="Y26" i="15"/>
  <c r="AC26" i="15"/>
  <c r="AA36" i="15"/>
  <c r="AC36" i="15"/>
  <c r="AB36" i="15"/>
  <c r="Z36" i="15"/>
  <c r="Y36" i="15"/>
  <c r="AA18" i="15"/>
  <c r="AC18" i="15"/>
  <c r="Y18" i="15"/>
  <c r="Z18" i="15"/>
  <c r="AB18" i="15"/>
  <c r="AB79" i="15"/>
  <c r="AC79" i="15"/>
  <c r="Z79" i="15"/>
  <c r="AA79" i="15"/>
  <c r="Y79" i="15"/>
  <c r="Y105" i="15"/>
  <c r="AB105" i="15"/>
  <c r="AA105" i="15"/>
  <c r="Z105" i="15"/>
  <c r="AC105" i="15"/>
  <c r="AA58" i="15"/>
  <c r="Z58" i="15"/>
  <c r="Y58" i="15"/>
  <c r="AB58" i="15"/>
  <c r="AC58" i="15"/>
  <c r="AB120" i="15"/>
  <c r="Z120" i="15"/>
  <c r="AC120" i="15"/>
  <c r="Y120" i="15"/>
  <c r="AA120" i="15"/>
  <c r="AB3" i="15"/>
  <c r="Z3" i="15"/>
  <c r="AA3" i="15"/>
  <c r="Y3" i="15"/>
  <c r="AC3" i="15"/>
  <c r="Y74" i="15"/>
  <c r="AB74" i="15"/>
  <c r="AA74" i="15"/>
  <c r="Z74" i="15"/>
  <c r="AC74" i="15"/>
  <c r="AC70" i="15"/>
  <c r="Z70" i="15"/>
  <c r="AA70" i="15"/>
  <c r="Y70" i="15"/>
  <c r="AB70" i="15"/>
  <c r="AA81" i="15"/>
  <c r="Y81" i="15"/>
  <c r="Z81" i="15"/>
  <c r="AC81" i="15"/>
  <c r="AB81" i="15"/>
  <c r="AA122" i="15"/>
  <c r="Y122" i="15"/>
  <c r="Z122" i="15"/>
  <c r="AB122" i="15"/>
  <c r="AC122" i="15"/>
  <c r="AA44" i="15"/>
  <c r="Y44" i="15"/>
  <c r="Z44" i="15"/>
  <c r="AB44" i="15"/>
  <c r="AC44" i="15"/>
  <c r="AB41" i="15"/>
  <c r="Z41" i="15"/>
  <c r="AA41" i="15"/>
  <c r="AC41" i="15"/>
  <c r="Y41" i="15"/>
  <c r="Z89" i="15"/>
  <c r="AC89" i="15"/>
  <c r="AB89" i="15"/>
  <c r="Y89" i="15"/>
  <c r="AA89" i="15"/>
  <c r="Z16" i="15"/>
  <c r="AB16" i="15"/>
  <c r="AC16" i="15"/>
  <c r="AA16" i="15"/>
  <c r="Y16" i="15"/>
  <c r="Y9" i="15"/>
  <c r="AB9" i="15"/>
  <c r="AC9" i="15"/>
  <c r="AA9" i="15"/>
  <c r="Z9" i="15"/>
  <c r="Z6" i="15"/>
  <c r="AA6" i="15"/>
  <c r="AB6" i="15"/>
  <c r="Y6" i="15"/>
  <c r="AC6" i="15"/>
  <c r="Z19" i="15"/>
  <c r="Y19" i="15"/>
  <c r="AC19" i="15"/>
  <c r="AB19" i="15"/>
  <c r="AA19" i="15"/>
  <c r="AA77" i="15"/>
  <c r="AB77" i="15"/>
  <c r="Y77" i="15"/>
  <c r="Z77" i="15"/>
  <c r="AC77" i="15"/>
  <c r="W77" i="15" l="1"/>
  <c r="W19" i="15"/>
  <c r="W6" i="15"/>
  <c r="W9" i="15"/>
  <c r="W16" i="15"/>
  <c r="W89" i="15"/>
  <c r="W41" i="15"/>
  <c r="W44" i="15"/>
  <c r="W122" i="15"/>
  <c r="W81" i="15"/>
  <c r="W70" i="15"/>
  <c r="W74" i="15"/>
  <c r="W3" i="15"/>
  <c r="W120" i="15"/>
  <c r="W58" i="15"/>
  <c r="W105" i="15"/>
  <c r="W79" i="15"/>
  <c r="W18" i="15"/>
  <c r="W36" i="15"/>
  <c r="W26" i="15"/>
  <c r="W101" i="15"/>
  <c r="W37" i="15"/>
  <c r="W4" i="15"/>
  <c r="W48" i="15"/>
  <c r="W71" i="15"/>
  <c r="W43" i="15"/>
  <c r="W113" i="15"/>
  <c r="W72" i="15"/>
  <c r="W96" i="15"/>
  <c r="W102" i="15"/>
  <c r="W61" i="15"/>
  <c r="W93" i="15"/>
  <c r="W28" i="15"/>
  <c r="W31" i="15"/>
  <c r="W92" i="15"/>
  <c r="W65" i="15"/>
  <c r="W123" i="15"/>
  <c r="W83" i="15"/>
  <c r="W17" i="15"/>
  <c r="W104" i="15"/>
  <c r="W24" i="15"/>
  <c r="W23" i="15"/>
  <c r="W29" i="15"/>
  <c r="W7" i="15"/>
  <c r="W40" i="15"/>
  <c r="W84" i="15"/>
  <c r="W47" i="15"/>
  <c r="W56" i="15"/>
  <c r="W66" i="15"/>
  <c r="W12" i="15"/>
  <c r="W52" i="15"/>
  <c r="W86" i="15"/>
  <c r="W55" i="15"/>
  <c r="W42" i="15"/>
  <c r="W57" i="15"/>
  <c r="W111" i="15"/>
  <c r="W39" i="15"/>
  <c r="W64" i="15"/>
  <c r="W33" i="15"/>
  <c r="W80" i="15"/>
  <c r="W112" i="15"/>
  <c r="W51" i="15"/>
  <c r="W10" i="15"/>
  <c r="W103" i="15"/>
  <c r="W119" i="15"/>
  <c r="W46" i="15"/>
  <c r="W118" i="15"/>
  <c r="W49" i="15"/>
  <c r="W13" i="15"/>
  <c r="W110" i="15"/>
  <c r="W99" i="15"/>
  <c r="W15" i="15"/>
  <c r="W32" i="15"/>
  <c r="W21" i="15"/>
  <c r="W121" i="15"/>
  <c r="W78" i="15"/>
  <c r="W95" i="15"/>
  <c r="W20" i="15"/>
  <c r="W98" i="15"/>
  <c r="W124" i="15"/>
  <c r="W116" i="15"/>
  <c r="W125" i="15"/>
  <c r="W34" i="15"/>
  <c r="W35" i="15"/>
  <c r="W76" i="15"/>
  <c r="W68" i="15"/>
  <c r="W25" i="15"/>
  <c r="W88" i="15"/>
  <c r="W59" i="15"/>
  <c r="W11" i="15"/>
  <c r="W30" i="15"/>
  <c r="W107" i="15"/>
  <c r="W60" i="15"/>
  <c r="W75" i="15"/>
  <c r="W63" i="15"/>
  <c r="W62" i="15"/>
  <c r="W87" i="15"/>
  <c r="W90" i="15"/>
  <c r="W115" i="15"/>
  <c r="W73" i="15"/>
  <c r="W108" i="15"/>
  <c r="W85" i="15"/>
  <c r="W27" i="15"/>
  <c r="W50" i="15"/>
  <c r="W67" i="15"/>
  <c r="W97" i="15"/>
  <c r="W100" i="15"/>
  <c r="W91" i="15"/>
  <c r="W114" i="15"/>
  <c r="W45" i="15"/>
  <c r="W38" i="15"/>
  <c r="W117" i="15"/>
  <c r="W22" i="15"/>
  <c r="W14" i="15"/>
  <c r="W53" i="15"/>
  <c r="W94" i="15"/>
  <c r="W8" i="15"/>
  <c r="W5" i="15"/>
  <c r="W69" i="15"/>
  <c r="W109" i="15"/>
  <c r="W54" i="15"/>
  <c r="W82" i="15"/>
  <c r="W106" i="15"/>
  <c r="B56" i="15"/>
  <c r="B57" i="15" l="1"/>
  <c r="B58" i="15" l="1"/>
  <c r="D14" i="1"/>
  <c r="AB2" i="14" a="1"/>
  <c r="L25" i="20"/>
  <c r="L19" i="20"/>
  <c r="I29" i="1"/>
  <c r="D44" i="1"/>
  <c r="L22" i="20"/>
  <c r="C52" i="1"/>
  <c r="AD2" i="18" a="1"/>
  <c r="D15" i="1"/>
  <c r="C22" i="1"/>
  <c r="D24" i="1"/>
  <c r="C23" i="1"/>
  <c r="AD2" i="17" a="1"/>
  <c r="I39" i="1"/>
  <c r="H37" i="1"/>
  <c r="I30" i="1"/>
  <c r="H38" i="1"/>
  <c r="I37" i="1"/>
  <c r="D52" i="1"/>
  <c r="C53" i="1"/>
  <c r="D54" i="1"/>
  <c r="D45" i="1"/>
  <c r="AB23" i="14" l="1"/>
  <c r="AB88" i="14"/>
  <c r="AB15" i="14"/>
  <c r="AB89" i="14"/>
  <c r="AB73" i="14"/>
  <c r="AB52" i="14"/>
  <c r="AB2" i="14"/>
  <c r="AB10" i="14"/>
  <c r="AB60" i="14"/>
  <c r="AB12" i="14"/>
  <c r="AB84" i="14"/>
  <c r="AB53" i="14"/>
  <c r="AB37" i="14"/>
  <c r="AB11" i="14"/>
  <c r="AB21" i="14"/>
  <c r="AB40" i="14"/>
  <c r="AB80" i="14"/>
  <c r="AB5" i="14"/>
  <c r="AB77" i="14"/>
  <c r="AB56" i="14"/>
  <c r="AB55" i="14"/>
  <c r="AB41" i="14"/>
  <c r="AB67" i="14"/>
  <c r="AB25" i="14"/>
  <c r="AB18" i="14"/>
  <c r="AB8" i="14"/>
  <c r="AB46" i="14"/>
  <c r="AB35" i="14"/>
  <c r="AB57" i="14"/>
  <c r="AB33" i="14"/>
  <c r="AB83" i="14"/>
  <c r="AB34" i="14"/>
  <c r="AB82" i="14"/>
  <c r="AB22" i="14"/>
  <c r="AB4" i="14"/>
  <c r="AB74" i="14"/>
  <c r="AB65" i="14"/>
  <c r="AB51" i="14"/>
  <c r="AB47" i="14"/>
  <c r="AB72" i="14"/>
  <c r="AB54" i="14"/>
  <c r="AB66" i="14"/>
  <c r="AB59" i="14"/>
  <c r="AB78" i="14"/>
  <c r="AB39" i="14"/>
  <c r="AB30" i="14"/>
  <c r="AB87" i="14"/>
  <c r="AB43" i="14"/>
  <c r="AB29" i="14"/>
  <c r="AB48" i="14"/>
  <c r="AB49" i="14"/>
  <c r="AB17" i="14"/>
  <c r="AB50" i="14"/>
  <c r="AB24" i="14"/>
  <c r="AB26" i="14"/>
  <c r="AB7" i="14"/>
  <c r="AB71" i="14"/>
  <c r="AB68" i="14"/>
  <c r="AB86" i="14"/>
  <c r="AB79" i="14"/>
  <c r="AB36" i="14"/>
  <c r="AB32" i="14"/>
  <c r="AB27" i="14"/>
  <c r="AB19" i="14"/>
  <c r="AB61" i="14"/>
  <c r="AB90" i="14"/>
  <c r="AB3" i="14"/>
  <c r="AB63" i="14"/>
  <c r="AB44" i="14"/>
  <c r="AB91" i="14"/>
  <c r="AB28" i="14"/>
  <c r="AB14" i="14"/>
  <c r="AB62" i="14"/>
  <c r="AB42" i="14"/>
  <c r="AB31" i="14"/>
  <c r="AB75" i="14"/>
  <c r="AB45" i="14"/>
  <c r="AB16" i="14"/>
  <c r="AB58" i="14"/>
  <c r="AB85" i="14"/>
  <c r="AB20" i="14"/>
  <c r="AB13" i="14"/>
  <c r="AB64" i="14"/>
  <c r="AB69" i="14"/>
  <c r="AB6" i="14"/>
  <c r="AB76" i="14"/>
  <c r="AB9" i="14"/>
  <c r="AB70" i="14"/>
  <c r="AB81" i="14"/>
  <c r="AB38" i="14"/>
  <c r="AD87" i="18"/>
  <c r="AD16" i="18"/>
  <c r="AD5" i="18"/>
  <c r="AD99" i="18"/>
  <c r="AD73" i="18"/>
  <c r="AD36" i="18"/>
  <c r="AD79" i="18"/>
  <c r="AD102" i="18"/>
  <c r="AD83" i="18"/>
  <c r="AD2" i="18"/>
  <c r="AD11" i="18"/>
  <c r="AD96" i="18"/>
  <c r="AD38" i="18"/>
  <c r="AD48" i="18"/>
  <c r="AD90" i="18"/>
  <c r="AD76" i="18"/>
  <c r="AD40" i="18"/>
  <c r="AD43" i="18"/>
  <c r="AD61" i="18"/>
  <c r="AD71" i="18"/>
  <c r="AD65" i="18"/>
  <c r="AD78" i="18"/>
  <c r="AD31" i="18"/>
  <c r="AD28" i="18"/>
  <c r="AD21" i="18"/>
  <c r="AD105" i="18"/>
  <c r="AD52" i="18"/>
  <c r="AD6" i="18"/>
  <c r="AD92" i="18"/>
  <c r="AD14" i="18"/>
  <c r="AD19" i="18"/>
  <c r="AD12" i="18"/>
  <c r="AD49" i="18"/>
  <c r="AD41" i="18"/>
  <c r="AD55" i="18"/>
  <c r="AD101" i="18"/>
  <c r="AD45" i="18"/>
  <c r="AD75" i="18"/>
  <c r="AD91" i="18"/>
  <c r="AD8" i="18"/>
  <c r="AD88" i="18"/>
  <c r="AD54" i="18"/>
  <c r="AD85" i="18"/>
  <c r="AD15" i="18"/>
  <c r="AD115" i="18"/>
  <c r="AD10" i="18"/>
  <c r="AD93" i="18"/>
  <c r="AD113" i="18"/>
  <c r="AD114" i="18"/>
  <c r="AD103" i="18"/>
  <c r="AD94" i="18"/>
  <c r="AD72" i="18"/>
  <c r="AD9" i="18"/>
  <c r="AD32" i="18"/>
  <c r="AD104" i="18"/>
  <c r="AD100" i="18"/>
  <c r="AD27" i="18"/>
  <c r="AD13" i="18"/>
  <c r="AD22" i="18"/>
  <c r="AD29" i="18"/>
  <c r="AD97" i="18"/>
  <c r="AD53" i="18"/>
  <c r="AD57" i="18"/>
  <c r="AD26" i="18"/>
  <c r="AD89" i="18"/>
  <c r="AD66" i="18"/>
  <c r="AD63" i="18"/>
  <c r="AD68" i="18"/>
  <c r="AD24" i="18"/>
  <c r="AD77" i="18"/>
  <c r="AD86" i="18"/>
  <c r="AD25" i="18"/>
  <c r="AD4" i="18"/>
  <c r="AD37" i="18"/>
  <c r="AD7" i="18"/>
  <c r="AD51" i="18"/>
  <c r="AD84" i="18"/>
  <c r="AD46" i="18"/>
  <c r="AD81" i="18"/>
  <c r="AD109" i="18"/>
  <c r="AD107" i="18"/>
  <c r="AD34" i="18"/>
  <c r="AD62" i="18"/>
  <c r="AD18" i="18"/>
  <c r="AD20" i="18"/>
  <c r="AD74" i="18"/>
  <c r="AD110" i="18"/>
  <c r="AD50" i="18"/>
  <c r="AD112" i="18"/>
  <c r="AD98" i="18"/>
  <c r="AD56" i="18"/>
  <c r="AD47" i="18"/>
  <c r="AD44" i="18"/>
  <c r="AD59" i="18"/>
  <c r="AD42" i="18"/>
  <c r="AD39" i="18"/>
  <c r="AD30" i="18"/>
  <c r="AD82" i="18"/>
  <c r="AD70" i="18"/>
  <c r="AD23" i="18"/>
  <c r="AD111" i="18"/>
  <c r="AD69" i="18"/>
  <c r="AD67" i="18"/>
  <c r="AD3" i="18"/>
  <c r="AD17" i="18"/>
  <c r="AD95" i="18"/>
  <c r="AD60" i="18"/>
  <c r="AD35" i="18"/>
  <c r="AD80" i="18"/>
  <c r="AD33" i="18"/>
  <c r="AD108" i="18"/>
  <c r="AD58" i="18"/>
  <c r="AD64" i="18"/>
  <c r="AD106" i="18"/>
  <c r="AD44" i="17"/>
  <c r="AD57" i="17"/>
  <c r="AD33" i="17"/>
  <c r="AD60" i="17"/>
  <c r="AD75" i="17"/>
  <c r="AD78" i="17"/>
  <c r="AD55" i="17"/>
  <c r="AD16" i="17"/>
  <c r="AD74" i="17"/>
  <c r="AD25" i="17"/>
  <c r="AD76" i="17"/>
  <c r="AD80" i="17"/>
  <c r="AD81" i="17"/>
  <c r="AD89" i="17"/>
  <c r="AD45" i="17"/>
  <c r="AD19" i="17"/>
  <c r="AD15" i="17"/>
  <c r="AD68" i="17"/>
  <c r="AD87" i="17"/>
  <c r="AD20" i="17"/>
  <c r="AD12" i="17"/>
  <c r="AD10" i="17"/>
  <c r="AD23" i="17"/>
  <c r="AD3" i="17"/>
  <c r="AD29" i="17"/>
  <c r="AD71" i="17"/>
  <c r="AD48" i="17"/>
  <c r="AD82" i="17"/>
  <c r="AD37" i="17"/>
  <c r="AD72" i="17"/>
  <c r="AD85" i="17"/>
  <c r="AD63" i="17"/>
  <c r="AD51" i="17"/>
  <c r="AD66" i="17"/>
  <c r="AD58" i="17"/>
  <c r="AD88" i="17"/>
  <c r="AD91" i="17"/>
  <c r="AD11" i="17"/>
  <c r="AD56" i="17"/>
  <c r="AD32" i="17"/>
  <c r="AD26" i="17"/>
  <c r="AD17" i="17"/>
  <c r="AD35" i="17"/>
  <c r="AD24" i="17"/>
  <c r="AD4" i="17"/>
  <c r="AD65" i="17"/>
  <c r="AD90" i="17"/>
  <c r="AD73" i="17"/>
  <c r="AD61" i="17"/>
  <c r="AD8" i="17"/>
  <c r="AD54" i="17"/>
  <c r="AD13" i="17"/>
  <c r="AD52" i="17"/>
  <c r="AD5" i="17"/>
  <c r="AD64" i="17"/>
  <c r="AD41" i="17"/>
  <c r="AD6" i="17"/>
  <c r="AD30" i="17"/>
  <c r="AD67" i="17"/>
  <c r="AD70" i="17"/>
  <c r="AD28" i="17"/>
  <c r="AD49" i="17"/>
  <c r="AD46" i="17"/>
  <c r="AD7" i="17"/>
  <c r="AD14" i="17"/>
  <c r="AD21" i="17"/>
  <c r="AD62" i="17"/>
  <c r="AD47" i="17"/>
  <c r="AD40" i="17"/>
  <c r="AD50" i="17"/>
  <c r="AD38" i="17"/>
  <c r="AD86" i="17"/>
  <c r="AD84" i="17"/>
  <c r="AD59" i="17"/>
  <c r="AD77" i="17"/>
  <c r="AD69" i="17"/>
  <c r="AD22" i="17"/>
  <c r="AD43" i="17"/>
  <c r="AD34" i="17"/>
  <c r="AD53" i="17"/>
  <c r="AD36" i="17"/>
  <c r="AD31" i="17"/>
  <c r="AD9" i="17"/>
  <c r="AD27" i="17"/>
  <c r="AD2" i="17"/>
  <c r="AD18" i="17"/>
  <c r="AD83" i="17"/>
  <c r="AD39" i="17"/>
  <c r="AD79" i="17"/>
  <c r="AD42" i="17"/>
  <c r="D22" i="1"/>
  <c r="D23" i="1"/>
  <c r="D53" i="1"/>
  <c r="I38" i="1"/>
  <c r="I14" i="1"/>
  <c r="H23" i="1"/>
  <c r="I24" i="1"/>
  <c r="H22" i="1"/>
  <c r="AD2" i="15" a="1"/>
  <c r="I22" i="1"/>
  <c r="I23" i="1"/>
  <c r="AD25" i="15"/>
  <c r="AD84" i="15"/>
  <c r="AD45" i="15"/>
  <c r="AD123" i="15"/>
  <c r="AD33" i="15"/>
  <c r="AD21" i="15"/>
  <c r="AD5" i="15"/>
  <c r="AD41" i="15"/>
  <c r="AD71" i="15"/>
  <c r="AD30" i="15"/>
  <c r="AD18" i="15"/>
  <c r="AD4" i="15"/>
  <c r="AD11" i="15"/>
  <c r="AD22" i="15"/>
  <c r="AD80" i="15"/>
  <c r="AD97" i="15"/>
  <c r="AD24" i="15"/>
  <c r="AD86" i="15"/>
  <c r="AD67" i="15"/>
  <c r="AD95" i="15"/>
  <c r="AD121" i="15"/>
  <c r="AD31" i="15"/>
  <c r="AD10" i="15"/>
  <c r="AD108" i="15"/>
  <c r="AD118" i="15"/>
  <c r="AD111" i="15"/>
  <c r="AD90" i="15"/>
  <c r="AD9" i="15"/>
  <c r="AD61" i="15"/>
  <c r="AD102" i="15"/>
  <c r="AD94" i="15"/>
  <c r="AD91" i="15"/>
  <c r="AD120" i="15"/>
  <c r="AD56" i="15"/>
  <c r="AD101" i="15"/>
  <c r="AD43" i="15"/>
  <c r="AD73" i="15"/>
  <c r="AD55" i="15"/>
  <c r="AD81" i="15"/>
  <c r="AD66" i="15"/>
  <c r="AD105" i="15"/>
  <c r="AD40" i="15"/>
  <c r="AD8" i="15"/>
  <c r="AD115" i="15"/>
  <c r="AD107" i="15"/>
  <c r="AD37" i="15"/>
  <c r="AD113" i="15"/>
  <c r="AD117" i="15"/>
  <c r="AD92" i="15"/>
  <c r="AD17" i="15"/>
  <c r="AD122" i="15"/>
  <c r="AD54" i="15"/>
  <c r="AD72" i="15"/>
  <c r="AD96" i="15"/>
  <c r="AD36" i="15"/>
  <c r="AD27" i="15"/>
  <c r="AD51" i="15"/>
  <c r="AD100" i="15"/>
  <c r="AD119" i="15"/>
  <c r="AD82" i="15"/>
  <c r="AD106" i="15"/>
  <c r="AD99" i="15"/>
  <c r="AD32" i="15"/>
  <c r="AD70" i="15"/>
  <c r="AD19" i="15"/>
  <c r="AD16" i="15"/>
  <c r="AD112" i="15"/>
  <c r="AD104" i="15"/>
  <c r="AD65" i="15"/>
  <c r="AD14" i="15"/>
  <c r="AD68" i="15"/>
  <c r="AD42" i="15"/>
  <c r="AD47" i="15"/>
  <c r="AD15" i="15"/>
  <c r="AD116" i="15"/>
  <c r="AD125" i="15"/>
  <c r="AD93" i="15"/>
  <c r="AD62" i="15"/>
  <c r="AD48" i="15"/>
  <c r="AD44" i="15"/>
  <c r="AD20" i="15"/>
  <c r="AD89" i="15"/>
  <c r="AD114" i="15"/>
  <c r="AD88" i="15"/>
  <c r="AD79" i="15"/>
  <c r="AD13" i="15"/>
  <c r="AD77" i="15"/>
  <c r="AD103" i="15"/>
  <c r="AD124" i="15"/>
  <c r="AD46" i="15"/>
  <c r="AD23" i="15"/>
  <c r="AD83" i="15"/>
  <c r="AD49" i="15"/>
  <c r="AD109" i="15"/>
  <c r="AD74" i="15"/>
  <c r="AD69" i="15"/>
  <c r="AD3" i="15"/>
  <c r="AD38" i="15"/>
  <c r="AD6" i="15"/>
  <c r="AD76" i="15"/>
  <c r="AD35" i="15"/>
  <c r="AD75" i="15"/>
  <c r="AD85" i="15"/>
  <c r="AD28" i="15"/>
  <c r="AD98" i="15"/>
  <c r="AD50" i="15"/>
  <c r="AD57" i="15"/>
  <c r="AD26" i="15"/>
  <c r="AD58" i="15"/>
  <c r="AD2" i="15"/>
  <c r="AD52" i="15"/>
  <c r="AD110" i="15"/>
  <c r="AD29" i="15"/>
  <c r="AD63" i="15"/>
  <c r="AD78" i="15"/>
  <c r="AD39" i="15"/>
  <c r="AD53" i="15"/>
  <c r="AD34" i="15"/>
  <c r="AD12" i="15"/>
  <c r="AD59" i="15"/>
  <c r="AD87" i="15"/>
  <c r="AD60" i="15"/>
  <c r="AD64" i="15"/>
  <c r="AD7" i="15"/>
  <c r="I15" i="1"/>
</calcChain>
</file>

<file path=xl/comments1.xml><?xml version="1.0" encoding="utf-8"?>
<comments xmlns="http://schemas.openxmlformats.org/spreadsheetml/2006/main">
  <authors>
    <author>Ferdinando Ametrano</author>
    <author>FONDI STEFANO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22" authorId="1">
      <text>
        <r>
          <rPr>
            <b/>
            <sz val="9"/>
            <color indexed="81"/>
            <rFont val="Tahoma"/>
            <family val="2"/>
          </rPr>
          <t>FONDI STEFANO: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L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L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L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FONDI STEFANO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FONDI STEFANO: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<sst xmlns="http://schemas.openxmlformats.org/spreadsheetml/2006/main" count="3012" uniqueCount="192">
  <si>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</si>
  <si>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</si>
  <si>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</si>
  <si>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</si>
  <si>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</si>
  <si>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</si>
  <si>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</si>
  <si>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</si>
  <si>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</si>
  <si>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</si>
  <si>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</si>
  <si>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</si>
  <si>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</si>
  <si>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</si>
  <si>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</si>
  <si>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</si>
  <si>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</si>
  <si>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</si>
  <si>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</si>
  <si>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</si>
  <si>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</si>
  <si>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</si>
  <si>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</si>
  <si>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</si>
  <si>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</si>
  <si>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</si>
  <si>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</si>
  <si>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</si>
  <si>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</si>
  <si>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</si>
  <si>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</si>
  <si>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</si>
  <si>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</si>
  <si>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</si>
  <si>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</si>
  <si>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</si>
  <si>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</si>
  <si>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</si>
  <si>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</si>
  <si>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</si>
  <si>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</si>
  <si>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</si>
  <si>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</si>
  <si>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</si>
  <si>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</si>
  <si>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</si>
  <si>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</si>
  <si>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</si>
  <si>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</si>
  <si>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</si>
  <si>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</si>
  <si>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</si>
  <si>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</si>
  <si>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</si>
  <si>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</si>
  <si>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</si>
  <si>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</si>
  <si>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</si>
  <si>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</si>
  <si>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</si>
  <si>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</si>
  <si>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</si>
  <si>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</si>
  <si>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</si>
  <si>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</si>
  <si>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</si>
  <si>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</si>
  <si>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</si>
  <si>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</si>
  <si>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</si>
  <si>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</si>
  <si>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</si>
  <si>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</si>
  <si>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</si>
  <si>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</si>
  <si>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</si>
  <si>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</si>
  <si>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</si>
  <si>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</si>
  <si>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</si>
  <si>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</si>
  <si>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</si>
  <si>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</si>
  <si>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</si>
  <si>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</si>
  <si>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</si>
  <si>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</si>
  <si>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</si>
  <si>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</si>
  <si>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</si>
  <si>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</si>
  <si>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</si>
  <si>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</si>
  <si>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</si>
  <si>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</si>
  <si>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</si>
  <si>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</si>
  <si>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</si>
  <si>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</si>
  <si>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</si>
  <si>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</si>
  <si>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</si>
  <si>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</si>
  <si>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</si>
  <si>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</si>
  <si>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</si>
  <si>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</si>
  <si>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</si>
  <si>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</si>
  <si>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</si>
  <si>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</si>
  <si>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</si>
  <si>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</si>
  <si>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</si>
  <si>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</si>
  <si>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</si>
  <si>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</si>
  <si>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Extrapolation</t>
  </si>
  <si>
    <t>EUR</t>
  </si>
  <si>
    <t>ibor</t>
  </si>
  <si>
    <t>TARGET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</si>
  <si>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</si>
  <si>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</si>
  <si>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</si>
  <si>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</si>
  <si>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</si>
  <si>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</si>
  <si>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</si>
  <si>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</si>
  <si>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</si>
  <si>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</si>
  <si>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</si>
  <si>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</si>
  <si>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ZeroYield</t>
  </si>
  <si>
    <t>Zero rate</t>
  </si>
  <si>
    <t>Fwd</t>
  </si>
  <si>
    <t>tau</t>
  </si>
  <si>
    <t>Size</t>
  </si>
  <si>
    <t>RIC</t>
  </si>
  <si>
    <t>Quote ID</t>
  </si>
  <si>
    <t>Set Value</t>
  </si>
  <si>
    <t>DEPOSIT</t>
  </si>
  <si>
    <t>DP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</si>
  <si>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</si>
  <si>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Convexity</t>
  </si>
  <si>
    <t>Pasted Value</t>
  </si>
  <si>
    <t>SWAP</t>
  </si>
  <si>
    <t>13M</t>
  </si>
  <si>
    <t>14M</t>
  </si>
  <si>
    <t>16M</t>
  </si>
  <si>
    <t>17M</t>
  </si>
  <si>
    <t>19M</t>
  </si>
  <si>
    <t>20M</t>
  </si>
  <si>
    <t>22M</t>
  </si>
  <si>
    <t>23M</t>
  </si>
  <si>
    <t>2Y3M</t>
  </si>
  <si>
    <t>2Y6M</t>
  </si>
  <si>
    <t>2Y9M</t>
  </si>
  <si>
    <t>31Y</t>
  </si>
  <si>
    <t>32Y</t>
  </si>
  <si>
    <t>33Y</t>
  </si>
  <si>
    <t>34Y</t>
  </si>
  <si>
    <t>36Y</t>
  </si>
  <si>
    <t>37Y</t>
  </si>
  <si>
    <t>38Y</t>
  </si>
  <si>
    <t>39Y</t>
  </si>
  <si>
    <t>RateTickValue</t>
  </si>
  <si>
    <t>PriceTickValue</t>
  </si>
  <si>
    <t>Bid</t>
  </si>
  <si>
    <t>Ask</t>
  </si>
  <si>
    <t>Mid</t>
  </si>
  <si>
    <t>Composite Quote</t>
  </si>
  <si>
    <t>Overwrite</t>
  </si>
  <si>
    <t>1w</t>
  </si>
  <si>
    <t>Relinkable Handle</t>
  </si>
  <si>
    <t>LastFixing_Quote</t>
  </si>
  <si>
    <t>VALUE_DT1</t>
  </si>
  <si>
    <t>LAST</t>
  </si>
  <si>
    <t>Fixing Check</t>
  </si>
  <si>
    <t>Add Fixing</t>
  </si>
  <si>
    <t>Forecasted Before Fixing</t>
  </si>
  <si>
    <t>Condition</t>
  </si>
  <si>
    <t>Order by:</t>
  </si>
  <si>
    <t>DESC</t>
  </si>
  <si>
    <t>Fields:</t>
  </si>
  <si>
    <t>NDA_RAW.Nda_date</t>
  </si>
  <si>
    <t>NDA_RAW.Nda_last</t>
  </si>
  <si>
    <t>BumpValue</t>
  </si>
  <si>
    <t>ParallelDelta</t>
  </si>
  <si>
    <t>Force Bump</t>
  </si>
  <si>
    <t>NDA_RAW</t>
  </si>
  <si>
    <t>HarmonicCubic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</si>
</sst>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  <numFmt numFmtId="179" formatCode="0.00000"/>
    <numFmt numFmtId="180" formatCode="ddd\,\ dd\-mmm\-yy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b/>
      <sz val="10"/>
      <color theme="1"/>
      <name val="Courier New"/>
      <family val="3"/>
    </font>
    <font>
      <b/>
      <sz val="10"/>
      <name val="Courier New"/>
      <family val="3"/>
    </font>
    <font>
      <sz val="8"/>
      <color theme="1"/>
      <name val="Calibri"/>
      <family val="2"/>
    </font>
    <font>
      <i/>
      <sz val="8"/>
      <name val="Courier New"/>
      <family val="3"/>
    </font>
    <font>
      <b/>
      <sz val="8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lightUp">
        <bgColor theme="8" tint="0.59999389629810485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22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2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7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8" fontId="5" fillId="3" borderId="8" xfId="0" applyNumberFormat="1" applyFont="1" applyFill="1" applyBorder="1"/>
    <xf numFmtId="167" fontId="5" fillId="3" borderId="8" xfId="0" applyNumberFormat="1" applyFont="1" applyFill="1" applyBorder="1"/>
    <xf numFmtId="0" fontId="5" fillId="3" borderId="6" xfId="0" applyFont="1" applyFill="1" applyBorder="1"/>
    <xf numFmtId="168" fontId="5" fillId="3" borderId="6" xfId="0" applyNumberFormat="1" applyFont="1" applyFill="1" applyBorder="1"/>
    <xf numFmtId="167" fontId="5" fillId="3" borderId="6" xfId="0" applyNumberFormat="1" applyFont="1" applyFill="1" applyBorder="1"/>
    <xf numFmtId="0" fontId="5" fillId="3" borderId="1" xfId="0" applyFont="1" applyFill="1" applyBorder="1"/>
    <xf numFmtId="168" fontId="5" fillId="3" borderId="1" xfId="0" applyNumberFormat="1" applyFont="1" applyFill="1" applyBorder="1"/>
    <xf numFmtId="167" fontId="5" fillId="3" borderId="1" xfId="0" applyNumberFormat="1" applyFont="1" applyFill="1" applyBorder="1"/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5" fillId="3" borderId="13" xfId="0" applyFont="1" applyFill="1" applyBorder="1"/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5" fillId="8" borderId="0" xfId="0" applyNumberFormat="1" applyFont="1" applyFill="1"/>
    <xf numFmtId="11" fontId="5" fillId="8" borderId="0" xfId="0" applyNumberFormat="1" applyFont="1" applyFill="1"/>
    <xf numFmtId="0" fontId="5" fillId="3" borderId="1" xfId="0" applyFont="1" applyFill="1" applyBorder="1" applyAlignment="1">
      <alignment horizontal="center" vertical="center"/>
    </xf>
    <xf numFmtId="166" fontId="5" fillId="3" borderId="1" xfId="0" applyNumberFormat="1" applyFont="1" applyFill="1" applyBorder="1"/>
    <xf numFmtId="166" fontId="5" fillId="3" borderId="1" xfId="0" applyNumberFormat="1" applyFont="1" applyFill="1" applyBorder="1" applyAlignment="1">
      <alignment horizontal="center" vertical="center"/>
    </xf>
    <xf numFmtId="166" fontId="5" fillId="3" borderId="6" xfId="0" applyNumberFormat="1" applyFont="1" applyFill="1" applyBorder="1"/>
    <xf numFmtId="166" fontId="5" fillId="3" borderId="6" xfId="0" applyNumberFormat="1" applyFont="1" applyFill="1" applyBorder="1" applyAlignment="1">
      <alignment horizontal="center" vertical="center"/>
    </xf>
    <xf numFmtId="0" fontId="5" fillId="8" borderId="2" xfId="0" applyFont="1" applyFill="1" applyBorder="1"/>
    <xf numFmtId="166" fontId="5" fillId="3" borderId="8" xfId="0" applyNumberFormat="1" applyFont="1" applyFill="1" applyBorder="1"/>
    <xf numFmtId="166" fontId="5" fillId="3" borderId="8" xfId="0" applyNumberFormat="1" applyFont="1" applyFill="1" applyBorder="1" applyAlignment="1">
      <alignment horizontal="center" vertical="center"/>
    </xf>
    <xf numFmtId="178" fontId="5" fillId="3" borderId="8" xfId="0" applyNumberFormat="1" applyFont="1" applyFill="1" applyBorder="1"/>
    <xf numFmtId="178" fontId="5" fillId="3" borderId="6" xfId="0" applyNumberFormat="1" applyFont="1" applyFill="1" applyBorder="1"/>
    <xf numFmtId="178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6" fontId="5" fillId="0" borderId="8" xfId="0" applyNumberFormat="1" applyFont="1" applyBorder="1"/>
    <xf numFmtId="173" fontId="3" fillId="9" borderId="2" xfId="1" applyNumberFormat="1" applyFont="1" applyFill="1" applyBorder="1" applyAlignment="1">
      <alignment horizontal="center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righ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0" fontId="3" fillId="2" borderId="18" xfId="1" applyNumberFormat="1" applyFont="1" applyFill="1" applyBorder="1" applyAlignment="1">
      <alignment horizontal="right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left"/>
    </xf>
    <xf numFmtId="0" fontId="5" fillId="12" borderId="0" xfId="0" applyFont="1" applyFill="1"/>
    <xf numFmtId="0" fontId="3" fillId="12" borderId="0" xfId="0" applyFont="1" applyFill="1"/>
    <xf numFmtId="0" fontId="3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0" fillId="12" borderId="0" xfId="0" applyFont="1" applyFill="1"/>
    <xf numFmtId="0" fontId="11" fillId="7" borderId="2" xfId="0" applyFont="1" applyFill="1" applyBorder="1" applyAlignment="1">
      <alignment horizontal="centerContinuous" vertical="center"/>
    </xf>
    <xf numFmtId="0" fontId="11" fillId="7" borderId="13" xfId="0" applyFont="1" applyFill="1" applyBorder="1" applyAlignment="1">
      <alignment horizontal="centerContinuous" vertical="center"/>
    </xf>
    <xf numFmtId="0" fontId="11" fillId="7" borderId="15" xfId="0" applyFont="1" applyFill="1" applyBorder="1" applyAlignment="1">
      <alignment horizontal="centerContinuous" vertical="center"/>
    </xf>
    <xf numFmtId="0" fontId="11" fillId="12" borderId="0" xfId="0" applyFont="1" applyFill="1"/>
    <xf numFmtId="0" fontId="9" fillId="7" borderId="2" xfId="0" applyFont="1" applyFill="1" applyBorder="1"/>
    <xf numFmtId="0" fontId="11" fillId="12" borderId="0" xfId="0" applyFont="1" applyFill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 vertical="center"/>
    </xf>
    <xf numFmtId="0" fontId="11" fillId="12" borderId="0" xfId="0" applyFont="1" applyFill="1" applyBorder="1"/>
    <xf numFmtId="0" fontId="3" fillId="3" borderId="8" xfId="0" applyNumberFormat="1" applyFont="1" applyFill="1" applyBorder="1" applyAlignment="1">
      <alignment horizontal="right"/>
    </xf>
    <xf numFmtId="166" fontId="3" fillId="3" borderId="8" xfId="0" applyNumberFormat="1" applyFont="1" applyFill="1" applyBorder="1" applyAlignment="1">
      <alignment horizontal="right"/>
    </xf>
    <xf numFmtId="0" fontId="3" fillId="12" borderId="0" xfId="0" applyNumberFormat="1" applyFont="1" applyFill="1" applyAlignment="1">
      <alignment horizontal="right"/>
    </xf>
    <xf numFmtId="0" fontId="5" fillId="7" borderId="2" xfId="0" applyFont="1" applyFill="1" applyBorder="1"/>
    <xf numFmtId="0" fontId="3" fillId="3" borderId="6" xfId="0" applyNumberFormat="1" applyFont="1" applyFill="1" applyBorder="1" applyAlignment="1">
      <alignment horizontal="right"/>
    </xf>
    <xf numFmtId="166" fontId="3" fillId="3" borderId="6" xfId="0" applyNumberFormat="1" applyFont="1" applyFill="1" applyBorder="1" applyAlignment="1">
      <alignment horizontal="right"/>
    </xf>
    <xf numFmtId="0" fontId="3" fillId="12" borderId="0" xfId="0" applyNumberFormat="1" applyFont="1" applyFill="1"/>
    <xf numFmtId="0" fontId="5" fillId="12" borderId="0" xfId="0" applyNumberFormat="1" applyFont="1" applyFill="1"/>
    <xf numFmtId="0" fontId="5" fillId="13" borderId="6" xfId="0" applyFont="1" applyFill="1" applyBorder="1" applyAlignment="1">
      <alignment horizontal="center" textRotation="255"/>
    </xf>
    <xf numFmtId="178" fontId="3" fillId="3" borderId="8" xfId="0" applyNumberFormat="1" applyFont="1" applyFill="1" applyBorder="1" applyAlignment="1">
      <alignment horizontal="right"/>
    </xf>
    <xf numFmtId="178" fontId="3" fillId="3" borderId="6" xfId="0" applyNumberFormat="1" applyFont="1" applyFill="1" applyBorder="1" applyAlignment="1">
      <alignment horizontal="right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0" fontId="3" fillId="3" borderId="1" xfId="0" applyNumberFormat="1" applyFont="1" applyFill="1" applyBorder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2" borderId="0" xfId="0" applyFont="1" applyFill="1" applyBorder="1"/>
    <xf numFmtId="0" fontId="3" fillId="12" borderId="0" xfId="0" applyFont="1" applyFill="1" applyBorder="1" applyAlignment="1">
      <alignment horizontal="center"/>
    </xf>
    <xf numFmtId="0" fontId="3" fillId="12" borderId="0" xfId="0" applyFont="1" applyFill="1" applyAlignment="1">
      <alignment horizontal="right"/>
    </xf>
    <xf numFmtId="0" fontId="3" fillId="3" borderId="0" xfId="1" applyFont="1" applyFill="1" applyBorder="1"/>
    <xf numFmtId="173" fontId="3" fillId="3" borderId="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0" fontId="3" fillId="8" borderId="7" xfId="1" applyFont="1" applyFill="1" applyBorder="1" applyAlignment="1"/>
    <xf numFmtId="166" fontId="3" fillId="2" borderId="6" xfId="1" applyNumberFormat="1" applyFont="1" applyFill="1" applyBorder="1" applyAlignment="1">
      <alignment horizontal="center"/>
    </xf>
    <xf numFmtId="0" fontId="3" fillId="8" borderId="5" xfId="1" applyFont="1" applyFill="1" applyBorder="1" applyAlignment="1"/>
    <xf numFmtId="166" fontId="11" fillId="7" borderId="9" xfId="0" applyNumberFormat="1" applyFont="1" applyFill="1" applyBorder="1" applyAlignment="1">
      <alignment horizontal="center"/>
    </xf>
    <xf numFmtId="0" fontId="3" fillId="3" borderId="19" xfId="0" applyNumberFormat="1" applyFont="1" applyFill="1" applyBorder="1" applyAlignment="1">
      <alignment horizontal="right"/>
    </xf>
    <xf numFmtId="166" fontId="3" fillId="3" borderId="19" xfId="0" applyNumberFormat="1" applyFont="1" applyFill="1" applyBorder="1" applyAlignment="1">
      <alignment horizontal="right"/>
    </xf>
    <xf numFmtId="0" fontId="3" fillId="3" borderId="20" xfId="0" applyNumberFormat="1" applyFont="1" applyFill="1" applyBorder="1" applyAlignment="1">
      <alignment horizontal="right"/>
    </xf>
    <xf numFmtId="165" fontId="3" fillId="10" borderId="20" xfId="1" applyNumberFormat="1" applyFont="1" applyFill="1" applyBorder="1" applyAlignment="1">
      <alignment horizontal="center" vertical="center"/>
    </xf>
    <xf numFmtId="0" fontId="3" fillId="3" borderId="21" xfId="0" applyNumberFormat="1" applyFont="1" applyFill="1" applyBorder="1" applyAlignment="1">
      <alignment horizontal="right"/>
    </xf>
    <xf numFmtId="0" fontId="3" fillId="3" borderId="18" xfId="0" applyNumberFormat="1" applyFont="1" applyFill="1" applyBorder="1" applyAlignment="1">
      <alignment horizontal="right"/>
    </xf>
    <xf numFmtId="165" fontId="3" fillId="10" borderId="18" xfId="1" applyNumberFormat="1" applyFont="1" applyFill="1" applyBorder="1" applyAlignment="1">
      <alignment horizontal="center" vertical="center"/>
    </xf>
    <xf numFmtId="0" fontId="3" fillId="3" borderId="23" xfId="0" applyNumberFormat="1" applyFont="1" applyFill="1" applyBorder="1" applyAlignment="1">
      <alignment horizontal="right"/>
    </xf>
    <xf numFmtId="0" fontId="3" fillId="3" borderId="25" xfId="0" applyNumberFormat="1" applyFont="1" applyFill="1" applyBorder="1" applyAlignment="1">
      <alignment horizontal="right"/>
    </xf>
    <xf numFmtId="165" fontId="3" fillId="10" borderId="19" xfId="1" applyNumberFormat="1" applyFont="1" applyFill="1" applyBorder="1" applyAlignment="1">
      <alignment horizontal="center" vertical="center"/>
    </xf>
    <xf numFmtId="0" fontId="3" fillId="8" borderId="2" xfId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right"/>
    </xf>
    <xf numFmtId="167" fontId="3" fillId="3" borderId="16" xfId="1" applyNumberFormat="1" applyFont="1" applyFill="1" applyBorder="1" applyAlignment="1">
      <alignment horizontal="right"/>
    </xf>
    <xf numFmtId="165" fontId="3" fillId="2" borderId="18" xfId="1" applyNumberFormat="1" applyFont="1" applyFill="1" applyBorder="1" applyAlignment="1">
      <alignment horizontal="right" vertical="center"/>
    </xf>
    <xf numFmtId="165" fontId="5" fillId="0" borderId="18" xfId="0" applyNumberFormat="1" applyFont="1" applyBorder="1"/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/>
    <xf numFmtId="166" fontId="5" fillId="0" borderId="18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5" fontId="5" fillId="0" borderId="18" xfId="0" applyNumberFormat="1" applyFont="1" applyBorder="1" applyAlignment="1">
      <alignment horizontal="center"/>
    </xf>
    <xf numFmtId="166" fontId="3" fillId="9" borderId="2" xfId="1" applyNumberFormat="1" applyFont="1" applyFill="1" applyBorder="1" applyAlignment="1">
      <alignment horizontal="center"/>
    </xf>
    <xf numFmtId="166" fontId="3" fillId="3" borderId="8" xfId="0" applyNumberFormat="1" applyFont="1" applyFill="1" applyBorder="1" applyAlignment="1">
      <alignment horizontal="center"/>
    </xf>
    <xf numFmtId="166" fontId="3" fillId="3" borderId="6" xfId="0" applyNumberFormat="1" applyFont="1" applyFill="1" applyBorder="1" applyAlignment="1">
      <alignment horizontal="center"/>
    </xf>
    <xf numFmtId="166" fontId="3" fillId="3" borderId="19" xfId="0" applyNumberFormat="1" applyFont="1" applyFill="1" applyBorder="1" applyAlignment="1">
      <alignment horizont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8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6" fontId="3" fillId="10" borderId="20" xfId="1" applyNumberFormat="1" applyFont="1" applyFill="1" applyBorder="1" applyAlignment="1">
      <alignment horizontal="center" vertical="center"/>
    </xf>
    <xf numFmtId="166" fontId="3" fillId="10" borderId="22" xfId="1" applyNumberFormat="1" applyFont="1" applyFill="1" applyBorder="1" applyAlignment="1">
      <alignment horizontal="center" vertical="center"/>
    </xf>
    <xf numFmtId="166" fontId="3" fillId="10" borderId="24" xfId="1" applyNumberFormat="1" applyFont="1" applyFill="1" applyBorder="1" applyAlignment="1">
      <alignment horizontal="center" vertical="center"/>
    </xf>
    <xf numFmtId="166" fontId="3" fillId="10" borderId="26" xfId="1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 vertical="center"/>
    </xf>
    <xf numFmtId="166" fontId="3" fillId="10" borderId="19" xfId="1" applyNumberFormat="1" applyFont="1" applyFill="1" applyBorder="1" applyAlignment="1">
      <alignment horizontal="center" vertical="center"/>
    </xf>
    <xf numFmtId="166" fontId="3" fillId="10" borderId="18" xfId="1" applyNumberFormat="1" applyFont="1" applyFill="1" applyBorder="1" applyAlignment="1">
      <alignment horizontal="center" vertical="center"/>
    </xf>
    <xf numFmtId="166" fontId="11" fillId="7" borderId="2" xfId="0" applyNumberFormat="1" applyFont="1" applyFill="1" applyBorder="1" applyAlignment="1">
      <alignment horizontal="center"/>
    </xf>
    <xf numFmtId="166" fontId="11" fillId="7" borderId="15" xfId="0" applyNumberFormat="1" applyFont="1" applyFill="1" applyBorder="1" applyAlignment="1">
      <alignment horizontal="center"/>
    </xf>
    <xf numFmtId="166" fontId="3" fillId="3" borderId="18" xfId="0" applyNumberFormat="1" applyFont="1" applyFill="1" applyBorder="1" applyAlignment="1">
      <alignment horizontal="right"/>
    </xf>
    <xf numFmtId="178" fontId="3" fillId="3" borderId="19" xfId="0" applyNumberFormat="1" applyFont="1" applyFill="1" applyBorder="1" applyAlignment="1">
      <alignment horizontal="right"/>
    </xf>
    <xf numFmtId="166" fontId="3" fillId="3" borderId="18" xfId="0" applyNumberFormat="1" applyFont="1" applyFill="1" applyBorder="1" applyAlignment="1">
      <alignment horizontal="center"/>
    </xf>
    <xf numFmtId="166" fontId="11" fillId="7" borderId="8" xfId="0" applyNumberFormat="1" applyFont="1" applyFill="1" applyBorder="1" applyAlignment="1">
      <alignment horizontal="center"/>
    </xf>
    <xf numFmtId="166" fontId="3" fillId="9" borderId="8" xfId="0" applyNumberFormat="1" applyFont="1" applyFill="1" applyBorder="1" applyAlignment="1">
      <alignment horizontal="right"/>
    </xf>
    <xf numFmtId="166" fontId="3" fillId="9" borderId="6" xfId="0" applyNumberFormat="1" applyFont="1" applyFill="1" applyBorder="1" applyAlignment="1">
      <alignment horizontal="right"/>
    </xf>
    <xf numFmtId="166" fontId="3" fillId="9" borderId="19" xfId="0" applyNumberFormat="1" applyFont="1" applyFill="1" applyBorder="1" applyAlignment="1">
      <alignment horizontal="right"/>
    </xf>
    <xf numFmtId="166" fontId="3" fillId="9" borderId="1" xfId="0" applyNumberFormat="1" applyFont="1" applyFill="1" applyBorder="1" applyAlignment="1">
      <alignment horizontal="right"/>
    </xf>
    <xf numFmtId="166" fontId="3" fillId="9" borderId="18" xfId="0" applyNumberFormat="1" applyFont="1" applyFill="1" applyBorder="1" applyAlignment="1">
      <alignment horizontal="right"/>
    </xf>
    <xf numFmtId="0" fontId="3" fillId="9" borderId="6" xfId="0" applyNumberFormat="1" applyFont="1" applyFill="1" applyBorder="1" applyAlignment="1">
      <alignment horizontal="right"/>
    </xf>
    <xf numFmtId="0" fontId="3" fillId="9" borderId="19" xfId="0" applyNumberFormat="1" applyFont="1" applyFill="1" applyBorder="1" applyAlignment="1">
      <alignment horizontal="right"/>
    </xf>
    <xf numFmtId="165" fontId="3" fillId="14" borderId="6" xfId="1" applyNumberFormat="1" applyFont="1" applyFill="1" applyBorder="1" applyAlignment="1">
      <alignment horizontal="center" vertical="center"/>
    </xf>
    <xf numFmtId="165" fontId="3" fillId="14" borderId="8" xfId="1" applyNumberFormat="1" applyFont="1" applyFill="1" applyBorder="1" applyAlignment="1">
      <alignment horizontal="center" vertical="center"/>
    </xf>
    <xf numFmtId="165" fontId="3" fillId="14" borderId="1" xfId="1" applyNumberFormat="1" applyFont="1" applyFill="1" applyBorder="1" applyAlignment="1">
      <alignment horizontal="center" vertical="center"/>
    </xf>
    <xf numFmtId="165" fontId="3" fillId="14" borderId="20" xfId="1" applyNumberFormat="1" applyFont="1" applyFill="1" applyBorder="1" applyAlignment="1">
      <alignment horizontal="center" vertical="center"/>
    </xf>
    <xf numFmtId="165" fontId="3" fillId="14" borderId="27" xfId="1" applyNumberFormat="1" applyFont="1" applyFill="1" applyBorder="1" applyAlignment="1">
      <alignment horizontal="center" vertical="center"/>
    </xf>
    <xf numFmtId="165" fontId="3" fillId="14" borderId="7" xfId="1" applyNumberFormat="1" applyFont="1" applyFill="1" applyBorder="1" applyAlignment="1">
      <alignment horizontal="center" vertical="center"/>
    </xf>
    <xf numFmtId="165" fontId="3" fillId="14" borderId="28" xfId="1" applyNumberFormat="1" applyFont="1" applyFill="1" applyBorder="1" applyAlignment="1">
      <alignment horizontal="center" vertical="center"/>
    </xf>
    <xf numFmtId="165" fontId="3" fillId="14" borderId="19" xfId="1" applyNumberFormat="1" applyFont="1" applyFill="1" applyBorder="1" applyAlignment="1">
      <alignment horizontal="center" vertical="center"/>
    </xf>
    <xf numFmtId="165" fontId="3" fillId="14" borderId="18" xfId="1" applyNumberFormat="1" applyFont="1" applyFill="1" applyBorder="1" applyAlignment="1">
      <alignment horizontal="center" vertical="center"/>
    </xf>
    <xf numFmtId="0" fontId="5" fillId="3" borderId="4" xfId="0" applyFont="1" applyFill="1" applyBorder="1"/>
    <xf numFmtId="0" fontId="3" fillId="3" borderId="4" xfId="1" applyFont="1" applyFill="1" applyBorder="1" applyAlignment="1"/>
    <xf numFmtId="0" fontId="3" fillId="2" borderId="2" xfId="1" applyFont="1" applyFill="1" applyBorder="1" applyAlignment="1">
      <alignment horizontal="center"/>
    </xf>
    <xf numFmtId="165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167" fontId="3" fillId="3" borderId="18" xfId="1" applyNumberFormat="1" applyFont="1" applyFill="1" applyBorder="1" applyAlignment="1">
      <alignment horizontal="right"/>
    </xf>
    <xf numFmtId="167" fontId="3" fillId="3" borderId="19" xfId="1" applyNumberFormat="1" applyFont="1" applyFill="1" applyBorder="1" applyAlignment="1">
      <alignment horizontal="left"/>
    </xf>
    <xf numFmtId="167" fontId="3" fillId="3" borderId="18" xfId="1" applyNumberFormat="1" applyFont="1" applyFill="1" applyBorder="1" applyAlignment="1"/>
    <xf numFmtId="167" fontId="3" fillId="3" borderId="19" xfId="1" applyNumberFormat="1" applyFont="1" applyFill="1" applyBorder="1" applyAlignment="1"/>
    <xf numFmtId="0" fontId="3" fillId="15" borderId="0" xfId="3" applyFont="1" applyFill="1"/>
    <xf numFmtId="0" fontId="3" fillId="15" borderId="0" xfId="1" applyFont="1" applyFill="1"/>
    <xf numFmtId="0" fontId="3" fillId="2" borderId="11" xfId="1" applyFont="1" applyFill="1" applyBorder="1"/>
    <xf numFmtId="0" fontId="3" fillId="2" borderId="12" xfId="1" applyFont="1" applyFill="1" applyBorder="1"/>
    <xf numFmtId="0" fontId="13" fillId="2" borderId="12" xfId="1" applyFont="1" applyFill="1" applyBorder="1"/>
    <xf numFmtId="0" fontId="3" fillId="2" borderId="12" xfId="3" applyFont="1" applyFill="1" applyBorder="1"/>
    <xf numFmtId="0" fontId="14" fillId="2" borderId="12" xfId="3" applyFont="1" applyFill="1" applyBorder="1" applyAlignment="1">
      <alignment horizontal="center"/>
    </xf>
    <xf numFmtId="0" fontId="3" fillId="2" borderId="9" xfId="3" applyFont="1" applyFill="1" applyBorder="1"/>
    <xf numFmtId="0" fontId="3" fillId="2" borderId="7" xfId="1" applyFont="1" applyFill="1" applyBorder="1"/>
    <xf numFmtId="0" fontId="13" fillId="7" borderId="2" xfId="1" applyNumberFormat="1" applyFont="1" applyFill="1" applyBorder="1" applyAlignment="1">
      <alignment horizontal="center" vertical="center" wrapText="1"/>
    </xf>
    <xf numFmtId="0" fontId="3" fillId="2" borderId="0" xfId="3" applyFont="1" applyFill="1" applyBorder="1" applyAlignment="1">
      <alignment horizontal="center" vertical="center" wrapText="1"/>
    </xf>
    <xf numFmtId="166" fontId="9" fillId="6" borderId="8" xfId="15" applyNumberFormat="1" applyFont="1" applyFill="1" applyBorder="1" applyAlignment="1">
      <alignment horizontal="center" vertical="center" wrapText="1"/>
    </xf>
    <xf numFmtId="166" fontId="9" fillId="7" borderId="8" xfId="15" applyNumberFormat="1" applyFont="1" applyFill="1" applyBorder="1" applyAlignment="1">
      <alignment horizontal="center" vertical="center" wrapText="1"/>
    </xf>
    <xf numFmtId="0" fontId="3" fillId="2" borderId="10" xfId="3" applyFont="1" applyFill="1" applyBorder="1"/>
    <xf numFmtId="0" fontId="3" fillId="3" borderId="6" xfId="1" applyNumberFormat="1" applyFont="1" applyFill="1" applyBorder="1" applyAlignment="1"/>
    <xf numFmtId="0" fontId="3" fillId="16" borderId="10" xfId="1" applyNumberFormat="1" applyFont="1" applyFill="1" applyBorder="1" applyAlignment="1" applyProtection="1"/>
    <xf numFmtId="0" fontId="3" fillId="16" borderId="6" xfId="1" applyNumberFormat="1" applyFont="1" applyFill="1" applyBorder="1" applyAlignment="1" applyProtection="1"/>
    <xf numFmtId="0" fontId="3" fillId="2" borderId="0" xfId="3" applyFont="1" applyFill="1" applyBorder="1"/>
    <xf numFmtId="0" fontId="3" fillId="3" borderId="2" xfId="3" applyFont="1" applyFill="1" applyBorder="1"/>
    <xf numFmtId="166" fontId="3" fillId="0" borderId="6" xfId="15" applyNumberFormat="1" applyFont="1" applyFill="1" applyBorder="1" applyAlignment="1"/>
    <xf numFmtId="180" fontId="3" fillId="0" borderId="6" xfId="15" applyNumberFormat="1" applyFont="1" applyFill="1" applyBorder="1" applyAlignment="1"/>
    <xf numFmtId="178" fontId="3" fillId="0" borderId="6" xfId="15" applyNumberFormat="1" applyFont="1" applyFill="1" applyBorder="1" applyAlignment="1"/>
    <xf numFmtId="0" fontId="3" fillId="0" borderId="6" xfId="4" applyFont="1" applyBorder="1" applyAlignment="1"/>
    <xf numFmtId="166" fontId="3" fillId="0" borderId="8" xfId="15" applyNumberFormat="1" applyFont="1" applyFill="1" applyBorder="1" applyAlignment="1"/>
    <xf numFmtId="166" fontId="3" fillId="0" borderId="1" xfId="15" applyNumberFormat="1" applyFont="1" applyFill="1" applyBorder="1" applyAlignment="1"/>
    <xf numFmtId="180" fontId="3" fillId="0" borderId="1" xfId="15" applyNumberFormat="1" applyFont="1" applyFill="1" applyBorder="1" applyAlignment="1"/>
    <xf numFmtId="178" fontId="3" fillId="0" borderId="1" xfId="15" applyNumberFormat="1" applyFont="1" applyFill="1" applyBorder="1" applyAlignment="1"/>
    <xf numFmtId="0" fontId="3" fillId="0" borderId="1" xfId="4" applyFont="1" applyBorder="1" applyAlignment="1"/>
    <xf numFmtId="0" fontId="3" fillId="3" borderId="1" xfId="1" applyNumberFormat="1" applyFont="1" applyFill="1" applyBorder="1" applyAlignment="1"/>
    <xf numFmtId="0" fontId="3" fillId="16" borderId="3" xfId="1" applyNumberFormat="1" applyFont="1" applyFill="1" applyBorder="1" applyAlignment="1" applyProtection="1"/>
    <xf numFmtId="0" fontId="3" fillId="16" borderId="1" xfId="1" applyNumberFormat="1" applyFont="1" applyFill="1" applyBorder="1" applyAlignment="1" applyProtection="1"/>
    <xf numFmtId="0" fontId="3" fillId="2" borderId="5" xfId="1" applyFont="1" applyFill="1" applyBorder="1"/>
    <xf numFmtId="0" fontId="3" fillId="2" borderId="4" xfId="1" applyFont="1" applyFill="1" applyBorder="1"/>
    <xf numFmtId="0" fontId="3" fillId="2" borderId="3" xfId="1" applyFont="1" applyFill="1" applyBorder="1"/>
    <xf numFmtId="0" fontId="3" fillId="7" borderId="2" xfId="1" applyNumberFormat="1" applyFont="1" applyFill="1" applyBorder="1" applyAlignment="1"/>
    <xf numFmtId="0" fontId="3" fillId="16" borderId="2" xfId="1" applyNumberFormat="1" applyFont="1" applyFill="1" applyBorder="1" applyAlignment="1" applyProtection="1"/>
    <xf numFmtId="180" fontId="3" fillId="6" borderId="2" xfId="15" applyNumberFormat="1" applyFont="1" applyFill="1" applyBorder="1" applyAlignment="1"/>
    <xf numFmtId="180" fontId="3" fillId="7" borderId="2" xfId="15" applyNumberFormat="1" applyFont="1" applyFill="1" applyBorder="1" applyAlignment="1">
      <alignment horizontal="center" vertical="center" wrapText="1"/>
    </xf>
    <xf numFmtId="178" fontId="3" fillId="7" borderId="2" xfId="15" applyNumberFormat="1" applyFont="1" applyFill="1" applyBorder="1" applyAlignment="1">
      <alignment horizontal="center" vertical="center" wrapText="1"/>
    </xf>
    <xf numFmtId="0" fontId="3" fillId="3" borderId="2" xfId="1" applyFont="1" applyFill="1" applyBorder="1" applyAlignment="1"/>
    <xf numFmtId="15" fontId="3" fillId="3" borderId="2" xfId="15" applyNumberFormat="1" applyFont="1" applyFill="1" applyBorder="1" applyAlignment="1">
      <alignment horizontal="center" vertical="center"/>
    </xf>
    <xf numFmtId="178" fontId="3" fillId="3" borderId="2" xfId="15" applyNumberFormat="1" applyFont="1" applyFill="1" applyBorder="1" applyAlignment="1">
      <alignment vertical="center"/>
    </xf>
    <xf numFmtId="0" fontId="3" fillId="3" borderId="2" xfId="1" applyFont="1" applyFill="1" applyBorder="1"/>
    <xf numFmtId="178" fontId="3" fillId="9" borderId="8" xfId="0" applyNumberFormat="1" applyFont="1" applyFill="1" applyBorder="1" applyAlignment="1">
      <alignment horizontal="right"/>
    </xf>
    <xf numFmtId="178" fontId="3" fillId="2" borderId="1" xfId="1" applyNumberFormat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10" fontId="5" fillId="12" borderId="0" xfId="0" applyNumberFormat="1" applyFont="1" applyFill="1"/>
    <xf numFmtId="165" fontId="3" fillId="2" borderId="8" xfId="1" applyNumberFormat="1" applyFont="1" applyFill="1" applyBorder="1" applyAlignment="1">
      <alignment horizontal="left" vertical="center"/>
    </xf>
    <xf numFmtId="165" fontId="3" fillId="2" borderId="6" xfId="1" applyNumberFormat="1" applyFont="1" applyFill="1" applyBorder="1" applyAlignment="1">
      <alignment horizontal="left" vertical="center"/>
    </xf>
    <xf numFmtId="165" fontId="3" fillId="2" borderId="1" xfId="1" applyNumberFormat="1" applyFont="1" applyFill="1" applyBorder="1" applyAlignment="1">
      <alignment horizontal="left" vertical="center"/>
    </xf>
    <xf numFmtId="165" fontId="3" fillId="14" borderId="2" xfId="1" applyNumberFormat="1" applyFont="1" applyFill="1" applyBorder="1" applyAlignment="1">
      <alignment horizontal="center" vertical="center"/>
    </xf>
    <xf numFmtId="166" fontId="3" fillId="10" borderId="2" xfId="1" applyNumberFormat="1" applyFont="1" applyFill="1" applyBorder="1" applyAlignment="1">
      <alignment horizontal="center" vertical="center"/>
    </xf>
    <xf numFmtId="0" fontId="3" fillId="10" borderId="8" xfId="1" applyNumberFormat="1" applyFont="1" applyFill="1" applyBorder="1" applyAlignment="1">
      <alignment horizontal="center" vertical="center"/>
    </xf>
    <xf numFmtId="0" fontId="3" fillId="10" borderId="6" xfId="1" applyNumberFormat="1" applyFont="1" applyFill="1" applyBorder="1" applyAlignment="1">
      <alignment horizontal="center" vertical="center"/>
    </xf>
    <xf numFmtId="14" fontId="5" fillId="8" borderId="0" xfId="0" applyNumberFormat="1" applyFont="1" applyFill="1"/>
    <xf numFmtId="10" fontId="3" fillId="10" borderId="6" xfId="1" applyNumberFormat="1" applyFont="1" applyFill="1" applyBorder="1" applyAlignment="1">
      <alignment horizontal="center" vertical="center"/>
    </xf>
    <xf numFmtId="167" fontId="3" fillId="3" borderId="20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textRotation="255"/>
    </xf>
    <xf numFmtId="0" fontId="5" fillId="13" borderId="6" xfId="0" applyFont="1" applyFill="1" applyBorder="1" applyAlignment="1">
      <alignment horizontal="center" textRotation="255"/>
    </xf>
    <xf numFmtId="15" fontId="5" fillId="13" borderId="8" xfId="0" applyNumberFormat="1" applyFont="1" applyFill="1" applyBorder="1" applyAlignment="1">
      <alignment horizontal="center" vertical="center" textRotation="255"/>
    </xf>
    <xf numFmtId="15" fontId="5" fillId="13" borderId="6" xfId="0" applyNumberFormat="1" applyFont="1" applyFill="1" applyBorder="1" applyAlignment="1">
      <alignment horizontal="center" vertical="center" textRotation="255"/>
    </xf>
    <xf numFmtId="15" fontId="5" fillId="13" borderId="1" xfId="0" applyNumberFormat="1" applyFont="1" applyFill="1" applyBorder="1" applyAlignment="1">
      <alignment horizontal="center" vertical="center" textRotation="255"/>
    </xf>
    <xf numFmtId="0" fontId="5" fillId="13" borderId="8" xfId="0" applyFont="1" applyFill="1" applyBorder="1" applyAlignment="1">
      <alignment horizontal="center" vertical="center" textRotation="255"/>
    </xf>
    <xf numFmtId="0" fontId="5" fillId="13" borderId="6" xfId="0" applyFont="1" applyFill="1" applyBorder="1" applyAlignment="1">
      <alignment horizontal="center" vertical="center" textRotation="255"/>
    </xf>
    <xf numFmtId="0" fontId="5" fillId="13" borderId="7" xfId="0" applyFont="1" applyFill="1" applyBorder="1" applyAlignment="1">
      <alignment horizontal="center" vertical="center" textRotation="255"/>
    </xf>
    <xf numFmtId="0" fontId="5" fillId="13" borderId="1" xfId="0" applyFont="1" applyFill="1" applyBorder="1" applyAlignment="1">
      <alignment horizontal="center" vertical="center" textRotation="255"/>
    </xf>
  </cellXfs>
  <cellStyles count="28">
    <cellStyle name="Euro" xfId="6"/>
    <cellStyle name="Euro 2" xfId="16"/>
    <cellStyle name="Euro 3" xfId="17"/>
    <cellStyle name="Migliaia (0)_AZIONI" xfId="7"/>
    <cellStyle name="Migliaia_AZIONI" xfId="8"/>
    <cellStyle name="Normal" xfId="0" builtinId="0"/>
    <cellStyle name="Normal 2" xfId="1"/>
    <cellStyle name="Normal 2 2" xfId="13"/>
    <cellStyle name="Normal 3" xfId="4"/>
    <cellStyle name="Normal 3 2" xfId="18"/>
    <cellStyle name="Normal 3 3" xfId="19"/>
    <cellStyle name="Normal 3 4" xfId="20"/>
    <cellStyle name="Normal_SwaptionATMVols" xfId="3"/>
    <cellStyle name="Normale_AZIONI" xfId="9"/>
    <cellStyle name="Percent 2" xfId="2"/>
    <cellStyle name="Percent 2 2" xfId="14"/>
    <cellStyle name="Percent 2 3" xfId="21"/>
    <cellStyle name="Percent 3" xfId="5"/>
    <cellStyle name="Percent 3 2" xfId="22"/>
    <cellStyle name="Percent 3 2 2" xfId="23"/>
    <cellStyle name="Percent 3 2 3" xfId="24"/>
    <cellStyle name="Percent 3 3" xfId="25"/>
    <cellStyle name="Percent 4" xfId="15"/>
    <cellStyle name="Percent 4 2" xfId="26"/>
    <cellStyle name="Percent 4 3" xfId="27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15:03:33</v>
        <stp/>
        <stp>{B8D230FD-DF98-4B80-A35F-54091BED8326}_x0000_</stp>
        <tr r="H24" s="20"/>
      </tp>
      <tp t="s">
        <v>Paused at 15:03:33</v>
        <stp/>
        <stp>{93944C01-C87A-41CD-8BA7-732B87ADC506}_x0000_</stp>
        <tr r="H15" s="20"/>
      </tp>
    </main>
    <main first="pldatasource.rtgetrtdserver">
      <tp>
        <v>0.44900000000000001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2" s="19"/>
      </tp>
      <tp>
        <v>0.56800000000000006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3" s="19"/>
      </tp>
      <tp>
        <v>0.56800000000000006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3" s="19"/>
      </tp>
      <tp>
        <v>-0.314</v>
        <stp/>
        <stp>_x000D_EUR3MFRA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19"/>
      </tp>
      <tp>
        <v>-0.32200000000000001</v>
        <stp/>
        <stp>_x000D_EUR3MFRA4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5" s="19"/>
      </tp>
      <tp>
        <v>-0.31900000000000001</v>
        <stp/>
        <stp>_x000D_EUR3MFRA5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19"/>
      </tp>
      <tp>
        <v>-0.32900000000000001</v>
        <stp/>
        <stp>_x000D_EUR3MFRA2X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19"/>
      </tp>
      <tp>
        <v>-0.32600000000000001</v>
        <stp/>
        <stp>_x000D_EUR3MFRA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4" s="19"/>
      </tp>
      <tp>
        <v>-0.32700000000000001</v>
        <stp/>
        <stp>_x000D_EUR3MFRA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2" s="19"/>
      </tp>
      <tp>
        <v>0.44900000000000001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2" s="19"/>
      </tp>
      <tp>
        <v>0.44700000000000001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19"/>
      </tp>
      <tp>
        <v>-0.373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6" s="19"/>
      </tp>
      <tp>
        <v>0.57100000000000006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2" s="19"/>
      </tp>
      <tp>
        <v>0.215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2" s="19"/>
      </tp>
      <tp>
        <v>-9.9460088000000002E-2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7" s="19"/>
      </tp>
      <tp>
        <v>0.32200000000000001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19"/>
      </tp>
      <tp>
        <v>-0.372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7" s="19"/>
      </tp>
      <tp>
        <v>0.68700000000000006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3" s="19"/>
      </tp>
      <tp>
        <v>0.34200000000000003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3" s="19"/>
      </tp>
      <tp>
        <v>-9.8299999999999998E-2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8" s="19"/>
      </tp>
      <tp>
        <v>0.34200000000000003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3" s="19"/>
      </tp>
      <tp>
        <v>-9.8299999999999998E-2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8" s="19"/>
      </tp>
      <tp>
        <v>-0.372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7" s="19"/>
      </tp>
      <tp>
        <v>0.68700000000000006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3" s="19"/>
      </tp>
      <tp>
        <v>0.32200000000000001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19"/>
      </tp>
      <tp>
        <v>0.215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2" s="19"/>
      </tp>
      <tp>
        <v>-9.9460088000000002E-2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7" s="19"/>
      </tp>
      <tp>
        <v>-0.373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6" s="19"/>
      </tp>
      <tp>
        <v>0.57100000000000006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2" s="19"/>
      </tp>
      <tp>
        <v>0.44700000000000001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19"/>
      </tp>
      <tp>
        <v>-0.23300000000000001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3" s="19"/>
      </tp>
      <tp>
        <v>-0.22700000000000001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19"/>
      </tp>
      <tp>
        <v>-0.23400000000000001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2" s="19"/>
      </tp>
      <tp>
        <v>8.6000000000000007E-2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1" s="19"/>
      </tp>
      <tp>
        <v>-4.3000000000000003E-2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19"/>
      </tp>
      <tp>
        <v>-0.10044167900000001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6" s="19"/>
      </tp>
      <tp>
        <v>-0.372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2" s="19"/>
      </tp>
      <tp>
        <v>0.112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78" s="19"/>
      </tp>
      <tp>
        <v>-0.23580000000000001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19"/>
      </tp>
      <tp>
        <v>-0.372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5" s="19"/>
      </tp>
      <tp>
        <v>0.45200000000000001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1" s="19"/>
      </tp>
      <tp>
        <v>-0.23626544700000002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19"/>
      </tp>
      <tp>
        <v>-0.24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8" s="19"/>
      </tp>
      <tp>
        <v>7.2000000000000008E-2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19"/>
      </tp>
      <tp>
        <v>-0.107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7" s="19"/>
      </tp>
      <tp>
        <v>-0.10090222500000001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3" s="19"/>
      </tp>
      <tp>
        <v>-3.7999999999999999E-2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0" s="19"/>
      </tp>
      <tp>
        <v>-0.14200000000000002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19"/>
      </tp>
      <tp>
        <v>-0.1009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5" s="19"/>
      </tp>
      <tp>
        <v>-0.372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3" s="19"/>
      </tp>
      <tp>
        <v>0.217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79" s="19"/>
      </tp>
      <tp>
        <v>-0.2356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19"/>
      </tp>
      <tp>
        <v>-0.372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4" s="19"/>
      </tp>
      <tp>
        <v>0.33200000000000002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0" s="19"/>
      </tp>
      <tp>
        <v>-0.23764217700000001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" s="19"/>
      </tp>
      <tp>
        <v>-0.23670000000000002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19"/>
      </tp>
      <tp>
        <v>-0.14899999999999999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9" s="19"/>
      </tp>
      <tp>
        <v>0.19600000000000001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19"/>
      </tp>
      <tp>
        <v>-0.10090668800000001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4" s="19"/>
      </tp>
      <tp>
        <v>-0.14899999999999999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9" s="19"/>
      </tp>
      <tp>
        <v>0.19600000000000001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19"/>
      </tp>
      <tp>
        <v>-0.10090668800000001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4" s="19"/>
      </tp>
      <tp>
        <v>-0.372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4" s="19"/>
      </tp>
      <tp>
        <v>0.33200000000000002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0" s="19"/>
      </tp>
      <tp>
        <v>-0.23670000000000002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19"/>
      </tp>
      <tp>
        <v>-0.23764217700000001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" s="19"/>
      </tp>
      <tp>
        <v>-0.372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3" s="19"/>
      </tp>
      <tp>
        <v>0.217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79" s="19"/>
      </tp>
      <tp>
        <v>-0.2356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19"/>
      </tp>
      <tp>
        <v>-3.7999999999999999E-2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0" s="19"/>
      </tp>
      <tp>
        <v>-0.14200000000000002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19"/>
      </tp>
      <tp>
        <v>-0.1009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5" s="19"/>
      </tp>
      <tp>
        <v>-0.24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8" s="19"/>
      </tp>
      <tp>
        <v>7.2000000000000008E-2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19"/>
      </tp>
      <tp>
        <v>-0.107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7" s="19"/>
      </tp>
      <tp>
        <v>-0.10090222500000001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3" s="19"/>
      </tp>
      <tp>
        <v>-0.372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5" s="19"/>
      </tp>
      <tp>
        <v>0.45200000000000001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1" s="19"/>
      </tp>
      <tp>
        <v>-0.23626544700000002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19"/>
      </tp>
      <tp>
        <v>-0.372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2" s="19"/>
      </tp>
      <tp>
        <v>0.112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78" s="19"/>
      </tp>
      <tp>
        <v>-0.23580000000000001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19"/>
      </tp>
      <tp>
        <v>8.6000000000000007E-2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1" s="19"/>
      </tp>
      <tp>
        <v>-4.3000000000000003E-2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19"/>
      </tp>
      <tp>
        <v>-0.10044167900000001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6" s="19"/>
      </tp>
      <tp>
        <v>-0.308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7" s="19"/>
      </tp>
      <tp>
        <v>-1.9E-2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8" s="19"/>
      </tp>
      <tp>
        <v>-0.1009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2" s="19"/>
      </tp>
      <tp>
        <v>-0.3226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19"/>
      </tp>
      <tp>
        <v>-0.37230000000000002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" s="19"/>
      </tp>
      <tp>
        <v>-0.372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1" s="19"/>
      </tp>
      <tp>
        <v>2.3E-2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77" s="19"/>
      </tp>
      <tp>
        <v>-0.32365350700000001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19"/>
      </tp>
      <tp>
        <v>-0.32270000000000004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19"/>
      </tp>
      <tp>
        <v>-0.23650000000000002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19"/>
      </tp>
      <tp>
        <v>0.32600000000000001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1" s="19"/>
      </tp>
      <tp>
        <v>-0.100909758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" s="19"/>
      </tp>
      <tp>
        <v>-0.35799999999999998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3" s="19"/>
      </tp>
      <tp>
        <v>8.7000000000000008E-2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9" s="19"/>
      </tp>
      <tp>
        <v>-0.100904384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" s="19"/>
      </tp>
      <tp>
        <v>-0.372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9" s="19"/>
      </tp>
      <tp>
        <v>-0.372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" s="19"/>
      </tp>
      <tp>
        <v>-0.32390000000000002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19"/>
      </tp>
      <tp>
        <v>-0.23520000000000002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19"/>
      </tp>
      <tp>
        <v>-0.37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" s="19"/>
      </tp>
      <tp>
        <v>-0.37430000000000002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" s="19"/>
      </tp>
      <tp>
        <v>-0.37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0" s="19"/>
      </tp>
      <tp>
        <v>-0.32227215200000003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19"/>
      </tp>
      <tp>
        <v>-0.23600000000000002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19"/>
      </tp>
      <tp>
        <v>-0.222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19"/>
      </tp>
      <tp>
        <v>0.20300000000000001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0" s="19"/>
      </tp>
      <tp>
        <v>-0.10090834400000001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" s="19"/>
      </tp>
      <tp>
        <v>-0.10091074800000001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" s="19"/>
      </tp>
      <tp>
        <v>-0.222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19"/>
      </tp>
      <tp>
        <v>0.20300000000000001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0" s="19"/>
      </tp>
      <tp>
        <v>-0.10091074800000001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" s="19"/>
      </tp>
      <tp>
        <v>-0.10090834400000001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" s="19"/>
      </tp>
      <tp>
        <v>-0.37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0" s="19"/>
      </tp>
      <tp>
        <v>-0.23600000000000002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19"/>
      </tp>
      <tp>
        <v>-0.32227215200000003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19"/>
      </tp>
      <tp>
        <v>-0.372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9" s="19"/>
      </tp>
      <tp>
        <v>-0.37430000000000002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" s="19"/>
      </tp>
      <tp>
        <v>-0.372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" s="19"/>
      </tp>
      <tp>
        <v>-0.32390000000000002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19"/>
      </tp>
      <tp>
        <v>-0.23520000000000002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19"/>
      </tp>
      <tp>
        <v>-0.37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19"/>
      </tp>
      <tp>
        <v>-0.35799999999999998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3" s="19"/>
      </tp>
      <tp>
        <v>8.7000000000000008E-2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9" s="19"/>
      </tp>
      <tp>
        <v>-0.100904384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" s="19"/>
      </tp>
      <tp>
        <v>0.32600000000000001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1" s="19"/>
      </tp>
      <tp>
        <v>-0.100909758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" s="19"/>
      </tp>
      <tp>
        <v>-0.372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1" s="19"/>
      </tp>
      <tp>
        <v>2.3E-2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77" s="19"/>
      </tp>
      <tp>
        <v>-0.32270000000000004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19"/>
      </tp>
      <tp>
        <v>-0.23650000000000002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19"/>
      </tp>
      <tp>
        <v>-0.32365350700000001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19"/>
      </tp>
      <tp>
        <v>-0.37230000000000002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" s="19"/>
      </tp>
      <tp>
        <v>-0.3226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19"/>
      </tp>
      <tp>
        <v>-0.308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7" s="19"/>
      </tp>
      <tp>
        <v>-1.9E-2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8" s="19"/>
      </tp>
      <tp>
        <v>-0.1009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2" s="19"/>
      </tp>
    </main>
    <main first="pldatasource.rtgetrtdserver">
      <tp>
        <v>-0.36127109999999996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" s="19"/>
      </tp>
    </main>
    <main first="pldatasource.rtgetrtdserver">
      <tp>
        <v>-0.36127109999999996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19"/>
      </tp>
    </main>
    <main first="pldatasource.rtgetrtdserver">
      <tp>
        <v>-0.37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19"/>
      </tp>
    </main>
    <main first="pldatasource.rtgetrtdserver">
      <tp>
        <v>-0.37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" s="19"/>
      </tp>
    </main>
    <main first="pldatasource.rtgetrtdserver">
      <tp>
        <v>-0.32700000000000001</v>
        <stp/>
        <stp>_x000D_EUR3MFRA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2" s="19"/>
      </tp>
      <tp>
        <v>-0.32600000000000001</v>
        <stp/>
        <stp>_x000D_EUR3MFRA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19"/>
      </tp>
      <tp>
        <v>-0.32900000000000001</v>
        <stp/>
        <stp>_x000D_EUR3MFRA2X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19"/>
      </tp>
      <tp>
        <v>-0.31900000000000001</v>
        <stp/>
        <stp>_x000D_EUR3MFRA5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19"/>
      </tp>
      <tp>
        <v>-0.32200000000000001</v>
        <stp/>
        <stp>_x000D_EUR3MFRA4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19"/>
      </tp>
      <tp>
        <v>-0.314</v>
        <stp/>
        <stp>_x000D_EUR3MFRA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19"/>
      </tp>
    </main>
    <main first="pldatasource.rtgetrtdserver">
      <tp>
        <v>-0.23400000000000001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19"/>
      </tp>
      <tp>
        <v>-0.22700000000000001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4" s="19"/>
      </tp>
      <tp>
        <v>-0.23300000000000001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19"/>
      </tp>
    </main>
    <main first="pldatasource.rdatartdserver">
      <tp t="s">
        <v>Paused at 15:03:33</v>
        <stp/>
        <stp>{AF40AE9D-CD06-449F-9301-078A8125644F}</stp>
        <tr r="H3" s="20"/>
      </tp>
    </main>
    <main first="pldatasource.rtgetrtdserver">
      <tp>
        <v>1.167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4" s="19"/>
      </tp>
      <tp>
        <v>1.1320000000000001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5" s="19"/>
      </tp>
      <tp>
        <v>1.107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6" s="19"/>
      </tp>
      <tp>
        <v>0.46500000000000002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4" s="19"/>
      </tp>
      <tp>
        <v>-0.35479048900000004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8" s="19"/>
      </tp>
      <tp>
        <v>0.56800000000000006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5" s="19"/>
      </tp>
      <tp>
        <v>-0.35434617700000004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9" s="19"/>
      </tp>
      <tp>
        <v>0.66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6" s="19"/>
      </tp>
      <tp>
        <v>0.73895937300000003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7" s="19"/>
      </tp>
      <tp>
        <v>-0.35341593700000001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2" s="19"/>
      </tp>
      <tp>
        <v>0.80681237400000005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8" s="19"/>
      </tp>
      <tp>
        <v>-0.35286307500000003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3" s="19"/>
      </tp>
      <tp>
        <v>0.86499999999999999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9" s="19"/>
      </tp>
      <tp>
        <v>-0.35199999999999998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4" s="19"/>
      </tp>
      <tp>
        <v>0.91465199999999991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0" s="19"/>
      </tp>
      <tp>
        <v>-0.35082024300000003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5" s="19"/>
      </tp>
      <tp>
        <v>0.95643919700000002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1" s="19"/>
      </tp>
      <tp>
        <v>-0.34945776900000003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6" s="19"/>
      </tp>
      <tp>
        <v>0.99154325300000001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2" s="19"/>
      </tp>
      <tp>
        <v>-0.34800000000000003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7" s="19"/>
      </tp>
      <tp>
        <v>1.0203385199999999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3" s="19"/>
      </tp>
      <tp>
        <v>-0.346476277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8" s="19"/>
      </tp>
      <tp>
        <v>1.044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4" s="19"/>
      </tp>
      <tp>
        <v>-0.34486504600000001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9" s="19"/>
      </tp>
      <tp>
        <v>1.063215843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5" s="19"/>
      </tp>
      <tp>
        <v>-0.34300000000000003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0" s="19"/>
      </tp>
      <tp>
        <v>1.078719177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6" s="19"/>
      </tp>
      <tp>
        <v>-0.34105212100000004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1" s="19"/>
      </tp>
      <tp>
        <v>1.0912198130000001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7" s="19"/>
      </tp>
      <tp>
        <v>-0.33875869200000003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2" s="19"/>
      </tp>
      <tp>
        <v>1.1014644180000002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8" s="19"/>
      </tp>
      <tp>
        <v>1.1100000000000001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9" s="19"/>
      </tp>
      <tp>
        <v>1.1175200199999999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0" s="19"/>
      </tp>
      <tp>
        <v>1.1242327430000001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1" s="19"/>
      </tp>
      <tp>
        <v>1.130300377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2" s="19"/>
      </tp>
      <tp>
        <v>1.1358622070000002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3" s="19"/>
      </tp>
      <tp>
        <v>1.141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4" s="19"/>
      </tp>
      <tp>
        <v>1.161539514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9" s="19"/>
      </tp>
    </main>
    <main first="pldatasource.rtgetrtdserver">
      <tp>
        <v>-0.23765080500000002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" s="19"/>
      </tp>
      <tp>
        <v>-0.23764766800000001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" s="19"/>
      </tp>
    </main>
    <main first="pldatasource.rtgetrtdserver">
      <tp>
        <v>100.28750000000001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19"/>
      </tp>
      <tp>
        <v>100.17750000000001</v>
        <stp/>
        <stp xml:space="preserve">
EUR3MFUTZ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19"/>
      </tp>
      <tp>
        <v>100.30250000000001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19"/>
      </tp>
      <tp>
        <v>100.21250000000001</v>
        <stp/>
        <stp xml:space="preserve">
EUR3MFUT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19"/>
      </tp>
      <tp>
        <v>100.03595047900001</v>
        <stp/>
        <stp xml:space="preserve">
EUR3MFUTU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4" s="19"/>
      </tp>
      <tp>
        <v>100.3275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19"/>
      </tp>
      <tp>
        <v>100.2675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19"/>
      </tp>
      <tp>
        <v>100.13250000000001</v>
        <stp/>
        <stp xml:space="preserve">
EUR3MFUTH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19"/>
      </tp>
      <tp>
        <v>100.31750000000001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19"/>
      </tp>
      <tp>
        <v>100.24250000000001</v>
        <stp/>
        <stp xml:space="preserve">
EUR3MFUT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19"/>
      </tp>
      <tp>
        <v>100.09</v>
        <stp/>
        <stp xml:space="preserve">
EUR3MFUTM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19"/>
      </tp>
      <tp>
        <v>100.13250000000001</v>
        <stp/>
        <stp xml:space="preserve">
EUR3MFUTH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19"/>
      </tp>
      <tp>
        <v>100.2675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19"/>
      </tp>
      <tp>
        <v>100.3275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19"/>
      </tp>
      <tp>
        <v>100.09</v>
        <stp/>
        <stp xml:space="preserve">
EUR3MFUTM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19"/>
      </tp>
      <tp>
        <v>100.24250000000001</v>
        <stp/>
        <stp xml:space="preserve">
EUR3MFUT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19"/>
      </tp>
      <tp>
        <v>100.31750000000001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19"/>
      </tp>
      <tp>
        <v>100.03595047900001</v>
        <stp/>
        <stp xml:space="preserve">
EUR3MFUTU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4" s="19"/>
      </tp>
      <tp>
        <v>100.21250000000001</v>
        <stp/>
        <stp xml:space="preserve">
EUR3MFUT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19"/>
      </tp>
      <tp>
        <v>100.30250000000001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19"/>
      </tp>
      <tp>
        <v>100.17750000000001</v>
        <stp/>
        <stp xml:space="preserve">
EUR3MFUTZ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19"/>
      </tp>
      <tp>
        <v>100.28750000000001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19"/>
      </tp>
    </main>
    <main first="pldatasource.rtgetrtdserver">
      <tp>
        <v>-0.23764766800000001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" s="19"/>
      </tp>
      <tp>
        <v>-0.23765080500000002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" s="19"/>
      </tp>
      <tp>
        <v>1.167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14" s="19"/>
      </tp>
      <tp>
        <v>1.1320000000000001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15" s="19"/>
      </tp>
      <tp>
        <v>1.107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16" s="19"/>
      </tp>
      <tp>
        <v>-0.35341593700000001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2" s="19"/>
      </tp>
      <tp>
        <v>0.73895937300000003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7" s="19"/>
      </tp>
      <tp>
        <v>0.66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6" s="19"/>
      </tp>
      <tp>
        <v>-0.35434617700000004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9" s="19"/>
      </tp>
      <tp>
        <v>0.56800000000000006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5" s="19"/>
      </tp>
      <tp>
        <v>-0.35479048900000004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8" s="19"/>
      </tp>
      <tp>
        <v>0.46500000000000002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4" s="19"/>
      </tp>
      <tp>
        <v>-0.34945776900000003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6" s="19"/>
      </tp>
      <tp>
        <v>0.95643919700000002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1" s="19"/>
      </tp>
      <tp>
        <v>-0.35082024300000003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5" s="19"/>
      </tp>
      <tp>
        <v>0.91465199999999991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0" s="19"/>
      </tp>
      <tp>
        <v>-0.35199999999999998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4" s="19"/>
      </tp>
      <tp>
        <v>0.86499999999999999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9" s="19"/>
      </tp>
      <tp>
        <v>-0.35286307500000003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3" s="19"/>
      </tp>
      <tp>
        <v>0.80681237400000005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8" s="19"/>
      </tp>
      <tp>
        <v>-0.346476277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8" s="19"/>
      </tp>
      <tp>
        <v>1.0203385199999999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3" s="19"/>
      </tp>
      <tp>
        <v>-0.34800000000000003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7" s="19"/>
      </tp>
      <tp>
        <v>0.99154325300000001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2" s="19"/>
      </tp>
      <tp>
        <v>-0.33875869200000003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2" s="19"/>
      </tp>
      <tp>
        <v>1.0912198130000001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7" s="19"/>
      </tp>
      <tp>
        <v>-0.34105212100000004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1" s="19"/>
      </tp>
      <tp>
        <v>1.078719177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6" s="19"/>
      </tp>
      <tp>
        <v>-0.34300000000000003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0" s="19"/>
      </tp>
      <tp>
        <v>1.063215843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5" s="19"/>
      </tp>
      <tp>
        <v>-0.34486504600000001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9" s="19"/>
      </tp>
      <tp>
        <v>1.044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4" s="19"/>
      </tp>
      <tp>
        <v>1.1242327430000001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1" s="19"/>
      </tp>
      <tp>
        <v>1.1175200199999999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0" s="19"/>
      </tp>
      <tp>
        <v>1.1100000000000001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9" s="19"/>
      </tp>
      <tp>
        <v>1.1014644180000002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8" s="19"/>
      </tp>
      <tp>
        <v>1.1358622070000002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3" s="19"/>
      </tp>
      <tp>
        <v>1.130300377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2" s="19"/>
      </tp>
      <tp>
        <v>1.141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4" s="19"/>
      </tp>
      <tp>
        <v>1.161539514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9" s="19"/>
      </tp>
      <tp>
        <v>-0.10091230400000001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6" s="19"/>
      </tp>
      <tp>
        <v>-0.37560000000000004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" s="19"/>
      </tp>
      <tp>
        <v>-0.37560783800000003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" s="19"/>
      </tp>
      <tp>
        <v>-0.100911738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7" s="19"/>
      </tp>
    </main>
    <main first="pldatasource.rtgetrtdserver">
      <tp>
        <v>-0.32366951199999999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19"/>
      </tp>
      <tp>
        <v>-0.323663692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19"/>
      </tp>
      <tp>
        <v>-0.323663692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19"/>
      </tp>
      <tp>
        <v>-0.32366951199999999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19"/>
      </tp>
    </main>
    <main first="pldatasource.rtgetrtdserver">
      <tp>
        <v>-0.100911738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7" s="19"/>
      </tp>
      <tp>
        <v>-0.37560783800000003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" s="19"/>
      </tp>
    </main>
    <main first="pldatasource.rtgetrtdserver">
      <tp>
        <v>-0.37560000000000004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" s="19"/>
      </tp>
      <tp>
        <v>-0.10091230400000001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6" s="19"/>
      </tp>
      <tp>
        <v>-0.32221697700000002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6" s="19"/>
      </tp>
      <tp>
        <v>-0.33527301600000003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5" s="19"/>
      </tp>
      <tp>
        <v>-0.347249631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4" s="19"/>
      </tp>
      <tp>
        <v>-0.32221697700000002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6" s="19"/>
      </tp>
      <tp>
        <v>-0.33527301600000003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5" s="19"/>
      </tp>
      <tp>
        <v>-0.347249631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4" s="19"/>
      </tp>
    </main>
    <main first="pldatasource.rhistoryrtdserver">
      <tp t="s">
        <v>Paused at 15:03:33</v>
        <stp/>
        <stp>{C87DA36B-8469-47CD-9C26-CD0D7F28C5F7}_x0000_</stp>
        <tr r="H21" s="20"/>
      </tp>
    </main>
    <main first="pldatasource.rtgetrtdserver">
      <tp>
        <v>-5.9000000000000004E-2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8" s="19"/>
      </tp>
      <tp>
        <v>-6.7000000000000004E-2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7" s="19"/>
      </tp>
      <tp>
        <v>-6.7000000000000004E-2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7" s="19"/>
      </tp>
      <tp>
        <v>-5.9000000000000004E-2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8" s="19"/>
      </tp>
    </main>
    <main first="pldatasource.rhistoryrtdserver">
      <tp t="s">
        <v>Paused at 15:03:33</v>
        <stp/>
        <stp>{264E26D8-762F-4B44-9DDA-01FA24603B78}_x0000_</stp>
        <tr r="H18" s="20"/>
      </tp>
    </main>
    <main first="pldatasource.rtgetrtdserver">
      <tp>
        <v>-0.187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19"/>
      </tp>
      <tp>
        <v>-0.309</v>
        <stp/>
        <stp>_x000E_EUR3MFRA7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19"/>
      </tp>
      <tp>
        <v>-3.9E-2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30" s="19"/>
      </tp>
    </main>
    <main first="pldatasource.rtgetrtdserver">
      <tp>
        <v>-0.30399999999999999</v>
        <stp/>
        <stp>_x000E_EUR3MFRA8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9" s="19"/>
      </tp>
      <tp>
        <v>-0.19500000000000001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19"/>
      </tp>
      <tp>
        <v>-4.9000000000000002E-2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9" s="19"/>
      </tp>
      <tp>
        <v>-9.1999999999999998E-2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2" s="19"/>
      </tp>
      <tp>
        <v>-0.29799999999999999</v>
        <stp/>
        <stp>_x000E_EUR3MFRA9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19"/>
      </tp>
      <tp>
        <v>-9.1999999999999998E-2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2" s="19"/>
      </tp>
      <tp>
        <v>-0.29799999999999999</v>
        <stp/>
        <stp>_x000E_EUR3MFRA9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0" s="19"/>
      </tp>
      <tp>
        <v>-4.9000000000000002E-2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9" s="19"/>
      </tp>
      <tp>
        <v>-0.30399999999999999</v>
        <stp/>
        <stp>_x000E_EUR3MFRA8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19"/>
      </tp>
      <tp>
        <v>-0.19500000000000001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9" s="19"/>
      </tp>
      <tp>
        <v>-3.9E-2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30" s="19"/>
      </tp>
      <tp>
        <v>-0.309</v>
        <stp/>
        <stp>_x000E_EUR3MFRA7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19"/>
      </tp>
      <tp>
        <v>-0.187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0" s="19"/>
      </tp>
      <tp>
        <v>-8.4000000000000005E-2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4" s="19"/>
      </tp>
      <tp>
        <v>-0.215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19"/>
      </tp>
      <tp>
        <v>-0.20800000000000002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7" s="19"/>
      </tp>
      <tp>
        <v>-7.9000000000000001E-2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5" s="19"/>
      </tp>
      <tp>
        <v>-0.09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3" s="19"/>
      </tp>
      <tp>
        <v>-0.221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19"/>
      </tp>
      <tp>
        <v>-0.20200000000000001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8" s="19"/>
      </tp>
      <tp>
        <v>-7.3999999999999996E-2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6" s="19"/>
      </tp>
      <tp>
        <v>-7.3999999999999996E-2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6" s="19"/>
      </tp>
      <tp>
        <v>-0.20200000000000001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19"/>
      </tp>
      <tp>
        <v>-0.221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5" s="19"/>
      </tp>
      <tp>
        <v>-0.09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3" s="19"/>
      </tp>
      <tp>
        <v>-7.9000000000000001E-2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5" s="19"/>
      </tp>
      <tp>
        <v>-0.20800000000000002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19"/>
      </tp>
      <tp>
        <v>-0.215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6" s="19"/>
      </tp>
      <tp>
        <v>-8.4000000000000005E-2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4" s="19"/>
      </tp>
      <tp>
        <v>-1.8000000000000002E-2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32" s="19"/>
      </tp>
      <tp>
        <v>-2.9000000000000001E-2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31" s="19"/>
      </tp>
      <tp>
        <v>-2.9000000000000001E-2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31" s="19"/>
      </tp>
      <tp>
        <v>-1.8000000000000002E-2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32" s="19"/>
      </tp>
      <tp>
        <v>-5.0000000000000001E-3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33" s="19"/>
      </tp>
      <tp>
        <v>-5.0000000000000001E-3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33" s="19"/>
      </tp>
      <tp>
        <v>-0.28899999999999998</v>
        <stp/>
        <stp>_x000F_EUR3MFRA11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19"/>
      </tp>
      <tp>
        <v>-0.28100000000000003</v>
        <stp/>
        <stp>_x000F_EUR3MFRA12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19"/>
      </tp>
      <tp>
        <v>-0.28100000000000003</v>
        <stp/>
        <stp>_x000F_EUR3MFRA12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19"/>
      </tp>
      <tp>
        <v>-0.28899999999999998</v>
        <stp/>
        <stp>_x000F_EUR3MFRA11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2" s="19"/>
      </tp>
      <tp>
        <v>-0.29299999999999998</v>
        <stp/>
        <stp>_x000F_EUR3MFRA10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19"/>
      </tp>
      <tp>
        <v>-0.29299999999999998</v>
        <stp/>
        <stp>_x000F_EUR3MFRA10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19"/>
      </tp>
      <tp>
        <v>-0.17200000000000001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19"/>
      </tp>
      <tp>
        <v>-0.17899999999999999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19"/>
      </tp>
      <tp>
        <v>-0.17899999999999999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1" s="19"/>
      </tp>
      <tp>
        <v>-0.17200000000000001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2" s="19"/>
      </tp>
      <tp>
        <v>-0.16300000000000001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3" s="19"/>
      </tp>
      <tp>
        <v>-0.154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4" s="19"/>
      </tp>
      <tp>
        <v>-0.154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4" s="19"/>
      </tp>
      <tp>
        <v>-0.16300000000000001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19"/>
      </tp>
      <tp>
        <v>-7.1880940000000008E-3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19"/>
      </tp>
      <tp>
        <v>-7.1880940000000008E-3</v>
        <stp/>
        <stp>_x000F_EUR6MFRA24X30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19"/>
      </tp>
      <tp>
        <v>-0.10300000000000001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19"/>
      </tp>
      <tp>
        <v>-0.10300000000000001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19"/>
      </tp>
      <tp>
        <v>-0.11700000000000001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19"/>
      </tp>
      <tp>
        <v>-0.14599999999999999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5" s="19"/>
      </tp>
      <tp>
        <v>-0.127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19"/>
      </tp>
      <tp>
        <v>-0.13600000000000001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19"/>
      </tp>
      <tp>
        <v>-0.13600000000000001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6" s="19"/>
      </tp>
      <tp>
        <v>-0.127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19"/>
      </tp>
      <tp>
        <v>-0.14599999999999999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19"/>
      </tp>
      <tp>
        <v>-0.11700000000000001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19"/>
      </tp>
      <tp>
        <v>-0.13400000000000001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9" s="19"/>
      </tp>
      <tp>
        <v>-0.35493118500000004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4" s="19"/>
      </tp>
      <tp>
        <v>-0.35464265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3" s="19"/>
      </tp>
      <tp>
        <v>-2.4E-2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0" s="19"/>
      </tp>
      <tp>
        <v>-0.223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8" s="19"/>
      </tp>
      <tp>
        <v>-0.35519552600000004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5" s="19"/>
      </tp>
      <tp>
        <v>-0.35408524900000005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2" s="19"/>
      </tp>
      <tp>
        <v>9.8000000000000004E-2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1" s="19"/>
      </tp>
      <tp>
        <v>9.8000000000000004E-2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1" s="19"/>
      </tp>
      <tp>
        <v>-0.35408524900000005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2" s="19"/>
      </tp>
      <tp>
        <v>-0.35519552600000004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5" s="19"/>
      </tp>
      <tp>
        <v>-0.223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8" s="19"/>
      </tp>
      <tp>
        <v>-2.4E-2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0" s="19"/>
      </tp>
      <tp>
        <v>-0.35464265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3" s="19"/>
      </tp>
      <tp>
        <v>-0.35493118500000004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4" s="19"/>
      </tp>
      <tp>
        <v>-0.13400000000000001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9" s="19"/>
      </tp>
      <tp>
        <v>-0.35383140300000004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1" s="19"/>
      </tp>
      <tp>
        <v>-0.35090135700000002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0" s="19"/>
      </tp>
      <tp>
        <v>-0.35100000000000003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9" s="19"/>
      </tp>
      <tp>
        <v>-0.35100000000000003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7" s="19"/>
      </tp>
      <tp>
        <v>-0.33600000000000002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3" s="19"/>
      </tp>
      <tp>
        <v>-0.35216671400000005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1" s="19"/>
      </tp>
      <tp>
        <v>-0.35000000000000003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8" s="19"/>
      </tp>
      <tp>
        <v>-0.28800000000000003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7" s="19"/>
      </tp>
      <tp>
        <v>-0.28800000000000003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7" s="19"/>
      </tp>
      <tp>
        <v>-0.35000000000000003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8" s="19"/>
      </tp>
      <tp>
        <v>-0.35216671400000005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1" s="19"/>
      </tp>
      <tp>
        <v>-0.33600000000000002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3" s="19"/>
      </tp>
      <tp>
        <v>-0.35100000000000003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7" s="19"/>
      </tp>
      <tp>
        <v>-0.35100000000000003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9" s="19"/>
      </tp>
      <tp>
        <v>-0.35090135700000002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0" s="19"/>
      </tp>
      <tp>
        <v>-0.35383140300000004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1" s="19"/>
      </tp>
      <tp>
        <v>0.34900000000000003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3" s="19"/>
      </tp>
      <tp>
        <v>-0.35514952600000005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7" s="19"/>
      </tp>
      <tp>
        <v>0.223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2" s="19"/>
      </tp>
      <tp>
        <v>-0.35530173400000004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6" s="19"/>
      </tp>
      <tp>
        <v>-0.35530173400000004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6" s="19"/>
      </tp>
      <tp>
        <v>0.223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2" s="19"/>
      </tp>
      <tp>
        <v>-0.35514952600000005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7" s="19"/>
      </tp>
      <tp>
        <v>0.34900000000000003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3" s="19"/>
      </tp>
      <tp>
        <v>-0.35100000000000003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6" s="19"/>
      </tp>
      <tp>
        <v>-0.35100000000000003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6" s="19"/>
      </tp>
      <tp>
        <v>1.1919999999999999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19"/>
      </tp>
      <tp>
        <v>1.1919999999999999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19"/>
      </tp>
      <tp>
        <v>1.2310000000000001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6" s="19"/>
      </tp>
      <tp>
        <v>1.2310000000000001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6" s="19"/>
      </tp>
      <tp>
        <v>1.0469999999999999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9" s="19"/>
      </tp>
      <tp>
        <v>1.0912421940000001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0" s="19"/>
      </tp>
      <tp>
        <v>0.99418868900000001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8" s="19"/>
      </tp>
      <tp>
        <v>1.1273501890000002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1" s="19"/>
      </tp>
      <tp>
        <v>1.1273501890000002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1" s="19"/>
      </tp>
      <tp>
        <v>0.99418868900000001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8" s="19"/>
      </tp>
      <tp>
        <v>1.0912421940000001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0" s="19"/>
      </tp>
      <tp>
        <v>1.0469999999999999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9" s="19"/>
      </tp>
      <tp>
        <v>0.77364216900000005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5" s="19"/>
      </tp>
      <tp>
        <v>0.85899999999999999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6" s="19"/>
      </tp>
      <tp>
        <v>1.1140000000000001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6" s="19"/>
      </tp>
      <tp>
        <v>1.2330000000000001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19"/>
      </tp>
      <tp>
        <v>0.67700000000000005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4" s="19"/>
      </tp>
      <tp>
        <v>0.93184720500000007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7" s="19"/>
      </tp>
      <tp>
        <v>0.93184720500000007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7" s="19"/>
      </tp>
      <tp>
        <v>1.1140000000000001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6" s="19"/>
      </tp>
      <tp>
        <v>1.2330000000000001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19"/>
      </tp>
      <tp>
        <v>0.67700000000000005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4" s="19"/>
      </tp>
      <tp>
        <v>0.85899999999999999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6" s="19"/>
      </tp>
      <tp>
        <v>0.77364216900000005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5" s="19"/>
      </tp>
      <tp>
        <v>1.1802096799999999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3" s="19"/>
      </tp>
      <tp>
        <v>1.1567971240000001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2" s="19"/>
      </tp>
      <tp>
        <v>1.1567971240000001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2" s="19"/>
      </tp>
      <tp>
        <v>1.1802096799999999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3" s="19"/>
      </tp>
      <tp>
        <v>1.2690000000000001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5" s="19"/>
      </tp>
      <tp>
        <v>1.2690000000000001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5" s="19"/>
      </tp>
      <tp>
        <v>1.2470000000000001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9" s="19"/>
      </tp>
      <tp>
        <v>1.251975327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0" s="19"/>
      </tp>
      <tp>
        <v>1.241288044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8" s="19"/>
      </tp>
      <tp>
        <v>1.256324862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1" s="19"/>
      </tp>
      <tp>
        <v>1.256324862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1" s="19"/>
      </tp>
      <tp>
        <v>1.241288044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8" s="19"/>
      </tp>
      <tp>
        <v>1.251975327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0" s="19"/>
      </tp>
      <tp>
        <v>1.2470000000000001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9" s="19"/>
      </tp>
      <tp>
        <v>1.2137062199999999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5" s="19"/>
      </tp>
      <tp>
        <v>1.225193186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6" s="19"/>
      </tp>
      <tp>
        <v>1.141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5" s="19"/>
      </tp>
      <tp>
        <v>1.1990000000000001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4" s="19"/>
      </tp>
      <tp>
        <v>1.2341208290000001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7" s="19"/>
      </tp>
      <tp>
        <v>1.2341208290000001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7" s="19"/>
      </tp>
      <tp>
        <v>1.141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5" s="19"/>
      </tp>
      <tp>
        <v>1.1990000000000001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4" s="19"/>
      </tp>
      <tp>
        <v>1.225193186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6" s="19"/>
      </tp>
      <tp>
        <v>1.2137062199999999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5" s="19"/>
      </tp>
      <tp>
        <v>1.263377846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3" s="19"/>
      </tp>
      <tp>
        <v>1.260187159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2" s="19"/>
      </tp>
      <tp>
        <v>1.260187159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2" s="19"/>
      </tp>
      <tp>
        <v>1.263377846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3" s="19"/>
      </tp>
      <tp>
        <v>1.3220000000000001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4" s="19"/>
      </tp>
      <tp>
        <v>1.3220000000000001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4" s="19"/>
      </tp>
      <tp>
        <v>1.2730000000000001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9" s="19"/>
      </tp>
      <tp>
        <v>1.273681909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0" s="19"/>
      </tp>
      <tp>
        <v>1.2722009760000001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8" s="19"/>
      </tp>
      <tp>
        <v>1.273956278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1" s="19"/>
      </tp>
      <tp>
        <v>1.273956278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1" s="19"/>
      </tp>
      <tp>
        <v>1.2722009760000001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8" s="19"/>
      </tp>
      <tp>
        <v>1.273681909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0" s="19"/>
      </tp>
      <tp>
        <v>1.2730000000000001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9" s="19"/>
      </tp>
      <tp>
        <v>1.268113391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5" s="19"/>
      </tp>
      <tp>
        <v>1.2698803599999999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6" s="19"/>
      </tp>
      <tp>
        <v>1.177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4" s="19"/>
      </tp>
      <tp>
        <v>1.161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19"/>
      </tp>
      <tp>
        <v>1.266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4" s="19"/>
      </tp>
      <tp>
        <v>1.271186535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7" s="19"/>
      </tp>
      <tp>
        <v>1.271186535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7" s="19"/>
      </tp>
      <tp>
        <v>1.177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4" s="19"/>
      </tp>
      <tp>
        <v>1.161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19"/>
      </tp>
      <tp>
        <v>1.266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4" s="19"/>
      </tp>
      <tp>
        <v>1.2698803599999999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6" s="19"/>
      </tp>
      <tp>
        <v>1.268113391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5" s="19"/>
      </tp>
      <tp>
        <v>1.2727745190000002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3" s="19"/>
      </tp>
      <tp>
        <v>1.2737147660000001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2" s="19"/>
      </tp>
      <tp>
        <v>1.2737147660000001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2" s="19"/>
      </tp>
      <tp>
        <v>1.2727745190000002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3" s="19"/>
      </tp>
      <tp>
        <v>1.3256374900000001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5" s="19"/>
      </tp>
      <tp>
        <v>1.3271155970000001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6" s="19"/>
      </tp>
      <tp>
        <v>1.3240000000000001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4" s="19"/>
      </tp>
      <tp>
        <v>1.328179596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7" s="19"/>
      </tp>
      <tp>
        <v>1.328179596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7" s="19"/>
      </tp>
      <tp>
        <v>1.3240000000000001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4" s="19"/>
      </tp>
      <tp>
        <v>1.3271155970000001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6" s="19"/>
      </tp>
      <tp>
        <v>1.3256374900000001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5" s="19"/>
      </tp>
      <tp>
        <v>1.329122119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9" s="19"/>
      </tp>
      <tp>
        <v>1.32896459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0" s="19"/>
      </tp>
      <tp>
        <v>1.3288681340000001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8" s="19"/>
      </tp>
      <tp>
        <v>1.3281772840000001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1" s="19"/>
      </tp>
      <tp>
        <v>1.3281772840000001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1" s="19"/>
      </tp>
      <tp>
        <v>1.3288681340000001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8" s="19"/>
      </tp>
      <tp>
        <v>1.32896459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0" s="19"/>
      </tp>
      <tp>
        <v>1.329122119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9" s="19"/>
      </tp>
      <tp>
        <v>1.3247308880000002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3" s="19"/>
      </tp>
      <tp>
        <v>1.3267849570000001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2" s="19"/>
      </tp>
      <tp>
        <v>1.3267849570000001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2" s="19"/>
      </tp>
      <tp>
        <v>1.3247308880000002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3" s="19"/>
      </tp>
      <tp>
        <v>1.173112895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9" s="19"/>
      </tp>
      <tp>
        <v>0.95900000000000007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19"/>
      </tp>
      <tp>
        <v>1.175421381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0" s="19"/>
      </tp>
      <tp>
        <v>1.0075479890000001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19"/>
      </tp>
      <tp>
        <v>1.1702033940000001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8" s="19"/>
      </tp>
      <tp>
        <v>0.90158819200000007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19"/>
      </tp>
      <tp>
        <v>1.1769676330000001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1" s="19"/>
      </tp>
      <tp>
        <v>1.047697597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19"/>
      </tp>
      <tp>
        <v>1.1769676330000001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1" s="19"/>
      </tp>
      <tp>
        <v>1.047697597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19"/>
      </tp>
      <tp>
        <v>1.1702033940000001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8" s="19"/>
      </tp>
      <tp>
        <v>0.90158819200000007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19"/>
      </tp>
      <tp>
        <v>1.175421381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0" s="19"/>
      </tp>
      <tp>
        <v>1.0075479890000001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19"/>
      </tp>
      <tp>
        <v>1.173112895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9" s="19"/>
      </tp>
      <tp>
        <v>0.95900000000000007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19"/>
      </tp>
      <tp>
        <v>1.158001775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5" s="19"/>
      </tp>
      <tp>
        <v>0.66468254800000004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19"/>
      </tp>
      <tp>
        <v>1.1626530820000001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6" s="19"/>
      </tp>
      <tp>
        <v>0.75600000000000001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19"/>
      </tp>
      <tp>
        <v>1.153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4" s="19"/>
      </tp>
      <tp>
        <v>0.56200000000000006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19"/>
      </tp>
      <tp>
        <v>1.2710000000000001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4" s="19"/>
      </tp>
      <tp>
        <v>1.1667050680000002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7" s="19"/>
      </tp>
      <tp>
        <v>0.83428385100000002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19"/>
      </tp>
      <tp>
        <v>1.1667050680000002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7" s="19"/>
      </tp>
      <tp>
        <v>0.83428385100000002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19"/>
      </tp>
      <tp>
        <v>1.153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4" s="19"/>
      </tp>
      <tp>
        <v>0.56200000000000006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19"/>
      </tp>
      <tp>
        <v>1.2710000000000001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4" s="19"/>
      </tp>
      <tp>
        <v>1.1626530820000001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6" s="19"/>
      </tp>
      <tp>
        <v>0.75600000000000001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19"/>
      </tp>
      <tp>
        <v>1.158001775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5" s="19"/>
      </tp>
      <tp>
        <v>0.66468254800000004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19"/>
      </tp>
      <tp>
        <v>1.1777793940000001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3" s="19"/>
      </tp>
      <tp>
        <v>1.1079011620000001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19"/>
      </tp>
      <tp>
        <v>1.177769388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2" s="19"/>
      </tp>
      <tp>
        <v>1.0809526550000002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19"/>
      </tp>
      <tp>
        <v>1.177769388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2" s="19"/>
      </tp>
      <tp>
        <v>1.0809526550000002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19"/>
      </tp>
      <tp>
        <v>1.1777793940000001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3" s="19"/>
      </tp>
      <tp>
        <v>1.1079011620000001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19"/>
      </tp>
      <tp>
        <v>1.2839330799999999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5" s="19"/>
      </tp>
      <tp>
        <v>1.2937647590000001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6" s="19"/>
      </tp>
      <tp>
        <v>1.2710000000000001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4" s="19"/>
      </tp>
      <tp>
        <v>1.301123121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7" s="19"/>
      </tp>
      <tp>
        <v>1.301123121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7" s="19"/>
      </tp>
      <tp>
        <v>1.2710000000000001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4" s="19"/>
      </tp>
      <tp>
        <v>1.2937647590000001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6" s="19"/>
      </tp>
      <tp>
        <v>1.2839330799999999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5" s="19"/>
      </tp>
      <tp>
        <v>1.3109999999999999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9" s="19"/>
      </tp>
      <tp>
        <v>1.3144970040000001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0" s="19"/>
      </tp>
      <tp>
        <v>1.3067740840000002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8" s="19"/>
      </tp>
      <tp>
        <v>1.3174357890000001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1" s="19"/>
      </tp>
      <tp>
        <v>1.3174357890000001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1" s="19"/>
      </tp>
      <tp>
        <v>1.3067740840000002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8" s="19"/>
      </tp>
      <tp>
        <v>1.3144970040000001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0" s="19"/>
      </tp>
      <tp>
        <v>1.3109999999999999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9" s="19"/>
      </tp>
      <tp>
        <v>1.3221538370000001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3" s="19"/>
      </tp>
      <tp>
        <v>1.3200284770000001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2" s="19"/>
      </tp>
      <tp>
        <v>1.3200284770000001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2" s="19"/>
      </tp>
      <tp>
        <v>1.3221538370000001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3" s="19"/>
      </tp>
      <tp>
        <v>1.119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9" s="19"/>
      </tp>
      <tp>
        <v>1.127360656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0" s="19"/>
      </tp>
      <tp>
        <v>1.109534459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8" s="19"/>
      </tp>
      <tp>
        <v>1.13479777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1" s="19"/>
      </tp>
      <tp>
        <v>1.13479777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1" s="19"/>
      </tp>
      <tp>
        <v>1.109534459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8" s="19"/>
      </tp>
      <tp>
        <v>1.127360656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0" s="19"/>
      </tp>
      <tp>
        <v>1.119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9" s="19"/>
      </tp>
      <tp>
        <v>1.068656053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5" s="19"/>
      </tp>
      <tp>
        <v>-0.36571684200000004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0" s="19"/>
      </tp>
      <tp>
        <v>1.0848613220000001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6" s="19"/>
      </tp>
      <tp>
        <v>1.0489999999999999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4" s="19"/>
      </tp>
      <tp>
        <v>1.2230000000000001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5" s="19"/>
      </tp>
      <tp>
        <v>1.098232519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7" s="19"/>
      </tp>
      <tp>
        <v>1.098232519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7" s="19"/>
      </tp>
      <tp>
        <v>1.0489999999999999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4" s="19"/>
      </tp>
      <tp>
        <v>1.2230000000000001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5" s="19"/>
      </tp>
      <tp>
        <v>1.0848613220000001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6" s="19"/>
      </tp>
      <tp>
        <v>-0.36571684200000004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0" s="19"/>
      </tp>
      <tp>
        <v>1.068656053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5" s="19"/>
      </tp>
      <tp>
        <v>1.147565634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3" s="19"/>
      </tp>
      <tp>
        <v>1.1415532050000001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2" s="19"/>
      </tp>
      <tp>
        <v>1.1415532050000001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2" s="19"/>
      </tp>
      <tp>
        <v>1.147565634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3" s="19"/>
      </tp>
      <tp>
        <v>0.8817182950000001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5" s="19"/>
      </tp>
      <tp>
        <v>-9.5770573000000012E-2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0" s="19"/>
      </tp>
      <tp>
        <v>-9.4100000000000003E-2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1" s="19"/>
      </tp>
      <tp>
        <v>0.96099999999999997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6" s="19"/>
      </tp>
      <tp>
        <v>0.79100000000000004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4" s="19"/>
      </tp>
      <tp>
        <v>-9.7082097000000006E-2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9" s="19"/>
      </tp>
      <tp>
        <v>1.028008799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7" s="19"/>
      </tp>
      <tp>
        <v>1.028008799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7" s="19"/>
      </tp>
      <tp>
        <v>-9.7082097000000006E-2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9" s="19"/>
      </tp>
      <tp>
        <v>0.79100000000000004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4" s="19"/>
      </tp>
      <tp>
        <v>0.96099999999999997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6" s="19"/>
      </tp>
      <tp>
        <v>-9.4100000000000003E-2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1" s="19"/>
      </tp>
      <tp>
        <v>-9.5770573000000012E-2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0" s="19"/>
      </tp>
      <tp>
        <v>0.8817182950000001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5" s="19"/>
      </tp>
      <tp>
        <v>1.133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9" s="19"/>
      </tp>
      <tp>
        <v>1.1732953620000002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0" s="19"/>
      </tp>
      <tp>
        <v>1.0849485730000001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8" s="19"/>
      </tp>
      <tp>
        <v>1.2061738640000002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1" s="19"/>
      </tp>
      <tp>
        <v>1.2061738640000002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1" s="19"/>
      </tp>
      <tp>
        <v>1.0849485730000001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8" s="19"/>
      </tp>
      <tp>
        <v>1.1732953620000002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0" s="19"/>
      </tp>
      <tp>
        <v>1.133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9" s="19"/>
      </tp>
      <tp>
        <v>1.254141296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3" s="19"/>
      </tp>
      <tp>
        <v>1.232950129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2" s="19"/>
      </tp>
      <tp>
        <v>1.232950129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2" s="19"/>
      </tp>
      <tp>
        <v>1.254141296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3" s="19"/>
      </tp>
      <tp>
        <v>0.86799999999999999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9" s="19"/>
      </tp>
      <tp>
        <v>1.232707424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19"/>
      </tp>
      <tp>
        <v>-0.37422875800000005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4" s="19"/>
      </tp>
      <tp>
        <v>0.91882162900000008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0" s="19"/>
      </tp>
      <tp>
        <v>1.234126638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19"/>
      </tp>
      <tp>
        <v>0.80810838700000009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8" s="19"/>
      </tp>
      <tp>
        <v>1.230771101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19"/>
      </tp>
      <tp>
        <v>0.96105547100000011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1" s="19"/>
      </tp>
      <tp>
        <v>1.234857608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19"/>
      </tp>
      <tp>
        <v>0.96105547100000011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1" s="19"/>
      </tp>
      <tp>
        <v>1.234857608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19"/>
      </tp>
      <tp>
        <v>0.80810838700000009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8" s="19"/>
      </tp>
      <tp>
        <v>1.230771101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19"/>
      </tp>
      <tp>
        <v>0.91882162900000008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0" s="19"/>
      </tp>
      <tp>
        <v>1.234126638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19"/>
      </tp>
      <tp>
        <v>-0.37422875800000005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4" s="19"/>
      </tp>
      <tp>
        <v>0.86799999999999999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9" s="19"/>
      </tp>
      <tp>
        <v>1.232707424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19"/>
      </tp>
      <tp>
        <v>0.56499510500000005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5" s="19"/>
      </tp>
      <tp>
        <v>1.2218275390000002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19"/>
      </tp>
      <tp>
        <v>-0.371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0" s="19"/>
      </tp>
      <tp>
        <v>-0.371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9" s="19"/>
      </tp>
      <tp>
        <v>0.65800000000000003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6" s="19"/>
      </tp>
      <tp>
        <v>1.2253425690000002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19"/>
      </tp>
      <tp>
        <v>0.46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4" s="19"/>
      </tp>
      <tp>
        <v>1.218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19"/>
      </tp>
      <tp>
        <v>1.1879999999999999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6" s="19"/>
      </tp>
      <tp>
        <v>-0.372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8" s="19"/>
      </tp>
      <tp>
        <v>0.73837159200000002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7" s="19"/>
      </tp>
      <tp>
        <v>1.2283053770000001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19"/>
      </tp>
      <tp>
        <v>0.73837159200000002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7" s="19"/>
      </tp>
      <tp>
        <v>1.2283053770000001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19"/>
      </tp>
      <tp>
        <v>-0.372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8" s="19"/>
      </tp>
      <tp>
        <v>0.46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4" s="19"/>
      </tp>
      <tp>
        <v>1.218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19"/>
      </tp>
      <tp>
        <v>1.1879999999999999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6" s="19"/>
      </tp>
      <tp>
        <v>0.65800000000000003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6" s="19"/>
      </tp>
      <tp>
        <v>1.2253425690000002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19"/>
      </tp>
      <tp>
        <v>-0.371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9" s="19"/>
      </tp>
      <tp>
        <v>-0.371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0" s="19"/>
      </tp>
      <tp>
        <v>0.56499510500000005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5" s="19"/>
      </tp>
      <tp>
        <v>1.2218275390000002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19"/>
      </tp>
      <tp>
        <v>1.0250728660000001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3" s="19"/>
      </tp>
      <tp>
        <v>1.2343097670000001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19"/>
      </tp>
      <tp>
        <v>0.99626621600000009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2" s="19"/>
      </tp>
      <tp>
        <v>1.2349318950000001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19"/>
      </tp>
      <tp>
        <v>-0.37099829400000001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7" s="19"/>
      </tp>
      <tp>
        <v>-0.37099829400000001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7" s="19"/>
      </tp>
      <tp>
        <v>0.99626621600000009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2" s="19"/>
      </tp>
      <tp>
        <v>1.2349318950000001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19"/>
      </tp>
      <tp>
        <v>1.0250728660000001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3" s="19"/>
      </tp>
      <tp>
        <v>1.2343097670000001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19"/>
      </tp>
      <tp>
        <v>1.1910000000000001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19"/>
      </tp>
      <tp>
        <v>1.1977744699999999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19"/>
      </tp>
      <tp>
        <v>1.1832203110000001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19"/>
      </tp>
      <tp>
        <v>1.2037272110000001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19"/>
      </tp>
      <tp>
        <v>1.2037272110000001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19"/>
      </tp>
      <tp>
        <v>1.1832203110000001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19"/>
      </tp>
      <tp>
        <v>1.1977744699999999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19"/>
      </tp>
      <tp>
        <v>1.1910000000000001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19"/>
      </tp>
      <tp>
        <v>1.1478016360000001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19"/>
      </tp>
      <tp>
        <v>1.1621513810000001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19"/>
      </tp>
      <tp>
        <v>1.1300000000000001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19"/>
      </tp>
      <tp>
        <v>1.173694169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19"/>
      </tp>
      <tp>
        <v>1.173694169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19"/>
      </tp>
      <tp>
        <v>1.1300000000000001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19"/>
      </tp>
      <tp>
        <v>1.1621513810000001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19"/>
      </tp>
      <tp>
        <v>1.1478016360000001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19"/>
      </tp>
      <tp>
        <v>1.213792137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19"/>
      </tp>
      <tp>
        <v>1.2090932170000002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19"/>
      </tp>
      <tp>
        <v>1.2090932170000002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19"/>
      </tp>
      <tp>
        <v>1.213792137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1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P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2" width="2.7109375" style="49" customWidth="1"/>
    <col min="13" max="13" width="14.140625" style="49" bestFit="1" customWidth="1"/>
    <col min="14" max="14" width="16.140625" style="49" bestFit="1" customWidth="1"/>
    <col min="15" max="15" width="19.28515625" style="49" bestFit="1" customWidth="1"/>
    <col min="16" max="16" width="2.7109375" style="49" customWidth="1"/>
    <col min="17" max="16384" width="9.140625" style="49"/>
  </cols>
  <sheetData>
    <row r="2" spans="1:16" x14ac:dyDescent="0.2">
      <c r="B2" s="83"/>
      <c r="C2" s="84"/>
      <c r="D2" s="84"/>
      <c r="E2" s="85"/>
      <c r="G2" s="83"/>
      <c r="H2" s="84"/>
      <c r="I2" s="84"/>
      <c r="J2" s="85"/>
      <c r="L2" s="83"/>
      <c r="M2" s="84"/>
      <c r="N2" s="84"/>
      <c r="O2" s="84"/>
      <c r="P2" s="85"/>
    </row>
    <row r="3" spans="1:16" ht="11.25" customHeight="1" x14ac:dyDescent="0.2">
      <c r="B3" s="88"/>
      <c r="C3" s="13" t="s">
        <v>22</v>
      </c>
      <c r="D3" s="82" t="s">
        <v>118</v>
      </c>
      <c r="E3" s="86"/>
      <c r="G3" s="88"/>
      <c r="H3" s="13" t="s">
        <v>29</v>
      </c>
      <c r="I3" s="14">
        <f>_xll.qlSettingsEvaluationDate(Trigger)</f>
        <v>42746</v>
      </c>
      <c r="J3" s="86"/>
      <c r="L3" s="90"/>
      <c r="M3" s="279" t="s">
        <v>187</v>
      </c>
      <c r="N3" s="291">
        <v>0</v>
      </c>
      <c r="O3" s="332" t="str">
        <f>_xll.qlSimpleQuote(M3,N3,,,Trigger)</f>
        <v>BumpValue#0006</v>
      </c>
      <c r="P3" s="86"/>
    </row>
    <row r="4" spans="1:16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30</v>
      </c>
      <c r="I4" s="16">
        <f>_xll.qlCalendarAdvance(Calendar,Evaluationdate,"2D","F",,Trigger)</f>
        <v>42748</v>
      </c>
      <c r="J4" s="86"/>
      <c r="L4" s="91"/>
      <c r="M4" s="331"/>
      <c r="N4" s="330"/>
      <c r="O4" s="330"/>
      <c r="P4" s="87"/>
    </row>
    <row r="5" spans="1:16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120</v>
      </c>
      <c r="J5" s="86"/>
    </row>
    <row r="6" spans="1:16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1"/>
      <c r="I6" s="171"/>
      <c r="J6" s="86"/>
      <c r="M6" s="393"/>
    </row>
    <row r="7" spans="1:16" ht="11.25" customHeight="1" x14ac:dyDescent="0.2">
      <c r="A7" s="51"/>
      <c r="B7" s="89"/>
      <c r="C7" s="15" t="s">
        <v>21</v>
      </c>
      <c r="D7" s="18" t="str">
        <f>Euribor!D4</f>
        <v>EURONMX#0006</v>
      </c>
      <c r="E7" s="86"/>
      <c r="G7" s="88"/>
      <c r="H7" s="13" t="s">
        <v>33</v>
      </c>
      <c r="I7" s="168" t="s">
        <v>119</v>
      </c>
      <c r="J7" s="86"/>
    </row>
    <row r="8" spans="1:16" ht="11.25" customHeight="1" x14ac:dyDescent="0.2">
      <c r="A8" s="51"/>
      <c r="B8" s="90"/>
      <c r="C8" s="19" t="s">
        <v>76</v>
      </c>
      <c r="D8" s="208" t="s">
        <v>77</v>
      </c>
      <c r="E8" s="86"/>
      <c r="G8" s="88"/>
      <c r="H8" s="15" t="s">
        <v>69</v>
      </c>
      <c r="I8" s="169" t="s">
        <v>70</v>
      </c>
      <c r="J8" s="86"/>
    </row>
    <row r="9" spans="1:16" ht="11.25" customHeight="1" x14ac:dyDescent="0.2">
      <c r="B9" s="90"/>
      <c r="C9" s="265" t="s">
        <v>166</v>
      </c>
      <c r="D9" s="266">
        <v>1E-4</v>
      </c>
      <c r="E9" s="86"/>
      <c r="G9" s="88"/>
      <c r="H9" s="19" t="s">
        <v>129</v>
      </c>
      <c r="I9" s="170" t="s">
        <v>128</v>
      </c>
      <c r="J9" s="86"/>
    </row>
    <row r="10" spans="1:16" ht="11.25" customHeight="1" x14ac:dyDescent="0.2">
      <c r="B10" s="90"/>
      <c r="C10" s="267" t="s">
        <v>167</v>
      </c>
      <c r="D10" s="383">
        <f>-100*RateTickValue</f>
        <v>-0.01</v>
      </c>
      <c r="E10" s="86"/>
      <c r="G10" s="90"/>
      <c r="H10" s="261"/>
      <c r="I10" s="262"/>
      <c r="J10" s="86"/>
    </row>
    <row r="11" spans="1:16" ht="11.25" customHeight="1" x14ac:dyDescent="0.2">
      <c r="B11" s="91"/>
      <c r="C11" s="263"/>
      <c r="D11" s="264"/>
      <c r="E11" s="87"/>
      <c r="G11" s="91"/>
      <c r="H11" s="92"/>
      <c r="I11" s="93"/>
      <c r="J11" s="87"/>
    </row>
    <row r="12" spans="1:16" ht="11.25" customHeight="1" x14ac:dyDescent="0.2"/>
    <row r="13" spans="1:16" x14ac:dyDescent="0.2">
      <c r="B13" s="38"/>
      <c r="C13" s="39"/>
      <c r="D13" s="39"/>
      <c r="E13" s="40"/>
      <c r="G13" s="38"/>
      <c r="H13" s="39"/>
      <c r="I13" s="39"/>
      <c r="J13" s="40"/>
    </row>
    <row r="14" spans="1:16" x14ac:dyDescent="0.2">
      <c r="B14" s="23"/>
      <c r="C14" s="22" t="s">
        <v>10</v>
      </c>
      <c r="D14" s="42" t="str">
        <f>_xll.qlPiecewiseYieldCurve($D$16,$D$17,Calendar,_xll.ohPack(RateHelpersON),,JumpQuotes_ON,JumpDates_ON,D18,D19,D20,Permanent,,ObjectOverwrite)</f>
        <v>_EURONMX#0030</v>
      </c>
      <c r="E14" s="43"/>
      <c r="G14" s="23"/>
      <c r="H14" s="22" t="s">
        <v>10</v>
      </c>
      <c r="I14" s="42" t="str">
        <f>_xll.qlPiecewiseYieldCurve(I16,I17,Calendar,_xll.ohPack(RateHelpers3M),,JumpQuotes_3M,JumpDates_3M,I18,I19,I20,Permanent,,ObjectOverwrite)</f>
        <v>_EUR3MMX#0024</v>
      </c>
      <c r="J14" s="43"/>
    </row>
    <row r="15" spans="1:16" x14ac:dyDescent="0.2">
      <c r="B15" s="23"/>
      <c r="C15" s="24" t="s">
        <v>11</v>
      </c>
      <c r="D15" s="44" t="str">
        <f>_xll.ohRangeRetrieveError(YieldCurve_ON)</f>
        <v/>
      </c>
      <c r="E15" s="43"/>
      <c r="G15" s="23"/>
      <c r="H15" s="24" t="s">
        <v>11</v>
      </c>
      <c r="I15" s="44" t="str">
        <f>_xll.ohRangeRetrieveError(YieldCurve_3M)</f>
        <v/>
      </c>
      <c r="J15" s="43"/>
    </row>
    <row r="16" spans="1:16" x14ac:dyDescent="0.2">
      <c r="B16" s="23"/>
      <c r="C16" s="22" t="s">
        <v>12</v>
      </c>
      <c r="D16" s="25" t="str">
        <f>"_"&amp;Currency&amp;"ON"&amp;"MX"</f>
        <v>_EURONMX</v>
      </c>
      <c r="E16" s="43"/>
      <c r="G16" s="23"/>
      <c r="H16" s="22" t="s">
        <v>12</v>
      </c>
      <c r="I16" s="25" t="str">
        <f>"_"&amp;Currency&amp;"3M"&amp;"MX"</f>
        <v>_EUR3MMX</v>
      </c>
      <c r="J16" s="43"/>
    </row>
    <row r="17" spans="1:10" x14ac:dyDescent="0.2">
      <c r="B17" s="23"/>
      <c r="C17" s="26" t="s">
        <v>13</v>
      </c>
      <c r="D17" s="27">
        <v>0</v>
      </c>
      <c r="E17" s="43"/>
      <c r="G17" s="23"/>
      <c r="H17" s="26" t="s">
        <v>13</v>
      </c>
      <c r="I17" s="27">
        <v>0</v>
      </c>
      <c r="J17" s="43"/>
    </row>
    <row r="18" spans="1:10" x14ac:dyDescent="0.2">
      <c r="B18" s="23"/>
      <c r="C18" s="26" t="s">
        <v>15</v>
      </c>
      <c r="D18" s="28"/>
      <c r="E18" s="43"/>
      <c r="G18" s="23"/>
      <c r="H18" s="26" t="s">
        <v>15</v>
      </c>
      <c r="I18" s="28"/>
      <c r="J18" s="43"/>
    </row>
    <row r="19" spans="1:10" x14ac:dyDescent="0.2">
      <c r="B19" s="23"/>
      <c r="C19" s="26" t="s">
        <v>16</v>
      </c>
      <c r="D19" s="29" t="s">
        <v>133</v>
      </c>
      <c r="E19" s="43"/>
      <c r="G19" s="23"/>
      <c r="H19" s="26" t="s">
        <v>16</v>
      </c>
      <c r="I19" s="29" t="s">
        <v>133</v>
      </c>
      <c r="J19" s="43"/>
    </row>
    <row r="20" spans="1:10" x14ac:dyDescent="0.2">
      <c r="B20" s="23"/>
      <c r="C20" s="24" t="s">
        <v>17</v>
      </c>
      <c r="D20" s="30" t="s">
        <v>191</v>
      </c>
      <c r="E20" s="43"/>
      <c r="G20" s="23"/>
      <c r="H20" s="24" t="s">
        <v>17</v>
      </c>
      <c r="I20" s="30" t="s">
        <v>191</v>
      </c>
      <c r="J20" s="43"/>
    </row>
    <row r="21" spans="1:10" x14ac:dyDescent="0.2">
      <c r="B21" s="23"/>
      <c r="C21" s="31"/>
      <c r="D21" s="31"/>
      <c r="E21" s="43"/>
      <c r="G21" s="23"/>
      <c r="H21" s="31"/>
      <c r="I21" s="31"/>
      <c r="J21" s="43"/>
    </row>
    <row r="22" spans="1:10" x14ac:dyDescent="0.2">
      <c r="B22" s="23"/>
      <c r="C22" s="32">
        <f>_xll.qlTermStructureReferenceDate(YieldCurve_ON)</f>
        <v>42746</v>
      </c>
      <c r="D22" s="33">
        <f>_xll.qlYieldTSDiscount(YieldCurve_ON,C22,,Trigger)</f>
        <v>1</v>
      </c>
      <c r="E22" s="43"/>
      <c r="G22" s="23"/>
      <c r="H22" s="32">
        <f>_xll.qlTermStructureReferenceDate(YieldCurve_3M)</f>
        <v>42746</v>
      </c>
      <c r="I22" s="33">
        <f>_xll.qlYieldTSDiscount(YieldCurve_3M,H22,,Trigger)</f>
        <v>1</v>
      </c>
      <c r="J22" s="43"/>
    </row>
    <row r="23" spans="1:10" x14ac:dyDescent="0.2">
      <c r="B23" s="23"/>
      <c r="C23" s="34">
        <f>_xll.qlTermStructureMaxDate(YieldCurve_ON,Trigger)</f>
        <v>64663</v>
      </c>
      <c r="D23" s="35">
        <f>_xll.qlYieldTSDiscount(YieldCurve_ON,C23,,Trigger)</f>
        <v>0.50939586291753425</v>
      </c>
      <c r="E23" s="43"/>
      <c r="G23" s="23"/>
      <c r="H23" s="34">
        <f>_xll.qlTermStructureMaxDate(YieldCurve_3M,Trigger)</f>
        <v>64663</v>
      </c>
      <c r="I23" s="35">
        <f>_xll.qlYieldTSDiscount(YieldCurve_3M,H23,,Trigger)</f>
        <v>0.50007814765405967</v>
      </c>
      <c r="J23" s="43"/>
    </row>
    <row r="24" spans="1:10" x14ac:dyDescent="0.2">
      <c r="B24" s="23"/>
      <c r="C24" s="34" t="str">
        <f>Euribor!D4</f>
        <v>EURONMX#0006</v>
      </c>
      <c r="D24" s="35" t="b">
        <f>_xll.qlRelinkableHandleLinkTo(C24,D14,Trigger)</f>
        <v>1</v>
      </c>
      <c r="E24" s="43"/>
      <c r="G24" s="23"/>
      <c r="H24" s="34" t="str">
        <f>Euribor!D9</f>
        <v>EUR3MMX#0006</v>
      </c>
      <c r="I24" s="35" t="b">
        <f>_xll.qlRelinkableHandleLinkTo(H24,I14,Trigger)</f>
        <v>1</v>
      </c>
      <c r="J24" s="43"/>
    </row>
    <row r="25" spans="1:10" x14ac:dyDescent="0.2">
      <c r="B25" s="23"/>
      <c r="C25" s="36" t="s">
        <v>117</v>
      </c>
      <c r="D25" s="37" t="b">
        <v>0</v>
      </c>
      <c r="E25" s="43"/>
      <c r="G25" s="23"/>
      <c r="H25" s="36" t="s">
        <v>117</v>
      </c>
      <c r="I25" s="37" t="b">
        <v>0</v>
      </c>
      <c r="J25" s="43"/>
    </row>
    <row r="26" spans="1:10" x14ac:dyDescent="0.2">
      <c r="B26" s="45"/>
      <c r="C26" s="46"/>
      <c r="D26" s="46"/>
      <c r="E26" s="47"/>
      <c r="G26" s="45"/>
      <c r="H26" s="46"/>
      <c r="I26" s="46"/>
      <c r="J26" s="47"/>
    </row>
    <row r="27" spans="1:10" x14ac:dyDescent="0.2">
      <c r="A27" s="51"/>
      <c r="B27" s="51"/>
      <c r="C27" s="51"/>
      <c r="D27" s="51"/>
      <c r="E27" s="51"/>
      <c r="G27" s="51"/>
      <c r="H27" s="51"/>
      <c r="I27" s="51"/>
      <c r="J27" s="51"/>
    </row>
    <row r="28" spans="1:10" x14ac:dyDescent="0.2">
      <c r="B28" s="38"/>
      <c r="C28" s="48"/>
      <c r="D28" s="48"/>
      <c r="E28" s="40"/>
      <c r="F28" s="50"/>
      <c r="G28" s="38"/>
      <c r="H28" s="39"/>
      <c r="I28" s="39"/>
      <c r="J28" s="40"/>
    </row>
    <row r="29" spans="1:10" x14ac:dyDescent="0.2">
      <c r="B29" s="41"/>
      <c r="C29" s="22" t="s">
        <v>10</v>
      </c>
      <c r="D29" s="42" t="str">
        <f>_xll.qlPiecewiseYieldCurve(D31,D32,Calendar,_xll.ohPack(RateHelpers6M),,JumpQuotes_6M,JumpDates_6M,D33,D34,D35,Permanent,,ObjectOverwrite)</f>
        <v>_EUR6MMX#0021</v>
      </c>
      <c r="E29" s="43"/>
      <c r="F29" s="50"/>
      <c r="G29" s="23"/>
      <c r="H29" s="22" t="s">
        <v>10</v>
      </c>
      <c r="I29" s="42" t="str">
        <f>_xll.qlPiecewiseYieldCurve(I31,I32,Calendar,_xll.ohPack(RateHelpers1M),,JumpQuotes_1M,JumpDates_1M,I33,I34,I35,Permanent,,ObjectOverwrite)</f>
        <v>_EUR1MMX#0016</v>
      </c>
      <c r="J29" s="43"/>
    </row>
    <row r="30" spans="1:10" x14ac:dyDescent="0.2">
      <c r="B30" s="41"/>
      <c r="C30" s="24" t="s">
        <v>11</v>
      </c>
      <c r="D30" s="44" t="str">
        <f>_xll.ohRangeRetrieveError(YieldCurve_6M)</f>
        <v/>
      </c>
      <c r="E30" s="43"/>
      <c r="F30" s="50"/>
      <c r="G30" s="23"/>
      <c r="H30" s="24" t="s">
        <v>11</v>
      </c>
      <c r="I30" s="44" t="str">
        <f>_xll.ohRangeRetrieveError(YieldCurve_1M)</f>
        <v/>
      </c>
      <c r="J30" s="43"/>
    </row>
    <row r="31" spans="1:10" x14ac:dyDescent="0.2">
      <c r="B31" s="23"/>
      <c r="C31" s="22" t="s">
        <v>12</v>
      </c>
      <c r="D31" s="25" t="str">
        <f>"_"&amp;Currency&amp;"6M"&amp;"MX"</f>
        <v>_EUR6MMX</v>
      </c>
      <c r="E31" s="43"/>
      <c r="F31" s="50"/>
      <c r="G31" s="23"/>
      <c r="H31" s="22" t="s">
        <v>12</v>
      </c>
      <c r="I31" s="25" t="str">
        <f>"_"&amp;Currency&amp;"1M"&amp;"MX"</f>
        <v>_EUR1MMX</v>
      </c>
      <c r="J31" s="43"/>
    </row>
    <row r="32" spans="1:10" x14ac:dyDescent="0.2">
      <c r="B32" s="23"/>
      <c r="C32" s="26" t="s">
        <v>13</v>
      </c>
      <c r="D32" s="27">
        <v>0</v>
      </c>
      <c r="E32" s="43"/>
      <c r="F32" s="50"/>
      <c r="G32" s="23"/>
      <c r="H32" s="26" t="s">
        <v>13</v>
      </c>
      <c r="I32" s="27">
        <v>0</v>
      </c>
      <c r="J32" s="43"/>
    </row>
    <row r="33" spans="2:10" x14ac:dyDescent="0.2">
      <c r="B33" s="23"/>
      <c r="C33" s="26" t="s">
        <v>15</v>
      </c>
      <c r="D33" s="28"/>
      <c r="E33" s="43"/>
      <c r="F33" s="50"/>
      <c r="G33" s="23"/>
      <c r="H33" s="26" t="s">
        <v>15</v>
      </c>
      <c r="I33" s="28"/>
      <c r="J33" s="43"/>
    </row>
    <row r="34" spans="2:10" x14ac:dyDescent="0.2">
      <c r="B34" s="23"/>
      <c r="C34" s="26" t="s">
        <v>16</v>
      </c>
      <c r="D34" s="29" t="s">
        <v>133</v>
      </c>
      <c r="E34" s="43"/>
      <c r="F34" s="50"/>
      <c r="G34" s="23"/>
      <c r="H34" s="26" t="s">
        <v>16</v>
      </c>
      <c r="I34" s="29" t="s">
        <v>133</v>
      </c>
      <c r="J34" s="43"/>
    </row>
    <row r="35" spans="2:10" x14ac:dyDescent="0.2">
      <c r="B35" s="23"/>
      <c r="C35" s="24" t="s">
        <v>17</v>
      </c>
      <c r="D35" s="30" t="s">
        <v>191</v>
      </c>
      <c r="E35" s="43"/>
      <c r="F35" s="50"/>
      <c r="G35" s="23"/>
      <c r="H35" s="24" t="s">
        <v>17</v>
      </c>
      <c r="I35" s="30" t="s">
        <v>191</v>
      </c>
      <c r="J35" s="43"/>
    </row>
    <row r="36" spans="2:10" x14ac:dyDescent="0.2">
      <c r="B36" s="23"/>
      <c r="C36" s="31"/>
      <c r="D36" s="31"/>
      <c r="E36" s="43"/>
      <c r="F36" s="50"/>
      <c r="G36" s="23"/>
      <c r="H36" s="31"/>
      <c r="I36" s="31"/>
      <c r="J36" s="43"/>
    </row>
    <row r="37" spans="2:10" x14ac:dyDescent="0.2">
      <c r="B37" s="23"/>
      <c r="C37" s="32">
        <f>_xll.qlTermStructureReferenceDate(YieldCurve_6M)</f>
        <v>42746</v>
      </c>
      <c r="D37" s="33">
        <f>_xll.qlYieldTSDiscount(YieldCurve_6M,C37,,Trigger)</f>
        <v>1</v>
      </c>
      <c r="E37" s="43"/>
      <c r="F37" s="50"/>
      <c r="G37" s="23"/>
      <c r="H37" s="32">
        <f>_xll.qlTermStructureReferenceDate(YieldCurve_1M)</f>
        <v>42746</v>
      </c>
      <c r="I37" s="33">
        <f>_xll.qlYieldTSDiscount(YieldCurve_1M,H37,,Trigger)</f>
        <v>1</v>
      </c>
      <c r="J37" s="43"/>
    </row>
    <row r="38" spans="2:10" x14ac:dyDescent="0.2">
      <c r="B38" s="23"/>
      <c r="C38" s="34">
        <f>_xll.qlTermStructureMaxDate(YieldCurve_6M,Trigger)</f>
        <v>64663</v>
      </c>
      <c r="D38" s="35">
        <f>_xll.qlYieldTSDiscount(YieldCurve_6M,C38,,Trigger)</f>
        <v>0.49444605757191068</v>
      </c>
      <c r="E38" s="43"/>
      <c r="F38" s="50"/>
      <c r="G38" s="23"/>
      <c r="H38" s="34">
        <f>_xll.qlTermStructureMaxDate(YieldCurve_1M,Trigger)</f>
        <v>64663</v>
      </c>
      <c r="I38" s="35">
        <f>_xll.qlYieldTSDiscount(YieldCurve_1M,H38,,Trigger)</f>
        <v>0.51236075497663847</v>
      </c>
      <c r="J38" s="43"/>
    </row>
    <row r="39" spans="2:10" x14ac:dyDescent="0.2">
      <c r="B39" s="23"/>
      <c r="C39" s="34" t="str">
        <f>Euribor!D10</f>
        <v>EUR6MMX#0006</v>
      </c>
      <c r="D39" s="35" t="b">
        <f>_xll.qlRelinkableHandleLinkTo(C39,D29,Trigger)</f>
        <v>1</v>
      </c>
      <c r="E39" s="43"/>
      <c r="F39" s="50"/>
      <c r="G39" s="23"/>
      <c r="H39" s="34" t="str">
        <f>Euribor!D7</f>
        <v>EUR1MMX#0006</v>
      </c>
      <c r="I39" s="35" t="b">
        <f>_xll.qlRelinkableHandleLinkTo(H39,I29,Trigger)</f>
        <v>1</v>
      </c>
      <c r="J39" s="43"/>
    </row>
    <row r="40" spans="2:10" x14ac:dyDescent="0.2">
      <c r="B40" s="23"/>
      <c r="C40" s="36" t="s">
        <v>117</v>
      </c>
      <c r="D40" s="37" t="b">
        <v>0</v>
      </c>
      <c r="E40" s="43"/>
      <c r="F40" s="50"/>
      <c r="G40" s="23"/>
      <c r="H40" s="36" t="s">
        <v>117</v>
      </c>
      <c r="I40" s="37" t="b">
        <v>0</v>
      </c>
      <c r="J40" s="43"/>
    </row>
    <row r="41" spans="2:10" x14ac:dyDescent="0.2">
      <c r="B41" s="45"/>
      <c r="C41" s="46"/>
      <c r="D41" s="46"/>
      <c r="E41" s="47"/>
      <c r="F41" s="50"/>
      <c r="G41" s="45"/>
      <c r="H41" s="46"/>
      <c r="I41" s="46"/>
      <c r="J41" s="47"/>
    </row>
    <row r="42" spans="2:10" x14ac:dyDescent="0.2">
      <c r="F42" s="50"/>
    </row>
    <row r="43" spans="2:10" x14ac:dyDescent="0.2">
      <c r="B43" s="38"/>
      <c r="C43" s="39"/>
      <c r="D43" s="39"/>
      <c r="E43" s="40"/>
      <c r="F43" s="50"/>
    </row>
    <row r="44" spans="2:10" x14ac:dyDescent="0.2">
      <c r="B44" s="23"/>
      <c r="C44" s="22" t="s">
        <v>10</v>
      </c>
      <c r="D44" s="42" t="str">
        <f>_xll.qlPiecewiseYieldCurve(D46,D47,Calendar,_xll.ohPack(RateHelpers1Y),,,,D48,D49,D50,Permanent,,ObjectOverwrite)</f>
        <v>_EUR1YMX#0014</v>
      </c>
      <c r="E44" s="43"/>
      <c r="F44" s="50"/>
    </row>
    <row r="45" spans="2:10" x14ac:dyDescent="0.2">
      <c r="B45" s="23"/>
      <c r="C45" s="24" t="s">
        <v>11</v>
      </c>
      <c r="D45" s="44" t="str">
        <f>_xll.ohRangeRetrieveError(YieldCurve_1Y)</f>
        <v/>
      </c>
      <c r="E45" s="43"/>
    </row>
    <row r="46" spans="2:10" x14ac:dyDescent="0.2">
      <c r="B46" s="23"/>
      <c r="C46" s="22" t="s">
        <v>12</v>
      </c>
      <c r="D46" s="25" t="str">
        <f>"_"&amp;Currency&amp;"1Y"&amp;"MX"</f>
        <v>_EUR1YMX</v>
      </c>
      <c r="E46" s="43"/>
    </row>
    <row r="47" spans="2:10" x14ac:dyDescent="0.2">
      <c r="B47" s="23"/>
      <c r="C47" s="26" t="s">
        <v>13</v>
      </c>
      <c r="D47" s="27">
        <v>0</v>
      </c>
      <c r="E47" s="43"/>
    </row>
    <row r="48" spans="2:10" x14ac:dyDescent="0.2">
      <c r="B48" s="23"/>
      <c r="C48" s="26" t="s">
        <v>15</v>
      </c>
      <c r="D48" s="28"/>
      <c r="E48" s="43"/>
    </row>
    <row r="49" spans="2:5" x14ac:dyDescent="0.2">
      <c r="B49" s="23"/>
      <c r="C49" s="26" t="s">
        <v>16</v>
      </c>
      <c r="D49" s="29" t="s">
        <v>133</v>
      </c>
      <c r="E49" s="43"/>
    </row>
    <row r="50" spans="2:5" x14ac:dyDescent="0.2">
      <c r="B50" s="23"/>
      <c r="C50" s="24" t="s">
        <v>17</v>
      </c>
      <c r="D50" s="30" t="s">
        <v>191</v>
      </c>
      <c r="E50" s="43"/>
    </row>
    <row r="51" spans="2:5" x14ac:dyDescent="0.2">
      <c r="B51" s="23"/>
      <c r="C51" s="31"/>
      <c r="D51" s="31"/>
      <c r="E51" s="43"/>
    </row>
    <row r="52" spans="2:5" x14ac:dyDescent="0.2">
      <c r="B52" s="23"/>
      <c r="C52" s="32">
        <f>_xll.qlTermStructureReferenceDate(YieldCurve_1Y)</f>
        <v>42746</v>
      </c>
      <c r="D52" s="33">
        <f>_xll.qlYieldTSDiscount(YieldCurve_1Y,C52,,Trigger)</f>
        <v>1</v>
      </c>
      <c r="E52" s="43"/>
    </row>
    <row r="53" spans="2:5" x14ac:dyDescent="0.2">
      <c r="B53" s="23"/>
      <c r="C53" s="34">
        <f>_xll.qlTermStructureMaxDate(YieldCurve_1Y,Trigger)</f>
        <v>64663</v>
      </c>
      <c r="D53" s="35">
        <f>_xll.qlYieldTSDiscount(YieldCurve_1Y,C53,,Trigger)</f>
        <v>0.48372155441201214</v>
      </c>
      <c r="E53" s="43"/>
    </row>
    <row r="54" spans="2:5" x14ac:dyDescent="0.2">
      <c r="B54" s="23"/>
      <c r="C54" s="34" t="str">
        <f>Euribor!D12</f>
        <v>EUR1YMX#0006</v>
      </c>
      <c r="D54" s="35" t="b">
        <f>_xll.qlRelinkableHandleLinkTo(C54,D44,Trigger)</f>
        <v>1</v>
      </c>
      <c r="E54" s="43"/>
    </row>
    <row r="55" spans="2:5" x14ac:dyDescent="0.2">
      <c r="B55" s="23"/>
      <c r="C55" s="36" t="s">
        <v>117</v>
      </c>
      <c r="D55" s="37" t="b">
        <v>0</v>
      </c>
      <c r="E55" s="43"/>
    </row>
    <row r="56" spans="2:5" x14ac:dyDescent="0.2">
      <c r="B56" s="45"/>
      <c r="C56" s="46"/>
      <c r="D56" s="46"/>
      <c r="E56" s="47"/>
    </row>
  </sheetData>
  <dataValidations count="5">
    <dataValidation type="list" allowBlank="1" showInputMessage="1" showErrorMessage="1" sqref="I34 D19 D34 I19 D49">
      <formula1>"Discount,ZeroYield,ForwardRate"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0 D35 I20 I35 D50">
      <formula1>"Linear,BackwardFlat,ForwardFlat,Linear,LogLinear,CubicNaturalSpline,LogCubicNaturalSpline,MonotonicCubicNaturalSpline,MonotonicLogCubicNaturalSpline,FritschButlandCubic,FritschButlandLogCubic,KrugerCubic,KrugerLogCubic,HarmonicCubic,HarmonicLogCubic"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K93"/>
  <sheetViews>
    <sheetView showGridLines="0" topLeftCell="J1" zoomScaleNormal="100" workbookViewId="0">
      <selection activeCell="AB1" sqref="AB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5.140625" style="55" hidden="1" customWidth="1" outlineLevel="1"/>
    <col min="6" max="6" width="18.28515625" style="49" hidden="1" customWidth="1" outlineLevel="1"/>
    <col min="7" max="7" width="25.5703125" style="49" hidden="1" customWidth="1" outlineLevel="1"/>
    <col min="8" max="8" width="9" style="49" hidden="1" customWidth="1" outlineLevel="1"/>
    <col min="9" max="9" width="15.140625" style="49" hidden="1" customWidth="1" outlineLevel="1"/>
    <col min="10" max="10" width="2.7109375" style="49" customWidth="1" collapsed="1"/>
    <col min="11" max="11" width="6" style="49" hidden="1" customWidth="1" outlineLevel="1"/>
    <col min="12" max="12" width="15.140625" style="104" hidden="1" customWidth="1" outlineLevel="1"/>
    <col min="13" max="13" width="21.42578125" style="104" hidden="1" customWidth="1" outlineLevel="1"/>
    <col min="14" max="14" width="12" style="104" hidden="1" customWidth="1" outlineLevel="1"/>
    <col min="15" max="15" width="7.85546875" style="104" hidden="1" customWidth="1" outlineLevel="1"/>
    <col min="16" max="16" width="9" style="104" hidden="1" customWidth="1" outlineLevel="1"/>
    <col min="17" max="17" width="5.85546875" style="104" hidden="1" customWidth="1" outlineLevel="1"/>
    <col min="18" max="19" width="10.7109375" style="104" hidden="1" customWidth="1" outlineLevel="1"/>
    <col min="20" max="20" width="2.7109375" style="51" hidden="1" customWidth="1" outlineLevel="1"/>
    <col min="21" max="21" width="6" style="49" customWidth="1" collapsed="1"/>
    <col min="22" max="22" width="10.140625" style="49" hidden="1" customWidth="1" outlineLevel="1"/>
    <col min="23" max="23" width="24.7109375" style="49" customWidth="1" collapsed="1"/>
    <col min="24" max="25" width="9.7109375" style="49" customWidth="1"/>
    <col min="26" max="27" width="17.28515625" style="49" bestFit="1" customWidth="1"/>
    <col min="28" max="28" width="10" style="49" bestFit="1" customWidth="1"/>
    <col min="29" max="29" width="2.7109375" style="49" customWidth="1"/>
    <col min="30" max="30" width="3" style="49" bestFit="1" customWidth="1"/>
    <col min="31" max="31" width="24.42578125" style="49" bestFit="1" customWidth="1"/>
    <col min="32" max="32" width="24.42578125" style="49" hidden="1" customWidth="1" outlineLevel="1"/>
    <col min="33" max="33" width="7" style="49" hidden="1" customWidth="1" outlineLevel="1"/>
    <col min="34" max="34" width="11.7109375" style="49" hidden="1" customWidth="1" outlineLevel="1"/>
    <col min="35" max="35" width="9" style="49" bestFit="1" customWidth="1" collapsed="1"/>
    <col min="36" max="36" width="10" style="49" bestFit="1" customWidth="1"/>
    <col min="37" max="38" width="24.42578125" style="49" bestFit="1" customWidth="1"/>
    <col min="39" max="39" width="10" style="49" bestFit="1" customWidth="1"/>
    <col min="40" max="40" width="24.42578125" style="49" bestFit="1" customWidth="1"/>
    <col min="41" max="16384" width="9.140625" style="49"/>
  </cols>
  <sheetData>
    <row r="1" spans="1:37" ht="18" customHeight="1" x14ac:dyDescent="0.2">
      <c r="E1" s="53" t="str">
        <f>Euribor!E4</f>
        <v>EoniaMX#0006</v>
      </c>
      <c r="K1" s="70" t="s">
        <v>25</v>
      </c>
      <c r="L1" s="107"/>
      <c r="M1" s="107"/>
      <c r="N1" s="107"/>
      <c r="O1" s="107"/>
      <c r="P1" s="107"/>
      <c r="Q1" s="107"/>
      <c r="R1" s="107"/>
      <c r="S1" s="97"/>
      <c r="T1" s="94"/>
      <c r="U1" s="78" t="str">
        <f>Currency&amp;"OIS"</f>
        <v>EUROIS</v>
      </c>
      <c r="V1" s="69"/>
      <c r="W1" s="69"/>
      <c r="X1" s="72"/>
      <c r="Y1" s="72"/>
      <c r="Z1" s="69"/>
      <c r="AA1" s="69"/>
      <c r="AB1" s="76" t="s">
        <v>134</v>
      </c>
    </row>
    <row r="2" spans="1:37" ht="21.75" customHeight="1" x14ac:dyDescent="0.2">
      <c r="A2" s="68" t="s">
        <v>9</v>
      </c>
      <c r="B2" s="68" t="s">
        <v>28</v>
      </c>
      <c r="C2" s="68" t="s">
        <v>75</v>
      </c>
      <c r="D2" s="68"/>
      <c r="E2" s="68" t="s">
        <v>4</v>
      </c>
      <c r="F2" s="68" t="s">
        <v>1</v>
      </c>
      <c r="G2" s="68" t="s">
        <v>171</v>
      </c>
      <c r="H2" s="68"/>
      <c r="I2" s="68" t="s">
        <v>25</v>
      </c>
      <c r="K2" s="77" t="s">
        <v>9</v>
      </c>
      <c r="L2" s="77" t="s">
        <v>25</v>
      </c>
      <c r="M2" s="77" t="s">
        <v>79</v>
      </c>
      <c r="N2" s="77" t="s">
        <v>82</v>
      </c>
      <c r="O2" s="77" t="s">
        <v>80</v>
      </c>
      <c r="P2" s="77" t="s">
        <v>81</v>
      </c>
      <c r="Q2" s="77" t="s">
        <v>83</v>
      </c>
      <c r="R2" s="77" t="s">
        <v>23</v>
      </c>
      <c r="S2" s="77" t="s">
        <v>76</v>
      </c>
      <c r="T2" s="94"/>
      <c r="U2" s="77" t="s">
        <v>9</v>
      </c>
      <c r="V2" s="77" t="s">
        <v>25</v>
      </c>
      <c r="W2" s="77" t="s">
        <v>79</v>
      </c>
      <c r="X2" s="79" t="s">
        <v>24</v>
      </c>
      <c r="Y2" s="79" t="s">
        <v>84</v>
      </c>
      <c r="Z2" s="77" t="s">
        <v>23</v>
      </c>
      <c r="AA2" s="77" t="s">
        <v>76</v>
      </c>
      <c r="AB2" s="207">
        <f t="array" ref="AB2:AB91">_xll.qlPiecewiseYieldCurveData(YieldCurve_ON,Trigger)</f>
        <v>-3.7514081669582713E-3</v>
      </c>
      <c r="AE2" s="199" t="s">
        <v>85</v>
      </c>
      <c r="AF2" s="200"/>
      <c r="AG2" s="200"/>
      <c r="AH2" s="200"/>
      <c r="AI2" s="201"/>
    </row>
    <row r="3" spans="1:37" ht="11.25" customHeight="1" x14ac:dyDescent="0.2">
      <c r="A3" s="209" t="s">
        <v>142</v>
      </c>
      <c r="B3" s="210" t="str">
        <f>Quote!C4</f>
        <v>ON</v>
      </c>
      <c r="C3" s="211" t="s">
        <v>6</v>
      </c>
      <c r="D3" s="212"/>
      <c r="E3" s="213" t="str">
        <f>E1</f>
        <v>EoniaMX#0006</v>
      </c>
      <c r="F3" s="214" t="str">
        <f>IF(ISBLANK(Quote!E4),"",Quote!E4)</f>
        <v>EURONDPON=#0006</v>
      </c>
      <c r="G3" s="214" t="str">
        <f>_xll.qlCompositeQuote(Currency&amp;"ON"&amp;A3&amp;B3&amp;"_Shifted",F3,BumpValue,"+",Permanent,Trigger,ObjectOverwrite)</f>
        <v>EURONDPON_Shifted#0006</v>
      </c>
      <c r="H3" s="212"/>
      <c r="I3" s="215" t="str">
        <f>_xll.qlDepositRateHelper(,IF(Sensitivity,G3,F3),E3,Permanent,Trigger,ObjectOverwrite)</f>
        <v>obj_002f0#0006</v>
      </c>
      <c r="J3" s="52"/>
      <c r="K3" s="10" t="str">
        <f>A3</f>
        <v>DP</v>
      </c>
      <c r="L3" s="95" t="str">
        <f>IF(ISBLANK(I3),"--",I3)</f>
        <v>obj_002f0#0006</v>
      </c>
      <c r="M3" s="146" t="str">
        <f>IFERROR(_xll.qlRateHelperQuoteName(L3,Trigger),"--")</f>
        <v>EURONDPON_Shifted</v>
      </c>
      <c r="N3" s="99">
        <f>IFERROR(_xll.qlRateHelperQuoteValue($L3,Trigger),"--")</f>
        <v>-3.7000000000000002E-3</v>
      </c>
      <c r="O3" s="98" t="b">
        <v>1</v>
      </c>
      <c r="P3" s="95">
        <v>70</v>
      </c>
      <c r="Q3" s="95">
        <v>1</v>
      </c>
      <c r="R3" s="100">
        <f>IFERROR(_xll.qlRateHelperEarliestDate(L3,Trigger),"--")</f>
        <v>42746</v>
      </c>
      <c r="S3" s="100">
        <f>IFERROR(_xll.qlRateHelperPillarDate(L3,Trigger),"--")</f>
        <v>42747</v>
      </c>
      <c r="U3" s="4" t="str">
        <f t="shared" ref="U3:U29" si="0">IFERROR(INDEX($K$3:$K$91,MATCH(W3,$M$3:$M$91,0),1),"")</f>
        <v>DP</v>
      </c>
      <c r="V3" s="4" t="str">
        <f t="array" ref="V3:V91">_xll.qlRateHelperSelection(_xll.ohFilter(RateHelpers,IncludeFlag),_xll.ohFilter(Priority,IncludeFlag),AI3,AI4,AI5,AI6,_xll.ohFilter(MinDistance,IncludeFlag),Trigger)</f>
        <v>obj_002f0</v>
      </c>
      <c r="W3" s="4" t="str">
        <f>IFERROR(_xll.qlRateHelperQuoteName(V3,Trigger),"")</f>
        <v>EURONDPON_Shifted</v>
      </c>
      <c r="X3" s="73">
        <f>IFERROR(_xll.qlRateHelperRate(V3,Trigger),"")</f>
        <v>-3.7000000000000002E-3</v>
      </c>
      <c r="Y3" s="105" t="str">
        <f>IF(ISERROR(_xll.qlSwapRateHelperSpread($V3)),IF(ISERROR(_xll.qlFuturesRateHelperConvexityAdjustment($V3)),"",_xll.qlFuturesRateHelperConvexityAdjustment($V3)),_xll.qlSwapRateHelperSpread($V3))</f>
        <v/>
      </c>
      <c r="Z3" s="5">
        <f>IFERROR(_xll.qlRateHelperEarliestDate(V3,Trigger),"")</f>
        <v>42746</v>
      </c>
      <c r="AA3" s="5">
        <f>IFERROR(_xll.qlRateHelperPillarDate(V3,Trigger),"")</f>
        <v>42747</v>
      </c>
      <c r="AB3" s="73">
        <v>-3.7514081669582713E-3</v>
      </c>
      <c r="AE3" s="108" t="s">
        <v>86</v>
      </c>
      <c r="AI3" s="203">
        <v>0</v>
      </c>
    </row>
    <row r="4" spans="1:37" ht="11.25" customHeight="1" x14ac:dyDescent="0.2">
      <c r="A4" s="62" t="s">
        <v>142</v>
      </c>
      <c r="B4" s="63" t="str">
        <f>Quote!C5</f>
        <v>TN</v>
      </c>
      <c r="C4" s="65" t="s">
        <v>73</v>
      </c>
      <c r="D4" s="125"/>
      <c r="E4" s="64" t="str">
        <f>E1</f>
        <v>EoniaMX#0006</v>
      </c>
      <c r="F4" s="66" t="str">
        <f>IF(ISBLANK(Quote!E5),"",Quote!E5)</f>
        <v>EURONDPTN=#0006</v>
      </c>
      <c r="G4" s="66" t="str">
        <f>_xll.qlCompositeQuote(Currency&amp;"ON"&amp;A4&amp;B4&amp;"_Shifted",F4,BumpValue,"+",Permanent,Trigger,ObjectOverwrite)</f>
        <v>EURONDPTN_Shifted#0006</v>
      </c>
      <c r="H4" s="125"/>
      <c r="I4" s="67" t="str">
        <f>_xll.qlFraRateHelper(,IF(Sensitivity,G4,F4),C4,E4,PillarDate,,Permanent,Trigger,ObjectOverwrite)</f>
        <v>obj_002a7#0006</v>
      </c>
      <c r="J4" s="51"/>
      <c r="K4" s="10" t="str">
        <f t="shared" ref="K4:K20" si="1">A4</f>
        <v>DP</v>
      </c>
      <c r="L4" s="95" t="str">
        <f t="shared" ref="L4:L20" si="2">IF(ISBLANK(I4),"--",I4)</f>
        <v>obj_002a7#0006</v>
      </c>
      <c r="M4" s="146" t="str">
        <f>IFERROR(_xll.qlRateHelperQuoteName(L4,Trigger),"--")</f>
        <v>EURONDPTN_Shifted</v>
      </c>
      <c r="N4" s="99">
        <f>IFERROR(_xll.qlRateHelperQuoteValue($L4,Trigger),"--")</f>
        <v>-3.7000000000000002E-3</v>
      </c>
      <c r="O4" s="98" t="b">
        <v>1</v>
      </c>
      <c r="P4" s="95">
        <v>70</v>
      </c>
      <c r="Q4" s="95">
        <v>1</v>
      </c>
      <c r="R4" s="100">
        <f>IFERROR(_xll.qlRateHelperEarliestDate(L4,Trigger),"--")</f>
        <v>42747</v>
      </c>
      <c r="S4" s="100">
        <f>IFERROR(_xll.qlRateHelperPillarDate(L4,Trigger),"--")</f>
        <v>42748</v>
      </c>
      <c r="U4" s="4" t="str">
        <f t="shared" si="0"/>
        <v>DP</v>
      </c>
      <c r="V4" s="4" t="str">
        <v>obj_002a7</v>
      </c>
      <c r="W4" s="4" t="str">
        <f>IFERROR(_xll.qlRateHelperQuoteName(V4,Trigger),"")</f>
        <v>EURONDPTN_Shifted</v>
      </c>
      <c r="X4" s="73">
        <f>IFERROR(_xll.qlRateHelperRate(V4,Trigger),"")</f>
        <v>-3.7000000000000002E-3</v>
      </c>
      <c r="Y4" s="105" t="str">
        <f>IF(ISERROR(_xll.qlSwapRateHelperSpread($V4)),IF(ISERROR(_xll.qlFuturesRateHelperConvexityAdjustment($V4)),"",_xll.qlFuturesRateHelperConvexityAdjustment($V4)),_xll.qlSwapRateHelperSpread($V4))</f>
        <v/>
      </c>
      <c r="Z4" s="5">
        <f>IFERROR(_xll.qlRateHelperEarliestDate(V4,Trigger),"")</f>
        <v>42747</v>
      </c>
      <c r="AA4" s="5">
        <f>IFERROR(_xll.qlRateHelperPillarDate(V4,Trigger),"")</f>
        <v>42748</v>
      </c>
      <c r="AB4" s="73">
        <v>-3.7514081669741163E-3</v>
      </c>
      <c r="AE4" s="108" t="s">
        <v>87</v>
      </c>
      <c r="AI4" s="109">
        <v>0</v>
      </c>
    </row>
    <row r="5" spans="1:37" ht="11.25" customHeight="1" x14ac:dyDescent="0.2">
      <c r="A5" s="221" t="s">
        <v>142</v>
      </c>
      <c r="B5" s="280" t="str">
        <f>Quote!C6</f>
        <v>SN</v>
      </c>
      <c r="C5" s="281" t="s">
        <v>74</v>
      </c>
      <c r="D5" s="278"/>
      <c r="E5" s="223" t="str">
        <f>E1</f>
        <v>EoniaMX#0006</v>
      </c>
      <c r="F5" s="282" t="str">
        <f>IF(ISBLANK(Quote!E6),"",Quote!E6)</f>
        <v>EURONDPSN=#0006</v>
      </c>
      <c r="G5" s="282" t="str">
        <f>_xll.qlCompositeQuote(Currency&amp;"ON"&amp;A5&amp;B5&amp;"_Shifted",F5,BumpValue,"+",Permanent,Trigger,ObjectOverwrite)</f>
        <v>EURONDPSN_Shifted#0006</v>
      </c>
      <c r="H5" s="278"/>
      <c r="I5" s="225" t="str">
        <f>_xll.qlFraRateHelper(,IF(Sensitivity,G5,F5),C5,E5,PillarDate,,Permanent,Trigger,ObjectOverwrite)</f>
        <v>obj_002df#0006</v>
      </c>
      <c r="J5" s="51"/>
      <c r="K5" s="10" t="str">
        <f t="shared" si="1"/>
        <v>DP</v>
      </c>
      <c r="L5" s="95" t="str">
        <f t="shared" si="2"/>
        <v>obj_002df#0006</v>
      </c>
      <c r="M5" s="146" t="str">
        <f>IFERROR(_xll.qlRateHelperQuoteName(L5,Trigger),"--")</f>
        <v>EURONDPSN_Shifted</v>
      </c>
      <c r="N5" s="99">
        <f>IFERROR(_xll.qlRateHelperQuoteValue($L5,Trigger),"--")</f>
        <v>-3.6127109999999994E-3</v>
      </c>
      <c r="O5" s="98" t="b">
        <v>1</v>
      </c>
      <c r="P5" s="95">
        <v>70</v>
      </c>
      <c r="Q5" s="95">
        <v>1</v>
      </c>
      <c r="R5" s="100">
        <f>IFERROR(_xll.qlRateHelperEarliestDate(L5,Trigger),"--")</f>
        <v>42748</v>
      </c>
      <c r="S5" s="100">
        <f>IFERROR(_xll.qlRateHelperPillarDate(L5,Trigger),"--")</f>
        <v>42751</v>
      </c>
      <c r="U5" s="4" t="str">
        <f t="shared" si="0"/>
        <v>DP</v>
      </c>
      <c r="V5" s="4" t="str">
        <v>obj_002df</v>
      </c>
      <c r="W5" s="4" t="str">
        <f>IFERROR(_xll.qlRateHelperQuoteName(V5,Trigger),"")</f>
        <v>EURONDPSN_Shifted</v>
      </c>
      <c r="X5" s="73">
        <f>IFERROR(_xll.qlRateHelperRate(V5,Trigger),"")</f>
        <v>-3.6127109999999994E-3</v>
      </c>
      <c r="Y5" s="105" t="str">
        <f>IF(ISERROR(_xll.qlSwapRateHelperSpread($V5)),IF(ISERROR(_xll.qlFuturesRateHelperConvexityAdjustment($V5)),"",_xll.qlFuturesRateHelperConvexityAdjustment($V5)),_xll.qlSwapRateHelperSpread($V5))</f>
        <v/>
      </c>
      <c r="Z5" s="5">
        <f>IFERROR(_xll.qlRateHelperEarliestDate(V5,Trigger),"")</f>
        <v>42748</v>
      </c>
      <c r="AA5" s="5">
        <f>IFERROR(_xll.qlRateHelperPillarDate(V5,Trigger),"")</f>
        <v>42751</v>
      </c>
      <c r="AB5" s="73">
        <v>-3.6983288748428621E-3</v>
      </c>
      <c r="AC5" s="81"/>
      <c r="AD5" s="81"/>
      <c r="AE5" s="108" t="s">
        <v>88</v>
      </c>
      <c r="AI5" s="109">
        <v>0</v>
      </c>
    </row>
    <row r="6" spans="1:37" ht="11.25" customHeight="1" x14ac:dyDescent="0.2">
      <c r="A6" s="62" t="s">
        <v>142</v>
      </c>
      <c r="B6" s="63" t="str">
        <f>Quote!C7</f>
        <v>SW</v>
      </c>
      <c r="C6" s="125"/>
      <c r="D6" s="125"/>
      <c r="E6" s="125"/>
      <c r="F6" s="335" t="str">
        <f>IF(ISBLANK(Quote!E7),"",Quote!E7)</f>
        <v/>
      </c>
      <c r="G6" s="125"/>
      <c r="H6" s="125"/>
      <c r="I6" s="125"/>
      <c r="J6" s="51"/>
      <c r="K6" s="285" t="str">
        <f t="shared" si="1"/>
        <v>DP</v>
      </c>
      <c r="L6" s="286" t="str">
        <f t="shared" si="2"/>
        <v>--</v>
      </c>
      <c r="M6" s="287" t="str">
        <f>IFERROR(_xll.qlRateHelperQuoteName(L6,Trigger),"--")</f>
        <v>--</v>
      </c>
      <c r="N6" s="288" t="str">
        <f>IFERROR(_xll.qlRateHelperQuoteValue($L6,Trigger),"--")</f>
        <v>--</v>
      </c>
      <c r="O6" s="289" t="b">
        <f>NOT(ISERROR(_xll.qlQuoteValue(M6)))</f>
        <v>0</v>
      </c>
      <c r="P6" s="286">
        <v>70</v>
      </c>
      <c r="Q6" s="286">
        <v>7</v>
      </c>
      <c r="R6" s="290" t="str">
        <f>IFERROR(_xll.qlRateHelperEarliestDate(L6,Trigger),"--")</f>
        <v>--</v>
      </c>
      <c r="S6" s="290" t="str">
        <f>IFERROR(_xll.qlRateHelperPillarDate(L6,Trigger),"--")</f>
        <v>--</v>
      </c>
      <c r="U6" s="4" t="str">
        <f t="shared" si="0"/>
        <v>OIS</v>
      </c>
      <c r="V6" s="4" t="str">
        <v>obj_00314</v>
      </c>
      <c r="W6" s="4" t="str">
        <f>IFERROR(_xll.qlRateHelperQuoteName(V6,Trigger),"")</f>
        <v>EURONOISSW_Shifted</v>
      </c>
      <c r="X6" s="73">
        <f>IFERROR(_xll.qlRateHelperRate(V6,Trigger),"")</f>
        <v>-3.5100000000000005E-3</v>
      </c>
      <c r="Y6" s="105" t="str">
        <f>IF(ISERROR(_xll.qlSwapRateHelperSpread($V6)),IF(ISERROR(_xll.qlFuturesRateHelperConvexityAdjustment($V6)),"",_xll.qlFuturesRateHelperConvexityAdjustment($V6)),_xll.qlSwapRateHelperSpread($V6))</f>
        <v/>
      </c>
      <c r="Z6" s="5">
        <f>IFERROR(_xll.qlRateHelperEarliestDate(V6,Trigger),"")</f>
        <v>42748</v>
      </c>
      <c r="AA6" s="5">
        <f>IFERROR(_xll.qlRateHelperPillarDate(V6,Trigger),"")</f>
        <v>42755</v>
      </c>
      <c r="AB6" s="73">
        <v>-3.6016573852271799E-3</v>
      </c>
      <c r="AE6" s="108" t="s">
        <v>89</v>
      </c>
      <c r="AI6" s="110" t="s">
        <v>90</v>
      </c>
    </row>
    <row r="7" spans="1:37" ht="11.25" customHeight="1" x14ac:dyDescent="0.2">
      <c r="A7" s="62" t="s">
        <v>142</v>
      </c>
      <c r="B7" s="63" t="str">
        <f>Quote!C8</f>
        <v>2W</v>
      </c>
      <c r="C7" s="125"/>
      <c r="D7" s="125"/>
      <c r="E7" s="125"/>
      <c r="F7" s="66" t="str">
        <f>IF(ISBLANK(Quote!E8),"",Quote!E8)</f>
        <v/>
      </c>
      <c r="G7" s="125"/>
      <c r="H7" s="125"/>
      <c r="I7" s="125"/>
      <c r="J7" s="51"/>
      <c r="K7" s="10" t="str">
        <f t="shared" si="1"/>
        <v>DP</v>
      </c>
      <c r="L7" s="95" t="str">
        <f t="shared" si="2"/>
        <v>--</v>
      </c>
      <c r="M7" s="146" t="str">
        <f>IFERROR(_xll.qlRateHelperQuoteName(L7,Trigger),"--")</f>
        <v>--</v>
      </c>
      <c r="N7" s="99" t="str">
        <f>IFERROR(_xll.qlRateHelperQuoteValue($L7,Trigger),"--")</f>
        <v>--</v>
      </c>
      <c r="O7" s="98" t="b">
        <f>NOT(ISERROR(_xll.qlQuoteValue(M7)))</f>
        <v>0</v>
      </c>
      <c r="P7" s="95">
        <v>70</v>
      </c>
      <c r="Q7" s="95">
        <v>7</v>
      </c>
      <c r="R7" s="100" t="str">
        <f>IFERROR(_xll.qlRateHelperEarliestDate(L7,Trigger),"--")</f>
        <v>--</v>
      </c>
      <c r="S7" s="100" t="str">
        <f>IFERROR(_xll.qlRateHelperPillarDate(L7,Trigger),"--")</f>
        <v>--</v>
      </c>
      <c r="U7" s="4" t="str">
        <f t="shared" si="0"/>
        <v>OIS</v>
      </c>
      <c r="V7" s="4" t="str">
        <v>obj_0030a</v>
      </c>
      <c r="W7" s="4" t="str">
        <f>IFERROR(_xll.qlRateHelperQuoteName(V7,Trigger),"")</f>
        <v>EURONOIS2W_Shifted</v>
      </c>
      <c r="X7" s="73">
        <f>IFERROR(_xll.qlRateHelperRate(V7,Trigger),"")</f>
        <v>-3.5100000000000005E-3</v>
      </c>
      <c r="Y7" s="105" t="str">
        <f>IF(ISERROR(_xll.qlSwapRateHelperSpread($V7)),IF(ISERROR(_xll.qlFuturesRateHelperConvexityAdjustment($V7)),"",_xll.qlFuturesRateHelperConvexityAdjustment($V7)),_xll.qlSwapRateHelperSpread($V7))</f>
        <v/>
      </c>
      <c r="Z7" s="5">
        <f>IFERROR(_xll.qlRateHelperEarliestDate(V7,Trigger),"")</f>
        <v>42748</v>
      </c>
      <c r="AA7" s="5">
        <f>IFERROR(_xll.qlRateHelperPillarDate(V7,Trigger),"")</f>
        <v>42762</v>
      </c>
      <c r="AB7" s="73">
        <v>-3.5830448143176928E-3</v>
      </c>
    </row>
    <row r="8" spans="1:37" ht="11.25" customHeight="1" x14ac:dyDescent="0.2">
      <c r="A8" s="62" t="s">
        <v>142</v>
      </c>
      <c r="B8" s="63" t="str">
        <f>Quote!C9</f>
        <v>3W</v>
      </c>
      <c r="C8" s="125"/>
      <c r="D8" s="125"/>
      <c r="E8" s="125"/>
      <c r="F8" s="66" t="str">
        <f>IF(ISBLANK(Quote!E9),"",Quote!E9)</f>
        <v/>
      </c>
      <c r="G8" s="125"/>
      <c r="H8" s="125"/>
      <c r="I8" s="125"/>
      <c r="J8" s="51"/>
      <c r="K8" s="10" t="str">
        <f t="shared" si="1"/>
        <v>DP</v>
      </c>
      <c r="L8" s="95" t="str">
        <f t="shared" si="2"/>
        <v>--</v>
      </c>
      <c r="M8" s="146" t="str">
        <f>IFERROR(_xll.qlRateHelperQuoteName(L8,Trigger),"--")</f>
        <v>--</v>
      </c>
      <c r="N8" s="99" t="str">
        <f>IFERROR(_xll.qlRateHelperQuoteValue($L8,Trigger),"--")</f>
        <v>--</v>
      </c>
      <c r="O8" s="98" t="b">
        <f>NOT(ISERROR(_xll.qlQuoteValue(M8)))</f>
        <v>0</v>
      </c>
      <c r="P8" s="95">
        <v>70</v>
      </c>
      <c r="Q8" s="95">
        <v>7</v>
      </c>
      <c r="R8" s="100" t="str">
        <f>IFERROR(_xll.qlRateHelperEarliestDate(L8,Trigger),"--")</f>
        <v>--</v>
      </c>
      <c r="S8" s="100" t="str">
        <f>IFERROR(_xll.qlRateHelperPillarDate(L8,Trigger),"--")</f>
        <v>--</v>
      </c>
      <c r="U8" s="4" t="str">
        <f t="shared" si="0"/>
        <v>OIS</v>
      </c>
      <c r="V8" s="4" t="str">
        <v>obj_002f8</v>
      </c>
      <c r="W8" s="4" t="str">
        <f>IFERROR(_xll.qlRateHelperQuoteName(V8,Trigger),"")</f>
        <v>EURONOIS3W_Shifted</v>
      </c>
      <c r="X8" s="73">
        <f>IFERROR(_xll.qlRateHelperRate(V8,Trigger),"")</f>
        <v>-3.5000000000000005E-3</v>
      </c>
      <c r="Y8" s="105" t="str">
        <f>IF(ISERROR(_xll.qlSwapRateHelperSpread($V8)),IF(ISERROR(_xll.qlFuturesRateHelperConvexityAdjustment($V8)),"",_xll.qlFuturesRateHelperConvexityAdjustment($V8)),_xll.qlSwapRateHelperSpread($V8))</f>
        <v/>
      </c>
      <c r="Z8" s="5">
        <f>IFERROR(_xll.qlRateHelperEarliestDate(V8,Trigger),"")</f>
        <v>42748</v>
      </c>
      <c r="AA8" s="5">
        <f>IFERROR(_xll.qlRateHelperPillarDate(V8,Trigger),"")</f>
        <v>42769</v>
      </c>
      <c r="AB8" s="73">
        <v>-3.5665764363748205E-3</v>
      </c>
      <c r="AE8" s="108" t="s">
        <v>188</v>
      </c>
      <c r="AI8" s="384" t="b">
        <v>1</v>
      </c>
    </row>
    <row r="9" spans="1:37" ht="11.25" customHeight="1" x14ac:dyDescent="0.2">
      <c r="A9" s="62" t="s">
        <v>142</v>
      </c>
      <c r="B9" s="63" t="str">
        <f>Quote!C10</f>
        <v>1M</v>
      </c>
      <c r="C9" s="125"/>
      <c r="D9" s="125"/>
      <c r="E9" s="125"/>
      <c r="F9" s="66" t="str">
        <f>IF(ISBLANK(Quote!E10),"",Quote!E10)</f>
        <v/>
      </c>
      <c r="G9" s="125"/>
      <c r="H9" s="125"/>
      <c r="I9" s="125"/>
      <c r="J9" s="51"/>
      <c r="K9" s="10" t="str">
        <f t="shared" si="1"/>
        <v>DP</v>
      </c>
      <c r="L9" s="95" t="str">
        <f t="shared" si="2"/>
        <v>--</v>
      </c>
      <c r="M9" s="146" t="str">
        <f>IFERROR(_xll.qlRateHelperQuoteName(L9,Trigger),"--")</f>
        <v>--</v>
      </c>
      <c r="N9" s="99" t="str">
        <f>IFERROR(_xll.qlRateHelperQuoteValue($L9,Trigger),"--")</f>
        <v>--</v>
      </c>
      <c r="O9" s="98" t="b">
        <f>NOT(ISERROR(_xll.qlQuoteValue(M9)))</f>
        <v>0</v>
      </c>
      <c r="P9" s="95">
        <v>70</v>
      </c>
      <c r="Q9" s="95">
        <v>7</v>
      </c>
      <c r="R9" s="100" t="str">
        <f>IFERROR(_xll.qlRateHelperEarliestDate(L9,Trigger),"--")</f>
        <v>--</v>
      </c>
      <c r="S9" s="100" t="str">
        <f>IFERROR(_xll.qlRateHelperPillarDate(L9,Trigger),"--")</f>
        <v>--</v>
      </c>
      <c r="U9" s="4" t="str">
        <f t="shared" si="0"/>
        <v>OIS</v>
      </c>
      <c r="V9" s="4" t="str">
        <v>obj_00307</v>
      </c>
      <c r="W9" s="4" t="str">
        <f>IFERROR(_xll.qlRateHelperQuoteName(V9,Trigger),"")</f>
        <v>EURONOIS1M_Shifted</v>
      </c>
      <c r="X9" s="73">
        <f>IFERROR(_xll.qlRateHelperRate(V9,Trigger),"")</f>
        <v>-3.5100000000000005E-3</v>
      </c>
      <c r="Y9" s="105" t="str">
        <f>IF(ISERROR(_xll.qlSwapRateHelperSpread($V9)),IF(ISERROR(_xll.qlFuturesRateHelperConvexityAdjustment($V9)),"",_xll.qlFuturesRateHelperConvexityAdjustment($V9)),_xll.qlSwapRateHelperSpread($V9))</f>
        <v/>
      </c>
      <c r="Z9" s="5">
        <f>IFERROR(_xll.qlRateHelperEarliestDate(V9,Trigger),"")</f>
        <v>42748</v>
      </c>
      <c r="AA9" s="5">
        <f>IFERROR(_xll.qlRateHelperPillarDate(V9,Trigger),"")</f>
        <v>42779</v>
      </c>
      <c r="AB9" s="73">
        <v>-3.5709315755493342E-3</v>
      </c>
      <c r="AF9" s="49" t="s">
        <v>127</v>
      </c>
    </row>
    <row r="10" spans="1:37" ht="11.25" customHeight="1" x14ac:dyDescent="0.2">
      <c r="A10" s="62" t="s">
        <v>142</v>
      </c>
      <c r="B10" s="63" t="str">
        <f>Quote!C11</f>
        <v>2M</v>
      </c>
      <c r="C10" s="125"/>
      <c r="D10" s="125"/>
      <c r="E10" s="125"/>
      <c r="F10" s="66" t="str">
        <f>IF(ISBLANK(Quote!E11),"",Quote!E11)</f>
        <v/>
      </c>
      <c r="G10" s="125"/>
      <c r="H10" s="125"/>
      <c r="I10" s="125"/>
      <c r="J10" s="51"/>
      <c r="K10" s="10" t="str">
        <f t="shared" si="1"/>
        <v>DP</v>
      </c>
      <c r="L10" s="95" t="str">
        <f t="shared" si="2"/>
        <v>--</v>
      </c>
      <c r="M10" s="146" t="str">
        <f>IFERROR(_xll.qlRateHelperQuoteName(L10,Trigger),"--")</f>
        <v>--</v>
      </c>
      <c r="N10" s="99" t="str">
        <f>IFERROR(_xll.qlRateHelperQuoteValue($L10,Trigger),"--")</f>
        <v>--</v>
      </c>
      <c r="O10" s="98" t="b">
        <f>NOT(ISERROR(_xll.qlQuoteValue(M10)))</f>
        <v>0</v>
      </c>
      <c r="P10" s="95">
        <v>70</v>
      </c>
      <c r="Q10" s="95">
        <v>7</v>
      </c>
      <c r="R10" s="100" t="str">
        <f>IFERROR(_xll.qlRateHelperEarliestDate(L10,Trigger),"--")</f>
        <v>--</v>
      </c>
      <c r="S10" s="100" t="str">
        <f>IFERROR(_xll.qlRateHelperPillarDate(L10,Trigger),"--")</f>
        <v>--</v>
      </c>
      <c r="U10" s="4" t="str">
        <f t="shared" si="0"/>
        <v>OIS</v>
      </c>
      <c r="V10" s="4" t="str">
        <v>obj_00301</v>
      </c>
      <c r="W10" s="4" t="str">
        <f>IFERROR(_xll.qlRateHelperQuoteName(V10,Trigger),"")</f>
        <v>EURONOIS2M_Shifted</v>
      </c>
      <c r="X10" s="73">
        <f>IFERROR(_xll.qlRateHelperRate(V10,Trigger),"")</f>
        <v>-3.5090135700000004E-3</v>
      </c>
      <c r="Y10" s="105" t="str">
        <f>IF(ISERROR(_xll.qlSwapRateHelperSpread($V10)),IF(ISERROR(_xll.qlFuturesRateHelperConvexityAdjustment($V10)),"",_xll.qlFuturesRateHelperConvexityAdjustment($V10)),_xll.qlSwapRateHelperSpread($V10))</f>
        <v/>
      </c>
      <c r="Z10" s="5">
        <f>IFERROR(_xll.qlRateHelperEarliestDate(V10,Trigger),"")</f>
        <v>42748</v>
      </c>
      <c r="AA10" s="5">
        <f>IFERROR(_xll.qlRateHelperPillarDate(V10,Trigger),"")</f>
        <v>42807</v>
      </c>
      <c r="AB10" s="73">
        <v>-3.5650891703813865E-3</v>
      </c>
      <c r="AD10" s="77" t="s">
        <v>121</v>
      </c>
      <c r="AE10" s="77" t="s">
        <v>122</v>
      </c>
      <c r="AF10" s="77" t="s">
        <v>123</v>
      </c>
      <c r="AG10" s="77" t="s">
        <v>136</v>
      </c>
      <c r="AH10" s="77" t="s">
        <v>124</v>
      </c>
      <c r="AI10" s="77" t="s">
        <v>137</v>
      </c>
      <c r="AJ10" s="77" t="s">
        <v>125</v>
      </c>
      <c r="AK10" s="77" t="s">
        <v>126</v>
      </c>
    </row>
    <row r="11" spans="1:37" ht="11.25" customHeight="1" x14ac:dyDescent="0.2">
      <c r="A11" s="62" t="s">
        <v>142</v>
      </c>
      <c r="B11" s="63" t="str">
        <f>Quote!C12</f>
        <v>3M</v>
      </c>
      <c r="C11" s="125"/>
      <c r="D11" s="125"/>
      <c r="E11" s="125"/>
      <c r="F11" s="66" t="str">
        <f>IF(ISBLANK(Quote!E12),"",Quote!E12)</f>
        <v/>
      </c>
      <c r="G11" s="125"/>
      <c r="H11" s="125"/>
      <c r="I11" s="125"/>
      <c r="J11" s="51"/>
      <c r="K11" s="10" t="str">
        <f t="shared" si="1"/>
        <v>DP</v>
      </c>
      <c r="L11" s="95" t="str">
        <f t="shared" si="2"/>
        <v>--</v>
      </c>
      <c r="M11" s="146" t="str">
        <f>IFERROR(_xll.qlRateHelperQuoteName(L11,Trigger),"--")</f>
        <v>--</v>
      </c>
      <c r="N11" s="99" t="str">
        <f>IFERROR(_xll.qlRateHelperQuoteValue($L11,Trigger),"--")</f>
        <v>--</v>
      </c>
      <c r="O11" s="98" t="b">
        <f>NOT(ISERROR(_xll.qlQuoteValue(M11)))</f>
        <v>0</v>
      </c>
      <c r="P11" s="95">
        <v>70</v>
      </c>
      <c r="Q11" s="95">
        <v>7</v>
      </c>
      <c r="R11" s="100" t="str">
        <f>IFERROR(_xll.qlRateHelperEarliestDate(L11,Trigger),"--")</f>
        <v>--</v>
      </c>
      <c r="S11" s="100" t="str">
        <f>IFERROR(_xll.qlRateHelperPillarDate(L11,Trigger),"--")</f>
        <v>--</v>
      </c>
      <c r="U11" s="4" t="str">
        <f t="shared" si="0"/>
        <v>OIS</v>
      </c>
      <c r="V11" s="4" t="str">
        <v>obj_0030f</v>
      </c>
      <c r="W11" s="4" t="str">
        <f>IFERROR(_xll.qlRateHelperQuoteName(V11,Trigger),"")</f>
        <v>EURONOIS3M_Shifted</v>
      </c>
      <c r="X11" s="73">
        <f>IFERROR(_xll.qlRateHelperRate(V11,Trigger),"")</f>
        <v>-3.5216671400000003E-3</v>
      </c>
      <c r="Y11" s="105" t="str">
        <f>IF(ISERROR(_xll.qlSwapRateHelperSpread($V11)),IF(ISERROR(_xll.qlFuturesRateHelperConvexityAdjustment($V11)),"",_xll.qlFuturesRateHelperConvexityAdjustment($V11)),_xll.qlSwapRateHelperSpread($V11))</f>
        <v/>
      </c>
      <c r="Z11" s="5">
        <f>IFERROR(_xll.qlRateHelperEarliestDate(V11,Trigger),"")</f>
        <v>42748</v>
      </c>
      <c r="AA11" s="5">
        <f>IFERROR(_xll.qlRateHelperPillarDate(V11,Trigger),"")</f>
        <v>42838</v>
      </c>
      <c r="AB11" s="73">
        <v>-3.5760487809476447E-3</v>
      </c>
      <c r="AD11" s="159">
        <v>1</v>
      </c>
      <c r="AE11" s="160">
        <f>_xll.qlCalendarEndOfMonth(Calendar,Settlementdate,Trigger)</f>
        <v>42766</v>
      </c>
      <c r="AF11" s="159" t="str">
        <f t="shared" ref="AF11:AF23" si="3">Currency&amp;$AF$9&amp;AD11&amp;JumpSuffix&amp;QuoteSuffix</f>
        <v>EURJump1_SYNTHON_Quote</v>
      </c>
      <c r="AG11" s="189">
        <f>_xll.qlDayCounterYearFraction("actual/360",AE11,_xll.qlCalendarAdvance(Calendar,AE11,"1D",,,Trigger))</f>
        <v>2.7777777777777779E-3</v>
      </c>
      <c r="AH11" s="161" t="e">
        <f>IF(_xll.qlQuoteIsValid(AF11,Trigger),_xll.qlQuoteValue(AF11,Trigger),1)</f>
        <v>#NUM!</v>
      </c>
      <c r="AI11" s="192" t="e">
        <f>-LN(AH11)/AG11</f>
        <v>#NUM!</v>
      </c>
      <c r="AJ11" s="195">
        <v>0</v>
      </c>
      <c r="AK11" s="161">
        <f>IF(ISBLANK(AJ11),AF11,EXP(-AJ11*AG11))</f>
        <v>1</v>
      </c>
    </row>
    <row r="12" spans="1:37" ht="11.25" customHeight="1" x14ac:dyDescent="0.2">
      <c r="A12" s="62" t="s">
        <v>142</v>
      </c>
      <c r="B12" s="63" t="str">
        <f>Quote!C13</f>
        <v>4M</v>
      </c>
      <c r="C12" s="125"/>
      <c r="D12" s="125"/>
      <c r="E12" s="125"/>
      <c r="F12" s="66" t="str">
        <f>IF(ISBLANK(Quote!E13),"",Quote!E13)</f>
        <v/>
      </c>
      <c r="G12" s="125"/>
      <c r="H12" s="125"/>
      <c r="I12" s="125"/>
      <c r="J12" s="51"/>
      <c r="K12" s="10" t="str">
        <f t="shared" si="1"/>
        <v>DP</v>
      </c>
      <c r="L12" s="95" t="str">
        <f t="shared" si="2"/>
        <v>--</v>
      </c>
      <c r="M12" s="146" t="str">
        <f>IFERROR(_xll.qlRateHelperQuoteName(L12,Trigger),"--")</f>
        <v>--</v>
      </c>
      <c r="N12" s="99" t="str">
        <f>IFERROR(_xll.qlRateHelperQuoteValue($L12,Trigger),"--")</f>
        <v>--</v>
      </c>
      <c r="O12" s="98" t="b">
        <f>NOT(ISERROR(_xll.qlQuoteValue(M12)))</f>
        <v>0</v>
      </c>
      <c r="P12" s="95">
        <v>70</v>
      </c>
      <c r="Q12" s="95">
        <v>7</v>
      </c>
      <c r="R12" s="100" t="str">
        <f>IFERROR(_xll.qlRateHelperEarliestDate(L12,Trigger),"--")</f>
        <v>--</v>
      </c>
      <c r="S12" s="100" t="str">
        <f>IFERROR(_xll.qlRateHelperPillarDate(L12,Trigger),"--")</f>
        <v>--</v>
      </c>
      <c r="U12" s="4" t="str">
        <f t="shared" si="0"/>
        <v>OIS</v>
      </c>
      <c r="V12" s="4" t="str">
        <v>obj_002fb</v>
      </c>
      <c r="W12" s="4" t="str">
        <f>IFERROR(_xll.qlRateHelperQuoteName(V12,Trigger),"")</f>
        <v>EURONOIS4M_Shifted</v>
      </c>
      <c r="X12" s="73">
        <f>IFERROR(_xll.qlRateHelperRate(V12,Trigger),"")</f>
        <v>-3.5408524900000004E-3</v>
      </c>
      <c r="Y12" s="105" t="str">
        <f>IF(ISERROR(_xll.qlSwapRateHelperSpread($V12)),IF(ISERROR(_xll.qlFuturesRateHelperConvexityAdjustment($V12)),"",_xll.qlFuturesRateHelperConvexityAdjustment($V12)),_xll.qlSwapRateHelperSpread($V12))</f>
        <v/>
      </c>
      <c r="Z12" s="5">
        <f>IFERROR(_xll.qlRateHelperEarliestDate(V12,Trigger),"")</f>
        <v>42748</v>
      </c>
      <c r="AA12" s="5">
        <f>IFERROR(_xll.qlRateHelperPillarDate(V12,Trigger),"")</f>
        <v>42870</v>
      </c>
      <c r="AB12" s="73">
        <v>-3.5947547492446142E-3</v>
      </c>
      <c r="AD12" s="162">
        <v>2</v>
      </c>
      <c r="AE12" s="163">
        <f>_xll.qlCalendarEndOfMonth(Calendar,_xll.qlCalendarAdvance(Calendar,AE11,"1m","mf",TRUE),Trigger)</f>
        <v>42794</v>
      </c>
      <c r="AF12" s="162" t="str">
        <f t="shared" si="3"/>
        <v>EURJump2_SYNTHON_Quote</v>
      </c>
      <c r="AG12" s="190">
        <f>_xll.qlDayCounterYearFraction("actual/360",AE12,_xll.qlCalendarAdvance(Calendar,AE12,"1D",,,Trigger))</f>
        <v>2.7777777777777779E-3</v>
      </c>
      <c r="AH12" s="164" t="e">
        <f>IF(_xll.qlQuoteIsValid(AF12,Trigger),_xll.qlQuoteValue(AF12,Trigger),1)</f>
        <v>#NUM!</v>
      </c>
      <c r="AI12" s="193" t="e">
        <f t="shared" ref="AI12:AI23" si="4">-LN(AH12)/AG12</f>
        <v>#NUM!</v>
      </c>
      <c r="AJ12" s="196">
        <v>0</v>
      </c>
      <c r="AK12" s="164">
        <f t="shared" ref="AK12:AK23" si="5">IF(ISBLANK(AJ12),AF12,EXP(-AJ12*AG12))</f>
        <v>1</v>
      </c>
    </row>
    <row r="13" spans="1:37" ht="11.25" customHeight="1" x14ac:dyDescent="0.2">
      <c r="A13" s="62" t="s">
        <v>142</v>
      </c>
      <c r="B13" s="63" t="str">
        <f>Quote!C14</f>
        <v>5M</v>
      </c>
      <c r="C13" s="125"/>
      <c r="D13" s="125"/>
      <c r="E13" s="125"/>
      <c r="F13" s="66" t="str">
        <f>IF(ISBLANK(Quote!E14),"",Quote!E14)</f>
        <v/>
      </c>
      <c r="G13" s="125"/>
      <c r="H13" s="125"/>
      <c r="I13" s="125"/>
      <c r="J13" s="51"/>
      <c r="K13" s="10" t="str">
        <f t="shared" si="1"/>
        <v>DP</v>
      </c>
      <c r="L13" s="95" t="str">
        <f t="shared" si="2"/>
        <v>--</v>
      </c>
      <c r="M13" s="146" t="str">
        <f>IFERROR(_xll.qlRateHelperQuoteName(L13,Trigger),"--")</f>
        <v>--</v>
      </c>
      <c r="N13" s="99" t="str">
        <f>IFERROR(_xll.qlRateHelperQuoteValue($L13,Trigger),"--")</f>
        <v>--</v>
      </c>
      <c r="O13" s="98" t="b">
        <f>NOT(ISERROR(_xll.qlQuoteValue(M13)))</f>
        <v>0</v>
      </c>
      <c r="P13" s="95">
        <v>70</v>
      </c>
      <c r="Q13" s="95">
        <v>7</v>
      </c>
      <c r="R13" s="100" t="str">
        <f>IFERROR(_xll.qlRateHelperEarliestDate(L13,Trigger),"--")</f>
        <v>--</v>
      </c>
      <c r="S13" s="100" t="str">
        <f>IFERROR(_xll.qlRateHelperPillarDate(L13,Trigger),"--")</f>
        <v>--</v>
      </c>
      <c r="U13" s="4" t="str">
        <f t="shared" si="0"/>
        <v>OIS</v>
      </c>
      <c r="V13" s="4" t="str">
        <v>obj_00310</v>
      </c>
      <c r="W13" s="4" t="str">
        <f>IFERROR(_xll.qlRateHelperQuoteName(V13,Trigger),"")</f>
        <v>EURONOIS5M_Shifted</v>
      </c>
      <c r="X13" s="73">
        <f>IFERROR(_xll.qlRateHelperRate(V13,Trigger),"")</f>
        <v>-3.5464264999999998E-3</v>
      </c>
      <c r="Y13" s="105" t="str">
        <f>IF(ISERROR(_xll.qlSwapRateHelperSpread($V13)),IF(ISERROR(_xll.qlFuturesRateHelperConvexityAdjustment($V13)),"",_xll.qlFuturesRateHelperConvexityAdjustment($V13)),_xll.qlSwapRateHelperSpread($V13))</f>
        <v/>
      </c>
      <c r="Z13" s="5">
        <f>IFERROR(_xll.qlRateHelperEarliestDate(V13,Trigger),"")</f>
        <v>42748</v>
      </c>
      <c r="AA13" s="5">
        <f>IFERROR(_xll.qlRateHelperPillarDate(V13,Trigger),"")</f>
        <v>42899</v>
      </c>
      <c r="AB13" s="73">
        <v>-3.6003600566499793E-3</v>
      </c>
      <c r="AD13" s="162">
        <v>3</v>
      </c>
      <c r="AE13" s="163">
        <f>_xll.qlCalendarEndOfMonth(Calendar,_xll.qlCalendarAdvance(Calendar,AE12,"1m","mf",TRUE),Trigger)</f>
        <v>42825</v>
      </c>
      <c r="AF13" s="162" t="str">
        <f t="shared" si="3"/>
        <v>EURJump3_SYNTHON_Quote</v>
      </c>
      <c r="AG13" s="190">
        <f>_xll.qlDayCounterYearFraction("actual/360",AE13,_xll.qlCalendarAdvance(Calendar,AE13,"1D",,,Trigger))</f>
        <v>8.3333333333333332E-3</v>
      </c>
      <c r="AH13" s="164" t="e">
        <f>IF(_xll.qlQuoteIsValid(AF13,Trigger),_xll.qlQuoteValue(AF13,Trigger),1)</f>
        <v>#NUM!</v>
      </c>
      <c r="AI13" s="193" t="e">
        <f t="shared" si="4"/>
        <v>#NUM!</v>
      </c>
      <c r="AJ13" s="196">
        <v>0</v>
      </c>
      <c r="AK13" s="164">
        <f t="shared" si="5"/>
        <v>1</v>
      </c>
    </row>
    <row r="14" spans="1:37" ht="11.25" customHeight="1" x14ac:dyDescent="0.2">
      <c r="A14" s="62" t="s">
        <v>142</v>
      </c>
      <c r="B14" s="63" t="str">
        <f>Quote!C15</f>
        <v>6M</v>
      </c>
      <c r="C14" s="125"/>
      <c r="D14" s="125"/>
      <c r="E14" s="125"/>
      <c r="F14" s="66" t="str">
        <f>IF(ISBLANK(Quote!E15),"",Quote!E15)</f>
        <v/>
      </c>
      <c r="G14" s="125"/>
      <c r="H14" s="125"/>
      <c r="I14" s="125"/>
      <c r="J14" s="51"/>
      <c r="K14" s="10" t="str">
        <f t="shared" si="1"/>
        <v>DP</v>
      </c>
      <c r="L14" s="95" t="str">
        <f t="shared" si="2"/>
        <v>--</v>
      </c>
      <c r="M14" s="146" t="str">
        <f>IFERROR(_xll.qlRateHelperQuoteName(L14,Trigger),"--")</f>
        <v>--</v>
      </c>
      <c r="N14" s="99" t="str">
        <f>IFERROR(_xll.qlRateHelperQuoteValue($L14,Trigger),"--")</f>
        <v>--</v>
      </c>
      <c r="O14" s="98" t="b">
        <f>NOT(ISERROR(_xll.qlQuoteValue(M14)))</f>
        <v>0</v>
      </c>
      <c r="P14" s="95">
        <v>70</v>
      </c>
      <c r="Q14" s="95">
        <v>7</v>
      </c>
      <c r="R14" s="100" t="str">
        <f>IFERROR(_xll.qlRateHelperEarliestDate(L14,Trigger),"--")</f>
        <v>--</v>
      </c>
      <c r="S14" s="100" t="str">
        <f>IFERROR(_xll.qlRateHelperPillarDate(L14,Trigger),"--")</f>
        <v>--</v>
      </c>
      <c r="U14" s="4" t="str">
        <f t="shared" si="0"/>
        <v>OIS</v>
      </c>
      <c r="V14" s="4" t="str">
        <v>obj_00312</v>
      </c>
      <c r="W14" s="4" t="str">
        <f>IFERROR(_xll.qlRateHelperQuoteName(V14,Trigger),"")</f>
        <v>EURONOIS6M_Shifted</v>
      </c>
      <c r="X14" s="73">
        <f>IFERROR(_xll.qlRateHelperRate(V14,Trigger),"")</f>
        <v>-3.5493118500000004E-3</v>
      </c>
      <c r="Y14" s="105" t="str">
        <f>IF(ISERROR(_xll.qlSwapRateHelperSpread($V14)),IF(ISERROR(_xll.qlFuturesRateHelperConvexityAdjustment($V14)),"",_xll.qlFuturesRateHelperConvexityAdjustment($V14)),_xll.qlSwapRateHelperSpread($V14))</f>
        <v/>
      </c>
      <c r="Z14" s="5">
        <f>IFERROR(_xll.qlRateHelperEarliestDate(V14,Trigger),"")</f>
        <v>42748</v>
      </c>
      <c r="AA14" s="5">
        <f>IFERROR(_xll.qlRateHelperPillarDate(V14,Trigger),"")</f>
        <v>42929</v>
      </c>
      <c r="AB14" s="73">
        <v>-3.6034573734162524E-3</v>
      </c>
      <c r="AD14" s="162">
        <v>4</v>
      </c>
      <c r="AE14" s="163">
        <f>_xll.qlCalendarEndOfMonth(Calendar,_xll.qlCalendarAdvance(Calendar,AE13,"1m","mf",TRUE),Trigger)</f>
        <v>42853</v>
      </c>
      <c r="AF14" s="162" t="str">
        <f t="shared" si="3"/>
        <v>EURJump4_SYNTHON_Quote</v>
      </c>
      <c r="AG14" s="190">
        <f>_xll.qlDayCounterYearFraction("actual/360",AE14,_xll.qlCalendarAdvance(Calendar,AE14,"1D",,,Trigger))</f>
        <v>1.1111111111111112E-2</v>
      </c>
      <c r="AH14" s="164" t="e">
        <f>IF(_xll.qlQuoteIsValid(AF14,Trigger),_xll.qlQuoteValue(AF14,Trigger),1)</f>
        <v>#NUM!</v>
      </c>
      <c r="AI14" s="193" t="e">
        <f t="shared" si="4"/>
        <v>#NUM!</v>
      </c>
      <c r="AJ14" s="196">
        <v>0</v>
      </c>
      <c r="AK14" s="164">
        <f t="shared" si="5"/>
        <v>1</v>
      </c>
    </row>
    <row r="15" spans="1:37" ht="11.25" customHeight="1" x14ac:dyDescent="0.2">
      <c r="A15" s="62" t="s">
        <v>142</v>
      </c>
      <c r="B15" s="63" t="str">
        <f>Quote!C16</f>
        <v>7M</v>
      </c>
      <c r="C15" s="125"/>
      <c r="D15" s="125"/>
      <c r="E15" s="125"/>
      <c r="F15" s="66" t="str">
        <f>IF(ISBLANK(Quote!E16),"",Quote!E16)</f>
        <v/>
      </c>
      <c r="G15" s="125"/>
      <c r="H15" s="125"/>
      <c r="I15" s="125"/>
      <c r="J15" s="51"/>
      <c r="K15" s="10" t="str">
        <f t="shared" si="1"/>
        <v>DP</v>
      </c>
      <c r="L15" s="95" t="str">
        <f t="shared" si="2"/>
        <v>--</v>
      </c>
      <c r="M15" s="146" t="str">
        <f>IFERROR(_xll.qlRateHelperQuoteName(L15,Trigger),"--")</f>
        <v>--</v>
      </c>
      <c r="N15" s="99" t="str">
        <f>IFERROR(_xll.qlRateHelperQuoteValue($L15,Trigger),"--")</f>
        <v>--</v>
      </c>
      <c r="O15" s="98" t="b">
        <f>NOT(ISERROR(_xll.qlQuoteValue(M15)))</f>
        <v>0</v>
      </c>
      <c r="P15" s="95">
        <v>70</v>
      </c>
      <c r="Q15" s="95">
        <v>7</v>
      </c>
      <c r="R15" s="100" t="str">
        <f>IFERROR(_xll.qlRateHelperEarliestDate(L15,Trigger),"--")</f>
        <v>--</v>
      </c>
      <c r="S15" s="100" t="str">
        <f>IFERROR(_xll.qlRateHelperPillarDate(L15,Trigger),"--")</f>
        <v>--</v>
      </c>
      <c r="U15" s="4" t="str">
        <f t="shared" si="0"/>
        <v>OIS</v>
      </c>
      <c r="V15" s="4" t="str">
        <v>obj_00304</v>
      </c>
      <c r="W15" s="4" t="str">
        <f>IFERROR(_xll.qlRateHelperQuoteName(V15,Trigger),"")</f>
        <v>EURONOIS7M_Shifted</v>
      </c>
      <c r="X15" s="73">
        <f>IFERROR(_xll.qlRateHelperRate(V15,Trigger),"")</f>
        <v>-3.5519552600000006E-3</v>
      </c>
      <c r="Y15" s="105" t="str">
        <f>IF(ISERROR(_xll.qlSwapRateHelperSpread($V15)),IF(ISERROR(_xll.qlFuturesRateHelperConvexityAdjustment($V15)),"",_xll.qlFuturesRateHelperConvexityAdjustment($V15)),_xll.qlSwapRateHelperSpread($V15))</f>
        <v/>
      </c>
      <c r="Z15" s="5">
        <f>IFERROR(_xll.qlRateHelperEarliestDate(V15,Trigger),"")</f>
        <v>42748</v>
      </c>
      <c r="AA15" s="5">
        <f>IFERROR(_xll.qlRateHelperPillarDate(V15,Trigger),"")</f>
        <v>42961</v>
      </c>
      <c r="AB15" s="73">
        <v>-3.6064386836862712E-3</v>
      </c>
      <c r="AD15" s="162">
        <v>5</v>
      </c>
      <c r="AE15" s="163">
        <f>_xll.qlCalendarEndOfMonth(Calendar,_xll.qlCalendarAdvance(Calendar,AE14,"1m","mf",TRUE),Trigger)</f>
        <v>42886</v>
      </c>
      <c r="AF15" s="162" t="str">
        <f t="shared" si="3"/>
        <v>EURJump5_SYNTHON_Quote</v>
      </c>
      <c r="AG15" s="190">
        <f>_xll.qlDayCounterYearFraction("actual/360",AE15,_xll.qlCalendarAdvance(Calendar,AE15,"1D",,,Trigger))</f>
        <v>2.7777777777777779E-3</v>
      </c>
      <c r="AH15" s="164" t="e">
        <f>IF(_xll.qlQuoteIsValid(AF15,Trigger),_xll.qlQuoteValue(AF15,Trigger),1)</f>
        <v>#NUM!</v>
      </c>
      <c r="AI15" s="193" t="e">
        <f t="shared" si="4"/>
        <v>#NUM!</v>
      </c>
      <c r="AJ15" s="196">
        <v>0</v>
      </c>
      <c r="AK15" s="164">
        <f t="shared" si="5"/>
        <v>1</v>
      </c>
    </row>
    <row r="16" spans="1:37" ht="11.25" customHeight="1" x14ac:dyDescent="0.2">
      <c r="A16" s="62" t="s">
        <v>142</v>
      </c>
      <c r="B16" s="63" t="str">
        <f>Quote!C17</f>
        <v>8M</v>
      </c>
      <c r="C16" s="125"/>
      <c r="D16" s="125"/>
      <c r="E16" s="125"/>
      <c r="F16" s="66" t="str">
        <f>IF(ISBLANK(Quote!E17),"",Quote!E17)</f>
        <v/>
      </c>
      <c r="G16" s="125"/>
      <c r="H16" s="125"/>
      <c r="I16" s="125"/>
      <c r="J16" s="51"/>
      <c r="K16" s="10" t="str">
        <f t="shared" si="1"/>
        <v>DP</v>
      </c>
      <c r="L16" s="95" t="str">
        <f t="shared" si="2"/>
        <v>--</v>
      </c>
      <c r="M16" s="146" t="str">
        <f>IFERROR(_xll.qlRateHelperQuoteName(L16,Trigger),"--")</f>
        <v>--</v>
      </c>
      <c r="N16" s="99" t="str">
        <f>IFERROR(_xll.qlRateHelperQuoteValue($L16,Trigger),"--")</f>
        <v>--</v>
      </c>
      <c r="O16" s="98" t="b">
        <f>NOT(ISERROR(_xll.qlQuoteValue(M16)))</f>
        <v>0</v>
      </c>
      <c r="P16" s="95">
        <v>70</v>
      </c>
      <c r="Q16" s="95">
        <v>7</v>
      </c>
      <c r="R16" s="100" t="str">
        <f>IFERROR(_xll.qlRateHelperEarliestDate(L16,Trigger),"--")</f>
        <v>--</v>
      </c>
      <c r="S16" s="100" t="str">
        <f>IFERROR(_xll.qlRateHelperPillarDate(L16,Trigger),"--")</f>
        <v>--</v>
      </c>
      <c r="U16" s="4" t="str">
        <f t="shared" si="0"/>
        <v>OIS</v>
      </c>
      <c r="V16" s="4" t="str">
        <v>obj_002ca</v>
      </c>
      <c r="W16" s="4" t="str">
        <f>IFERROR(_xll.qlRateHelperQuoteName(V16,Trigger),"")</f>
        <v>EURONOIS8M_Shifted</v>
      </c>
      <c r="X16" s="73">
        <f>IFERROR(_xll.qlRateHelperRate(V16,Trigger),"")</f>
        <v>-3.5530173400000003E-3</v>
      </c>
      <c r="Y16" s="105" t="str">
        <f>IF(ISERROR(_xll.qlSwapRateHelperSpread($V16)),IF(ISERROR(_xll.qlFuturesRateHelperConvexityAdjustment($V16)),"",_xll.qlFuturesRateHelperConvexityAdjustment($V16)),_xll.qlSwapRateHelperSpread($V16))</f>
        <v/>
      </c>
      <c r="Z16" s="5">
        <f>IFERROR(_xll.qlRateHelperEarliestDate(V16,Trigger),"")</f>
        <v>42748</v>
      </c>
      <c r="AA16" s="5">
        <f>IFERROR(_xll.qlRateHelperPillarDate(V16,Trigger),"")</f>
        <v>42991</v>
      </c>
      <c r="AB16" s="73">
        <v>-3.60787283469585E-3</v>
      </c>
      <c r="AD16" s="162">
        <v>6</v>
      </c>
      <c r="AE16" s="163">
        <f>_xll.qlCalendarEndOfMonth(Calendar,_xll.qlCalendarAdvance(Calendar,AE15,"1m","mf",TRUE),Trigger)</f>
        <v>42916</v>
      </c>
      <c r="AF16" s="162" t="str">
        <f t="shared" si="3"/>
        <v>EURJump6_SYNTHON_Quote</v>
      </c>
      <c r="AG16" s="190">
        <f>_xll.qlDayCounterYearFraction("actual/360",AE16,_xll.qlCalendarAdvance(Calendar,AE16,"1D",,,Trigger))</f>
        <v>8.3333333333333332E-3</v>
      </c>
      <c r="AH16" s="164" t="e">
        <f>IF(_xll.qlQuoteIsValid(AF16,Trigger),_xll.qlQuoteValue(AF16,Trigger),1)</f>
        <v>#NUM!</v>
      </c>
      <c r="AI16" s="193" t="e">
        <f t="shared" si="4"/>
        <v>#NUM!</v>
      </c>
      <c r="AJ16" s="196">
        <v>0</v>
      </c>
      <c r="AK16" s="164">
        <f t="shared" si="5"/>
        <v>1</v>
      </c>
    </row>
    <row r="17" spans="1:37" ht="11.25" customHeight="1" x14ac:dyDescent="0.2">
      <c r="A17" s="62" t="s">
        <v>142</v>
      </c>
      <c r="B17" s="63" t="str">
        <f>Quote!C18</f>
        <v>9M</v>
      </c>
      <c r="C17" s="125"/>
      <c r="D17" s="125"/>
      <c r="E17" s="125"/>
      <c r="F17" s="66" t="str">
        <f>IF(ISBLANK(Quote!E18),"",Quote!E18)</f>
        <v/>
      </c>
      <c r="G17" s="125"/>
      <c r="H17" s="125"/>
      <c r="I17" s="125"/>
      <c r="J17" s="51"/>
      <c r="K17" s="10" t="str">
        <f t="shared" si="1"/>
        <v>DP</v>
      </c>
      <c r="L17" s="95" t="str">
        <f t="shared" si="2"/>
        <v>--</v>
      </c>
      <c r="M17" s="146" t="str">
        <f>IFERROR(_xll.qlRateHelperQuoteName(L17,Trigger),"--")</f>
        <v>--</v>
      </c>
      <c r="N17" s="157" t="str">
        <f>IFERROR(_xll.qlRateHelperQuoteValue($L17,Trigger),"--")</f>
        <v>--</v>
      </c>
      <c r="O17" s="98" t="b">
        <v>0</v>
      </c>
      <c r="P17" s="95">
        <v>70</v>
      </c>
      <c r="Q17" s="95">
        <v>7</v>
      </c>
      <c r="R17" s="100" t="str">
        <f>IFERROR(_xll.qlRateHelperEarliestDate(L17,Trigger),"--")</f>
        <v>--</v>
      </c>
      <c r="S17" s="100" t="str">
        <f>IFERROR(_xll.qlRateHelperPillarDate(L17,Trigger),"--")</f>
        <v>--</v>
      </c>
      <c r="U17" s="4" t="str">
        <f t="shared" si="0"/>
        <v>OIS</v>
      </c>
      <c r="V17" s="4" t="str">
        <v>obj_002c9</v>
      </c>
      <c r="W17" s="4" t="str">
        <f>IFERROR(_xll.qlRateHelperQuoteName(V17,Trigger),"")</f>
        <v>EURONOIS9M_Shifted</v>
      </c>
      <c r="X17" s="73">
        <f>IFERROR(_xll.qlRateHelperRate(V17,Trigger),"")</f>
        <v>-3.5514952600000007E-3</v>
      </c>
      <c r="Y17" s="105" t="str">
        <f>IF(ISERROR(_xll.qlSwapRateHelperSpread($V17)),IF(ISERROR(_xll.qlFuturesRateHelperConvexityAdjustment($V17)),"",_xll.qlFuturesRateHelperConvexityAdjustment($V17)),_xll.qlSwapRateHelperSpread($V17))</f>
        <v/>
      </c>
      <c r="Z17" s="5">
        <f>IFERROR(_xll.qlRateHelperEarliestDate(V17,Trigger),"")</f>
        <v>42748</v>
      </c>
      <c r="AA17" s="5">
        <f>IFERROR(_xll.qlRateHelperPillarDate(V17,Trigger),"")</f>
        <v>43021</v>
      </c>
      <c r="AB17" s="73">
        <v>-3.6067390511146016E-3</v>
      </c>
      <c r="AD17" s="162">
        <v>7</v>
      </c>
      <c r="AE17" s="163">
        <f>_xll.qlCalendarEndOfMonth(Calendar,_xll.qlCalendarAdvance(Calendar,AE16,"1m","mf",TRUE),Trigger)</f>
        <v>42947</v>
      </c>
      <c r="AF17" s="162" t="str">
        <f t="shared" si="3"/>
        <v>EURJump7_SYNTHON_Quote</v>
      </c>
      <c r="AG17" s="190">
        <f>_xll.qlDayCounterYearFraction("actual/360",AE17,_xll.qlCalendarAdvance(Calendar,AE17,"1D",,,Trigger))</f>
        <v>2.7777777777777779E-3</v>
      </c>
      <c r="AH17" s="164" t="e">
        <f>IF(_xll.qlQuoteIsValid(AF17,Trigger),_xll.qlQuoteValue(AF17,Trigger),1)</f>
        <v>#NUM!</v>
      </c>
      <c r="AI17" s="193" t="e">
        <f t="shared" si="4"/>
        <v>#NUM!</v>
      </c>
      <c r="AJ17" s="196">
        <v>0</v>
      </c>
      <c r="AK17" s="164">
        <f t="shared" si="5"/>
        <v>1</v>
      </c>
    </row>
    <row r="18" spans="1:37" ht="11.25" customHeight="1" x14ac:dyDescent="0.2">
      <c r="A18" s="62" t="s">
        <v>142</v>
      </c>
      <c r="B18" s="63" t="str">
        <f>Quote!C19</f>
        <v>10M</v>
      </c>
      <c r="C18" s="125"/>
      <c r="D18" s="125"/>
      <c r="E18" s="125"/>
      <c r="F18" s="66" t="str">
        <f>IF(ISBLANK(Quote!E19),"",Quote!E19)</f>
        <v/>
      </c>
      <c r="G18" s="125"/>
      <c r="H18" s="125"/>
      <c r="I18" s="125"/>
      <c r="J18" s="51"/>
      <c r="K18" s="10" t="str">
        <f t="shared" si="1"/>
        <v>DP</v>
      </c>
      <c r="L18" s="95" t="str">
        <f t="shared" si="2"/>
        <v>--</v>
      </c>
      <c r="M18" s="146" t="str">
        <f>IFERROR(_xll.qlRateHelperQuoteName(L18,Trigger),"--")</f>
        <v>--</v>
      </c>
      <c r="N18" s="157" t="str">
        <f>IFERROR(_xll.qlRateHelperQuoteValue($L18,Trigger),"--")</f>
        <v>--</v>
      </c>
      <c r="O18" s="98" t="b">
        <v>0</v>
      </c>
      <c r="P18" s="95">
        <v>60</v>
      </c>
      <c r="Q18" s="95">
        <v>7</v>
      </c>
      <c r="R18" s="100" t="str">
        <f>IFERROR(_xll.qlRateHelperEarliestDate(L18,Trigger),"--")</f>
        <v>--</v>
      </c>
      <c r="S18" s="100" t="str">
        <f>IFERROR(_xll.qlRateHelperPillarDate(L18,Trigger),"--")</f>
        <v>--</v>
      </c>
      <c r="U18" s="4" t="str">
        <f t="shared" si="0"/>
        <v>OIS</v>
      </c>
      <c r="V18" s="4" t="str">
        <v>obj_002be</v>
      </c>
      <c r="W18" s="4" t="str">
        <f>IFERROR(_xll.qlRateHelperQuoteName(V18,Trigger),"")</f>
        <v>EURONOIS10M_Shifted</v>
      </c>
      <c r="X18" s="73">
        <f>IFERROR(_xll.qlRateHelperRate(V18,Trigger),"")</f>
        <v>-3.5479048900000005E-3</v>
      </c>
      <c r="Y18" s="105" t="str">
        <f>IF(ISERROR(_xll.qlSwapRateHelperSpread($V18)),IF(ISERROR(_xll.qlFuturesRateHelperConvexityAdjustment($V18)),"",_xll.qlFuturesRateHelperConvexityAdjustment($V18)),_xll.qlSwapRateHelperSpread($V18))</f>
        <v/>
      </c>
      <c r="Z18" s="5">
        <f>IFERROR(_xll.qlRateHelperEarliestDate(V18,Trigger),"")</f>
        <v>42748</v>
      </c>
      <c r="AA18" s="5">
        <f>IFERROR(_xll.qlRateHelperPillarDate(V18,Trigger),"")</f>
        <v>43052</v>
      </c>
      <c r="AB18" s="73">
        <v>-3.6035534555425583E-3</v>
      </c>
      <c r="AD18" s="162">
        <v>8</v>
      </c>
      <c r="AE18" s="163">
        <f>_xll.qlCalendarEndOfMonth(Calendar,_xll.qlCalendarAdvance(Calendar,AE17,"1m","mf",TRUE),Trigger)</f>
        <v>42978</v>
      </c>
      <c r="AF18" s="162" t="str">
        <f t="shared" si="3"/>
        <v>EURJump8_SYNTHON_Quote</v>
      </c>
      <c r="AG18" s="190">
        <f>_xll.qlDayCounterYearFraction("actual/360",AE18,_xll.qlCalendarAdvance(Calendar,AE18,"1D",,,Trigger))</f>
        <v>2.7777777777777779E-3</v>
      </c>
      <c r="AH18" s="164" t="e">
        <f>IF(_xll.qlQuoteIsValid(AF18,Trigger),_xll.qlQuoteValue(AF18,Trigger),1)</f>
        <v>#NUM!</v>
      </c>
      <c r="AI18" s="193" t="e">
        <f t="shared" si="4"/>
        <v>#NUM!</v>
      </c>
      <c r="AJ18" s="196">
        <v>0</v>
      </c>
      <c r="AK18" s="164">
        <f t="shared" si="5"/>
        <v>1</v>
      </c>
    </row>
    <row r="19" spans="1:37" ht="11.25" customHeight="1" x14ac:dyDescent="0.2">
      <c r="A19" s="62" t="s">
        <v>142</v>
      </c>
      <c r="B19" s="63" t="str">
        <f>Quote!C20</f>
        <v>11M</v>
      </c>
      <c r="C19" s="125"/>
      <c r="D19" s="125"/>
      <c r="E19" s="125"/>
      <c r="F19" s="66" t="str">
        <f>IF(ISBLANK(Quote!E20),"",Quote!E20)</f>
        <v/>
      </c>
      <c r="G19" s="125"/>
      <c r="H19" s="125"/>
      <c r="I19" s="125"/>
      <c r="J19" s="51"/>
      <c r="K19" s="10" t="str">
        <f t="shared" si="1"/>
        <v>DP</v>
      </c>
      <c r="L19" s="95" t="str">
        <f t="shared" si="2"/>
        <v>--</v>
      </c>
      <c r="M19" s="146" t="str">
        <f>IFERROR(_xll.qlRateHelperQuoteName(L19,Trigger),"--")</f>
        <v>--</v>
      </c>
      <c r="N19" s="157" t="str">
        <f>IFERROR(_xll.qlRateHelperQuoteValue($L19,Trigger),"--")</f>
        <v>--</v>
      </c>
      <c r="O19" s="98" t="b">
        <v>0</v>
      </c>
      <c r="P19" s="95">
        <v>60</v>
      </c>
      <c r="Q19" s="95">
        <v>7</v>
      </c>
      <c r="R19" s="100" t="str">
        <f>IFERROR(_xll.qlRateHelperEarliestDate(L19,Trigger),"--")</f>
        <v>--</v>
      </c>
      <c r="S19" s="100" t="str">
        <f>IFERROR(_xll.qlRateHelperPillarDate(L19,Trigger),"--")</f>
        <v>--</v>
      </c>
      <c r="U19" s="4" t="str">
        <f t="shared" si="0"/>
        <v>OIS</v>
      </c>
      <c r="V19" s="4" t="str">
        <v>obj_002bd</v>
      </c>
      <c r="W19" s="4" t="str">
        <f>IFERROR(_xll.qlRateHelperQuoteName(V19,Trigger),"")</f>
        <v>EURONOIS11M_Shifted</v>
      </c>
      <c r="X19" s="73">
        <f>IFERROR(_xll.qlRateHelperRate(V19,Trigger),"")</f>
        <v>-3.5434617700000003E-3</v>
      </c>
      <c r="Y19" s="105" t="str">
        <f>IF(ISERROR(_xll.qlSwapRateHelperSpread($V19)),IF(ISERROR(_xll.qlFuturesRateHelperConvexityAdjustment($V19)),"",_xll.qlFuturesRateHelperConvexityAdjustment($V19)),_xll.qlSwapRateHelperSpread($V19))</f>
        <v/>
      </c>
      <c r="Z19" s="5">
        <f>IFERROR(_xll.qlRateHelperEarliestDate(V19,Trigger),"")</f>
        <v>42748</v>
      </c>
      <c r="AA19" s="5">
        <f>IFERROR(_xll.qlRateHelperPillarDate(V19,Trigger),"")</f>
        <v>43082</v>
      </c>
      <c r="AB19" s="73">
        <v>-3.5995046369591897E-3</v>
      </c>
      <c r="AD19" s="162">
        <v>9</v>
      </c>
      <c r="AE19" s="163">
        <f>_xll.qlCalendarEndOfMonth(Calendar,_xll.qlCalendarAdvance(Calendar,AE18,"1m","mf",TRUE),Trigger)</f>
        <v>43007</v>
      </c>
      <c r="AF19" s="162" t="str">
        <f t="shared" si="3"/>
        <v>EURJump9_SYNTHON_Quote</v>
      </c>
      <c r="AG19" s="190">
        <f>_xll.qlDayCounterYearFraction("actual/360",AE19,_xll.qlCalendarAdvance(Calendar,AE19,"1D",,,Trigger))</f>
        <v>8.3333333333333332E-3</v>
      </c>
      <c r="AH19" s="164" t="e">
        <f>IF(_xll.qlQuoteIsValid(AF19,Trigger),_xll.qlQuoteValue(AF19,Trigger),1)</f>
        <v>#NUM!</v>
      </c>
      <c r="AI19" s="193" t="e">
        <f t="shared" si="4"/>
        <v>#NUM!</v>
      </c>
      <c r="AJ19" s="196">
        <v>0</v>
      </c>
      <c r="AK19" s="164">
        <f t="shared" si="5"/>
        <v>1</v>
      </c>
    </row>
    <row r="20" spans="1:37" ht="11.25" customHeight="1" x14ac:dyDescent="0.2">
      <c r="A20" s="1" t="s">
        <v>142</v>
      </c>
      <c r="B20" s="8" t="str">
        <f>Quote!C21</f>
        <v>12M</v>
      </c>
      <c r="C20" s="126"/>
      <c r="D20" s="126"/>
      <c r="E20" s="126"/>
      <c r="F20" s="2" t="str">
        <f>IF(ISBLANK(Quote!E21),"",Quote!E21)</f>
        <v/>
      </c>
      <c r="G20" s="126"/>
      <c r="H20" s="126"/>
      <c r="I20" s="126"/>
      <c r="J20" s="51"/>
      <c r="K20" s="11" t="str">
        <f t="shared" si="1"/>
        <v>DP</v>
      </c>
      <c r="L20" s="96" t="str">
        <f t="shared" si="2"/>
        <v>--</v>
      </c>
      <c r="M20" s="147" t="str">
        <f>IFERROR(_xll.qlRateHelperQuoteName(L20,Trigger),"--")</f>
        <v>--</v>
      </c>
      <c r="N20" s="158" t="str">
        <f>IFERROR(_xll.qlRateHelperQuoteValue($L20,Trigger),"--")</f>
        <v>--</v>
      </c>
      <c r="O20" s="101" t="b">
        <v>0</v>
      </c>
      <c r="P20" s="96">
        <v>50</v>
      </c>
      <c r="Q20" s="96">
        <v>7</v>
      </c>
      <c r="R20" s="103" t="str">
        <f>IFERROR(_xll.qlRateHelperEarliestDate(L20,Trigger),"--")</f>
        <v>--</v>
      </c>
      <c r="S20" s="103" t="str">
        <f>IFERROR(_xll.qlRateHelperPillarDate(L20,Trigger),"--")</f>
        <v>--</v>
      </c>
      <c r="U20" s="4" t="str">
        <f t="shared" si="0"/>
        <v>OIS</v>
      </c>
      <c r="V20" s="4" t="str">
        <v>obj_002e1</v>
      </c>
      <c r="W20" s="4" t="str">
        <f>IFERROR(_xll.qlRateHelperQuoteName(V20,Trigger),"")</f>
        <v>EURONOIS1Y_Shifted</v>
      </c>
      <c r="X20" s="73">
        <f>IFERROR(_xll.qlRateHelperRate(V20,Trigger),"")</f>
        <v>-3.5383140300000006E-3</v>
      </c>
      <c r="Y20" s="105" t="str">
        <f>IF(ISERROR(_xll.qlSwapRateHelperSpread($V20)),IF(ISERROR(_xll.qlFuturesRateHelperConvexityAdjustment($V20)),"",_xll.qlFuturesRateHelperConvexityAdjustment($V20)),_xll.qlSwapRateHelperSpread($V20))</f>
        <v/>
      </c>
      <c r="Z20" s="5">
        <f>IFERROR(_xll.qlRateHelperEarliestDate(V20,Trigger),"")</f>
        <v>42748</v>
      </c>
      <c r="AA20" s="5">
        <f>IFERROR(_xll.qlRateHelperPillarDate(V20,Trigger),"")</f>
        <v>43115</v>
      </c>
      <c r="AB20" s="73">
        <v>-3.5947965360044604E-3</v>
      </c>
      <c r="AD20" s="162">
        <v>10</v>
      </c>
      <c r="AE20" s="163">
        <f>_xll.qlCalendarEndOfMonth(Calendar,_xll.qlCalendarAdvance(Calendar,AE19,"1m","mf",TRUE),Trigger)</f>
        <v>43039</v>
      </c>
      <c r="AF20" s="162" t="str">
        <f t="shared" si="3"/>
        <v>EURJump10_SYNTHON_Quote</v>
      </c>
      <c r="AG20" s="190">
        <f>_xll.qlDayCounterYearFraction("actual/360",AE20,_xll.qlCalendarAdvance(Calendar,AE20,"1D",,,Trigger))</f>
        <v>2.7777777777777779E-3</v>
      </c>
      <c r="AH20" s="164" t="e">
        <f>IF(_xll.qlQuoteIsValid(AF20,Trigger),_xll.qlQuoteValue(AF20,Trigger),1)</f>
        <v>#NUM!</v>
      </c>
      <c r="AI20" s="193" t="e">
        <f t="shared" si="4"/>
        <v>#NUM!</v>
      </c>
      <c r="AJ20" s="196">
        <v>0</v>
      </c>
      <c r="AK20" s="164">
        <f t="shared" si="5"/>
        <v>1</v>
      </c>
    </row>
    <row r="21" spans="1:37" ht="11.25" customHeight="1" x14ac:dyDescent="0.2">
      <c r="J21" s="51"/>
      <c r="K21" s="10" t="str">
        <f>A23</f>
        <v>OIS</v>
      </c>
      <c r="L21" s="95" t="str">
        <f>IF(ISBLANK(I23),"--",I23)</f>
        <v>obj_00314#0006</v>
      </c>
      <c r="M21" s="146" t="str">
        <f>IFERROR(_xll.qlRateHelperQuoteName(L21,Trigger),"--")</f>
        <v>EURONOISSW_Shifted</v>
      </c>
      <c r="N21" s="99">
        <f>IFERROR(_xll.qlRateHelperQuoteValue($L21,Trigger),"--")</f>
        <v>-3.5100000000000005E-3</v>
      </c>
      <c r="O21" s="98" t="b">
        <v>1</v>
      </c>
      <c r="P21" s="95">
        <v>50</v>
      </c>
      <c r="Q21" s="95">
        <v>1</v>
      </c>
      <c r="R21" s="100">
        <f>IFERROR(_xll.qlRateHelperEarliestDate(L21,Trigger),"--")</f>
        <v>42748</v>
      </c>
      <c r="S21" s="100">
        <f>IFERROR(_xll.qlRateHelperPillarDate(L21,Trigger),"--")</f>
        <v>42755</v>
      </c>
      <c r="U21" s="4" t="str">
        <f t="shared" si="0"/>
        <v>OIS</v>
      </c>
      <c r="V21" s="4" t="str">
        <v>obj_002dc</v>
      </c>
      <c r="W21" s="4" t="str">
        <f>IFERROR(_xll.qlRateHelperQuoteName(V21,Trigger),"")</f>
        <v>EURONOIS13M_Shifted</v>
      </c>
      <c r="X21" s="73">
        <f>IFERROR(_xll.qlRateHelperRate(V21,Trigger),"")</f>
        <v>-3.5341593700000001E-3</v>
      </c>
      <c r="Y21" s="105" t="str">
        <f>IF(ISERROR(_xll.qlSwapRateHelperSpread($V21)),IF(ISERROR(_xll.qlFuturesRateHelperConvexityAdjustment($V21)),"",_xll.qlFuturesRateHelperConvexityAdjustment($V21)),_xll.qlSwapRateHelperSpread($V21))</f>
        <v/>
      </c>
      <c r="Z21" s="5">
        <f>IFERROR(_xll.qlRateHelperEarliestDate(V21,Trigger),"")</f>
        <v>42748</v>
      </c>
      <c r="AA21" s="5">
        <f>IFERROR(_xll.qlRateHelperPillarDate(V21,Trigger),"")</f>
        <v>43144</v>
      </c>
      <c r="AB21" s="73">
        <v>-3.5900334823707886E-3</v>
      </c>
      <c r="AD21" s="162">
        <v>11</v>
      </c>
      <c r="AE21" s="163">
        <f>_xll.qlCalendarEndOfMonth(Calendar,_xll.qlCalendarAdvance(Calendar,AE20,"1m","mf",TRUE),Trigger)</f>
        <v>43069</v>
      </c>
      <c r="AF21" s="162" t="str">
        <f t="shared" si="3"/>
        <v>EURJump11_SYNTHON_Quote</v>
      </c>
      <c r="AG21" s="190">
        <f>_xll.qlDayCounterYearFraction("actual/360",AE21,_xll.qlCalendarAdvance(Calendar,AE21,"1D",,,Trigger))</f>
        <v>2.7777777777777779E-3</v>
      </c>
      <c r="AH21" s="164" t="e">
        <f>IF(_xll.qlQuoteIsValid(AF21,Trigger),_xll.qlQuoteValue(AF21,Trigger),1)</f>
        <v>#NUM!</v>
      </c>
      <c r="AI21" s="193" t="e">
        <f t="shared" si="4"/>
        <v>#NUM!</v>
      </c>
      <c r="AJ21" s="196">
        <v>0</v>
      </c>
      <c r="AK21" s="164">
        <f t="shared" si="5"/>
        <v>1</v>
      </c>
    </row>
    <row r="22" spans="1:37" ht="11.25" customHeight="1" x14ac:dyDescent="0.2">
      <c r="A22" s="68" t="s">
        <v>9</v>
      </c>
      <c r="B22" s="68" t="s">
        <v>28</v>
      </c>
      <c r="C22" s="68" t="s">
        <v>78</v>
      </c>
      <c r="D22" s="68"/>
      <c r="E22" s="68" t="s">
        <v>4</v>
      </c>
      <c r="F22" s="68" t="s">
        <v>1</v>
      </c>
      <c r="G22" s="68" t="s">
        <v>171</v>
      </c>
      <c r="H22" s="68"/>
      <c r="I22" s="68" t="s">
        <v>25</v>
      </c>
      <c r="K22" s="10" t="str">
        <f t="shared" ref="K22:K85" si="6">A24</f>
        <v>OIS</v>
      </c>
      <c r="L22" s="95" t="str">
        <f t="shared" ref="L22:L85" si="7">IF(ISBLANK(I24),"--",I24)</f>
        <v>obj_0030a#0006</v>
      </c>
      <c r="M22" s="146" t="str">
        <f>IFERROR(_xll.qlRateHelperQuoteName(L22,Trigger),"--")</f>
        <v>EURONOIS2W_Shifted</v>
      </c>
      <c r="N22" s="99">
        <f>IFERROR(_xll.qlRateHelperQuoteValue($L22,Trigger),"--")</f>
        <v>-3.5100000000000005E-3</v>
      </c>
      <c r="O22" s="98" t="b">
        <v>1</v>
      </c>
      <c r="P22" s="95">
        <v>50</v>
      </c>
      <c r="Q22" s="95">
        <v>1</v>
      </c>
      <c r="R22" s="100">
        <f>IFERROR(_xll.qlRateHelperEarliestDate(L22,Trigger),"--")</f>
        <v>42748</v>
      </c>
      <c r="S22" s="100">
        <f>IFERROR(_xll.qlRateHelperPillarDate(L22,Trigger),"--")</f>
        <v>42762</v>
      </c>
      <c r="U22" s="4" t="str">
        <f t="shared" si="0"/>
        <v>OIS</v>
      </c>
      <c r="V22" s="4" t="str">
        <v>obj_002cb</v>
      </c>
      <c r="W22" s="4" t="str">
        <f>IFERROR(_xll.qlRateHelperQuoteName(V22,Trigger),"")</f>
        <v>EURONOIS14M_Shifted</v>
      </c>
      <c r="X22" s="73">
        <f>IFERROR(_xll.qlRateHelperRate(V22,Trigger),"")</f>
        <v>-3.5286307500000001E-3</v>
      </c>
      <c r="Y22" s="105" t="str">
        <f>IF(ISERROR(_xll.qlSwapRateHelperSpread($V22)),IF(ISERROR(_xll.qlFuturesRateHelperConvexityAdjustment($V22)),"",_xll.qlFuturesRateHelperConvexityAdjustment($V22)),_xll.qlSwapRateHelperSpread($V22))</f>
        <v/>
      </c>
      <c r="Z22" s="5">
        <f>IFERROR(_xll.qlRateHelperEarliestDate(V22,Trigger),"")</f>
        <v>42748</v>
      </c>
      <c r="AA22" s="5">
        <f>IFERROR(_xll.qlRateHelperPillarDate(V22,Trigger),"")</f>
        <v>43172</v>
      </c>
      <c r="AB22" s="73">
        <v>-3.5840935293826805E-3</v>
      </c>
      <c r="AD22" s="162">
        <v>12</v>
      </c>
      <c r="AE22" s="163">
        <f>_xll.qlCalendarEndOfMonth(Calendar,_xll.qlCalendarAdvance(Calendar,AE21,"1m","mf",TRUE),Trigger)</f>
        <v>43098</v>
      </c>
      <c r="AF22" s="162" t="str">
        <f t="shared" si="3"/>
        <v>EURJump12_SYNTHON_Quote</v>
      </c>
      <c r="AG22" s="190">
        <f>_xll.qlDayCounterYearFraction("actual/360",AE22,_xll.qlCalendarAdvance(Calendar,AE22,"1D",,,Trigger))</f>
        <v>1.1111111111111112E-2</v>
      </c>
      <c r="AH22" s="164" t="e">
        <f>IF(_xll.qlQuoteIsValid(AF22,Trigger),_xll.qlQuoteValue(AF22,Trigger),1)</f>
        <v>#NUM!</v>
      </c>
      <c r="AI22" s="193" t="e">
        <f t="shared" si="4"/>
        <v>#NUM!</v>
      </c>
      <c r="AJ22" s="196">
        <v>0</v>
      </c>
      <c r="AK22" s="164">
        <f t="shared" si="5"/>
        <v>1</v>
      </c>
    </row>
    <row r="23" spans="1:37" ht="11.25" customHeight="1" x14ac:dyDescent="0.2">
      <c r="A23" s="56" t="s">
        <v>68</v>
      </c>
      <c r="B23" s="57" t="s">
        <v>91</v>
      </c>
      <c r="C23" s="58">
        <v>2</v>
      </c>
      <c r="D23" s="125"/>
      <c r="E23" s="65" t="str">
        <f t="shared" ref="E23:E29" si="8">$E$1</f>
        <v>EoniaMX#0006</v>
      </c>
      <c r="F23" s="60" t="str">
        <f>IF(ISBLANK(Quote!E46),"",Quote!E46)</f>
        <v>EURONOISSW=#0006</v>
      </c>
      <c r="G23" s="66" t="str">
        <f>_xll.qlCompositeQuote(Currency&amp;"ON"&amp;A23&amp;B23&amp;"_Shifted",F23,BumpValue,"+",Permanent,Trigger,ObjectOverwrite)</f>
        <v>EURONOISSW_Shifted#0006</v>
      </c>
      <c r="H23" s="125"/>
      <c r="I23" s="61" t="str">
        <f>_xll.qlOISRateHelper(,C23,"1W",IF(Sensitivity,G23,F23),$E23,,Permanent,Trigger,ObjectOverwrite)</f>
        <v>obj_00314#0006</v>
      </c>
      <c r="K23" s="10" t="str">
        <f t="shared" si="6"/>
        <v>OIS</v>
      </c>
      <c r="L23" s="95" t="str">
        <f t="shared" si="7"/>
        <v>obj_002f8#0006</v>
      </c>
      <c r="M23" s="146" t="str">
        <f>IFERROR(_xll.qlRateHelperQuoteName(L23,Trigger),"--")</f>
        <v>EURONOIS3W_Shifted</v>
      </c>
      <c r="N23" s="99">
        <f>IFERROR(_xll.qlRateHelperQuoteValue($L23,Trigger),"--")</f>
        <v>-3.5000000000000005E-3</v>
      </c>
      <c r="O23" s="98" t="b">
        <v>1</v>
      </c>
      <c r="P23" s="95">
        <v>50</v>
      </c>
      <c r="Q23" s="95">
        <v>1</v>
      </c>
      <c r="R23" s="100">
        <f>IFERROR(_xll.qlRateHelperEarliestDate(L23,Trigger),"--")</f>
        <v>42748</v>
      </c>
      <c r="S23" s="100">
        <f>IFERROR(_xll.qlRateHelperPillarDate(L23,Trigger),"--")</f>
        <v>42769</v>
      </c>
      <c r="U23" s="4" t="str">
        <f t="shared" si="0"/>
        <v>OIS</v>
      </c>
      <c r="V23" s="4" t="str">
        <v>obj_002d4</v>
      </c>
      <c r="W23" s="4" t="str">
        <f>IFERROR(_xll.qlRateHelperQuoteName(V23,Trigger),"")</f>
        <v>EURONOIS15M_Shifted</v>
      </c>
      <c r="X23" s="73">
        <f>IFERROR(_xll.qlRateHelperRate(V23,Trigger),"")</f>
        <v>-3.5199999999999997E-3</v>
      </c>
      <c r="Y23" s="105" t="str">
        <f>IF(ISERROR(_xll.qlSwapRateHelperSpread($V23)),IF(ISERROR(_xll.qlFuturesRateHelperConvexityAdjustment($V23)),"",_xll.qlFuturesRateHelperConvexityAdjustment($V23)),_xll.qlSwapRateHelperSpread($V23))</f>
        <v/>
      </c>
      <c r="Z23" s="5">
        <f>IFERROR(_xll.qlRateHelperEarliestDate(V23,Trigger),"")</f>
        <v>42748</v>
      </c>
      <c r="AA23" s="5">
        <f>IFERROR(_xll.qlRateHelperPillarDate(V23,Trigger),"")</f>
        <v>43203</v>
      </c>
      <c r="AB23" s="73">
        <v>-3.5750959469913629E-3</v>
      </c>
      <c r="AD23" s="165">
        <v>13</v>
      </c>
      <c r="AE23" s="166">
        <f>_xll.qlCalendarAdjust(Calendar,DATE(YEAR(AE11)+1,12,31),"preceding",Trigger)</f>
        <v>43465</v>
      </c>
      <c r="AF23" s="165" t="str">
        <f t="shared" si="3"/>
        <v>EURJump13_SYNTHON_Quote</v>
      </c>
      <c r="AG23" s="191">
        <f>_xll.qlDayCounterYearFraction("actual/360",AE23,_xll.qlCalendarAdvance(Calendar,AE23,"1D",,,Trigger))</f>
        <v>5.5555555555555558E-3</v>
      </c>
      <c r="AH23" s="167" t="e">
        <f>IF(_xll.qlQuoteIsValid(AF23,Trigger),_xll.qlQuoteValue(AF23,Trigger),1)</f>
        <v>#NUM!</v>
      </c>
      <c r="AI23" s="194" t="e">
        <f t="shared" si="4"/>
        <v>#NUM!</v>
      </c>
      <c r="AJ23" s="197">
        <v>0</v>
      </c>
      <c r="AK23" s="167">
        <f t="shared" si="5"/>
        <v>1</v>
      </c>
    </row>
    <row r="24" spans="1:37" ht="11.25" customHeight="1" x14ac:dyDescent="0.2">
      <c r="A24" s="62" t="s">
        <v>68</v>
      </c>
      <c r="B24" s="63" t="s">
        <v>37</v>
      </c>
      <c r="C24" s="64">
        <v>2</v>
      </c>
      <c r="D24" s="125"/>
      <c r="E24" s="65" t="str">
        <f t="shared" si="8"/>
        <v>EoniaMX#0006</v>
      </c>
      <c r="F24" s="66" t="str">
        <f>IF(ISBLANK(Quote!E47),"",Quote!E47)</f>
        <v>EURONOIS2W=#0006</v>
      </c>
      <c r="G24" s="66" t="str">
        <f>_xll.qlCompositeQuote(Currency&amp;"ON"&amp;A24&amp;B24&amp;"_Shifted",F24,BumpValue,"+",Permanent,Trigger,ObjectOverwrite)</f>
        <v>EURONOIS2W_Shifted#0006</v>
      </c>
      <c r="H24" s="125"/>
      <c r="I24" s="61" t="str">
        <f>_xll.qlOISRateHelper(,C24,B24,IF(Sensitivity,G24,F24),$E24,,Permanent,Trigger,ObjectOverwrite)</f>
        <v>obj_0030a#0006</v>
      </c>
      <c r="K24" s="10" t="str">
        <f t="shared" si="6"/>
        <v>OIS</v>
      </c>
      <c r="L24" s="95" t="str">
        <f t="shared" si="7"/>
        <v>obj_00307#0006</v>
      </c>
      <c r="M24" s="146" t="str">
        <f>IFERROR(_xll.qlRateHelperQuoteName(L24,Trigger),"--")</f>
        <v>EURONOIS1M_Shifted</v>
      </c>
      <c r="N24" s="99">
        <f>IFERROR(_xll.qlRateHelperQuoteValue($L24,Trigger),"--")</f>
        <v>-3.5100000000000005E-3</v>
      </c>
      <c r="O24" s="98" t="b">
        <v>1</v>
      </c>
      <c r="P24" s="95">
        <v>50</v>
      </c>
      <c r="Q24" s="95">
        <v>1</v>
      </c>
      <c r="R24" s="100">
        <f>IFERROR(_xll.qlRateHelperEarliestDate(L24,Trigger),"--")</f>
        <v>42748</v>
      </c>
      <c r="S24" s="100">
        <f>IFERROR(_xll.qlRateHelperPillarDate(L24,Trigger),"--")</f>
        <v>42779</v>
      </c>
      <c r="U24" s="4" t="str">
        <f t="shared" si="0"/>
        <v>OIS</v>
      </c>
      <c r="V24" s="4" t="str">
        <v>obj_002cd</v>
      </c>
      <c r="W24" s="4" t="str">
        <f>IFERROR(_xll.qlRateHelperQuoteName(V24,Trigger),"")</f>
        <v>EURONOIS16M_Shifted</v>
      </c>
      <c r="X24" s="73">
        <f>IFERROR(_xll.qlRateHelperRate(V24,Trigger),"")</f>
        <v>-3.5082024300000002E-3</v>
      </c>
      <c r="Y24" s="105" t="str">
        <f>IF(ISERROR(_xll.qlSwapRateHelperSpread($V24)),IF(ISERROR(_xll.qlFuturesRateHelperConvexityAdjustment($V24)),"",_xll.qlFuturesRateHelperConvexityAdjustment($V24)),_xll.qlSwapRateHelperSpread($V24))</f>
        <v/>
      </c>
      <c r="Z24" s="5">
        <f>IFERROR(_xll.qlRateHelperEarliestDate(V24,Trigger),"")</f>
        <v>42748</v>
      </c>
      <c r="AA24" s="5">
        <f>IFERROR(_xll.qlRateHelperPillarDate(V24,Trigger),"")</f>
        <v>43234</v>
      </c>
      <c r="AB24" s="73">
        <v>-3.5629800900403561E-3</v>
      </c>
      <c r="AJ24" s="198"/>
    </row>
    <row r="25" spans="1:37" ht="11.25" customHeight="1" x14ac:dyDescent="0.2">
      <c r="A25" s="62" t="s">
        <v>68</v>
      </c>
      <c r="B25" s="63" t="s">
        <v>38</v>
      </c>
      <c r="C25" s="64">
        <v>2</v>
      </c>
      <c r="D25" s="125"/>
      <c r="E25" s="65" t="str">
        <f t="shared" si="8"/>
        <v>EoniaMX#0006</v>
      </c>
      <c r="F25" s="66" t="str">
        <f>IF(ISBLANK(Quote!E48),"",Quote!E48)</f>
        <v>EURONOIS3W=#0006</v>
      </c>
      <c r="G25" s="66" t="str">
        <f>_xll.qlCompositeQuote(Currency&amp;"ON"&amp;A25&amp;B25&amp;"_Shifted",F25,BumpValue,"+",Permanent,Trigger,ObjectOverwrite)</f>
        <v>EURONOIS3W_Shifted#0006</v>
      </c>
      <c r="H25" s="125"/>
      <c r="I25" s="67" t="str">
        <f>_xll.qlOISRateHelper(,C25,B25,IF(Sensitivity,G25,F25),$E25,,Permanent,Trigger,ObjectOverwrite)</f>
        <v>obj_002f8#0006</v>
      </c>
      <c r="K25" s="10" t="str">
        <f t="shared" si="6"/>
        <v>OIS</v>
      </c>
      <c r="L25" s="95" t="str">
        <f t="shared" si="7"/>
        <v>obj_00301#0006</v>
      </c>
      <c r="M25" s="146" t="str">
        <f>IFERROR(_xll.qlRateHelperQuoteName(L25,Trigger),"--")</f>
        <v>EURONOIS2M_Shifted</v>
      </c>
      <c r="N25" s="99">
        <f>IFERROR(_xll.qlRateHelperQuoteValue($L25,Trigger),"--")</f>
        <v>-3.5090135700000004E-3</v>
      </c>
      <c r="O25" s="98" t="b">
        <v>1</v>
      </c>
      <c r="P25" s="95">
        <v>50</v>
      </c>
      <c r="Q25" s="95">
        <v>1</v>
      </c>
      <c r="R25" s="100">
        <f>IFERROR(_xll.qlRateHelperEarliestDate(L25,Trigger),"--")</f>
        <v>42748</v>
      </c>
      <c r="S25" s="100">
        <f>IFERROR(_xll.qlRateHelperPillarDate(L25,Trigger),"--")</f>
        <v>42807</v>
      </c>
      <c r="U25" s="4" t="str">
        <f t="shared" si="0"/>
        <v>OIS</v>
      </c>
      <c r="V25" s="4" t="str">
        <v>obj_002a0</v>
      </c>
      <c r="W25" s="4" t="str">
        <f>IFERROR(_xll.qlRateHelperQuoteName(V25,Trigger),"")</f>
        <v>EURONOIS17M_Shifted</v>
      </c>
      <c r="X25" s="73">
        <f>IFERROR(_xll.qlRateHelperRate(V25,Trigger),"")</f>
        <v>-3.4945776900000003E-3</v>
      </c>
      <c r="Y25" s="105" t="str">
        <f>IF(ISERROR(_xll.qlSwapRateHelperSpread($V25)),IF(ISERROR(_xll.qlFuturesRateHelperConvexityAdjustment($V25)),"",_xll.qlFuturesRateHelperConvexityAdjustment($V25)),_xll.qlSwapRateHelperSpread($V25))</f>
        <v/>
      </c>
      <c r="Z25" s="5">
        <f>IFERROR(_xll.qlRateHelperEarliestDate(V25,Trigger),"")</f>
        <v>42748</v>
      </c>
      <c r="AA25" s="5">
        <f>IFERROR(_xll.qlRateHelperPillarDate(V25,Trigger),"")</f>
        <v>43264</v>
      </c>
      <c r="AB25" s="73">
        <v>-3.5491312463881582E-3</v>
      </c>
    </row>
    <row r="26" spans="1:37" ht="11.25" customHeight="1" x14ac:dyDescent="0.2">
      <c r="A26" s="62" t="s">
        <v>68</v>
      </c>
      <c r="B26" s="63" t="s">
        <v>2</v>
      </c>
      <c r="C26" s="64">
        <v>2</v>
      </c>
      <c r="D26" s="125"/>
      <c r="E26" s="65" t="str">
        <f t="shared" si="8"/>
        <v>EoniaMX#0006</v>
      </c>
      <c r="F26" s="66" t="str">
        <f>IF(ISBLANK(Quote!E49),"",Quote!E49)</f>
        <v>EURONOIS1M=#0006</v>
      </c>
      <c r="G26" s="66" t="str">
        <f>_xll.qlCompositeQuote(Currency&amp;"ON"&amp;A26&amp;B26&amp;"_Shifted",F26,BumpValue,"+",Permanent,Trigger,ObjectOverwrite)</f>
        <v>EURONOIS1M_Shifted#0006</v>
      </c>
      <c r="H26" s="125"/>
      <c r="I26" s="67" t="str">
        <f>_xll.qlOISRateHelper(,C26,B26,IF(Sensitivity,G26,F26),$E26,,Permanent,Trigger,ObjectOverwrite)</f>
        <v>obj_00307#0006</v>
      </c>
      <c r="K26" s="10" t="str">
        <f t="shared" si="6"/>
        <v>OIS</v>
      </c>
      <c r="L26" s="95" t="str">
        <f t="shared" si="7"/>
        <v>obj_0030f#0006</v>
      </c>
      <c r="M26" s="146" t="str">
        <f>IFERROR(_xll.qlRateHelperQuoteName(L26,Trigger),"--")</f>
        <v>EURONOIS3M_Shifted</v>
      </c>
      <c r="N26" s="99">
        <f>IFERROR(_xll.qlRateHelperQuoteValue($L26,Trigger),"--")</f>
        <v>-3.5216671400000003E-3</v>
      </c>
      <c r="O26" s="98" t="b">
        <v>1</v>
      </c>
      <c r="P26" s="95">
        <v>50</v>
      </c>
      <c r="Q26" s="95">
        <v>1</v>
      </c>
      <c r="R26" s="100">
        <f>IFERROR(_xll.qlRateHelperEarliestDate(L26,Trigger),"--")</f>
        <v>42748</v>
      </c>
      <c r="S26" s="100">
        <f>IFERROR(_xll.qlRateHelperPillarDate(L26,Trigger),"--")</f>
        <v>42838</v>
      </c>
      <c r="U26" s="4" t="str">
        <f t="shared" si="0"/>
        <v>OIS</v>
      </c>
      <c r="V26" s="4" t="str">
        <v>obj_00299</v>
      </c>
      <c r="W26" s="4" t="str">
        <f>IFERROR(_xll.qlRateHelperQuoteName(V26,Trigger),"")</f>
        <v>EURONOIS18M_Shifted</v>
      </c>
      <c r="X26" s="73">
        <f>IFERROR(_xll.qlRateHelperRate(V26,Trigger),"")</f>
        <v>-3.4800000000000005E-3</v>
      </c>
      <c r="Y26" s="105" t="str">
        <f>IF(ISERROR(_xll.qlSwapRateHelperSpread($V26)),IF(ISERROR(_xll.qlFuturesRateHelperConvexityAdjustment($V26)),"",_xll.qlFuturesRateHelperConvexityAdjustment($V26)),_xll.qlSwapRateHelperSpread($V26))</f>
        <v/>
      </c>
      <c r="Z26" s="5">
        <f>IFERROR(_xll.qlRateHelperEarliestDate(V26,Trigger),"")</f>
        <v>42748</v>
      </c>
      <c r="AA26" s="5">
        <f>IFERROR(_xll.qlRateHelperPillarDate(V26,Trigger),"")</f>
        <v>43294</v>
      </c>
      <c r="AB26" s="73">
        <v>-3.5343645674776373E-3</v>
      </c>
    </row>
    <row r="27" spans="1:37" ht="11.25" customHeight="1" x14ac:dyDescent="0.2">
      <c r="A27" s="62" t="s">
        <v>68</v>
      </c>
      <c r="B27" s="63" t="s">
        <v>39</v>
      </c>
      <c r="C27" s="64">
        <v>2</v>
      </c>
      <c r="D27" s="125"/>
      <c r="E27" s="65" t="str">
        <f t="shared" si="8"/>
        <v>EoniaMX#0006</v>
      </c>
      <c r="F27" s="66" t="str">
        <f>IF(ISBLANK(Quote!E50),"",Quote!E50)</f>
        <v>EURONOIS2M=#0006</v>
      </c>
      <c r="G27" s="66" t="str">
        <f>_xll.qlCompositeQuote(Currency&amp;"ON"&amp;A27&amp;B27&amp;"_Shifted",F27,BumpValue,"+",Permanent,Trigger,ObjectOverwrite)</f>
        <v>EURONOIS2M_Shifted#0006</v>
      </c>
      <c r="H27" s="125"/>
      <c r="I27" s="67" t="str">
        <f>_xll.qlOISRateHelper(,C27,B27,IF(Sensitivity,G27,F27),$E27,,Permanent,Trigger,ObjectOverwrite)</f>
        <v>obj_00301#0006</v>
      </c>
      <c r="K27" s="10" t="str">
        <f t="shared" si="6"/>
        <v>OIS</v>
      </c>
      <c r="L27" s="95" t="str">
        <f t="shared" si="7"/>
        <v>obj_002fb#0006</v>
      </c>
      <c r="M27" s="146" t="str">
        <f>IFERROR(_xll.qlRateHelperQuoteName(L27,Trigger),"--")</f>
        <v>EURONOIS4M_Shifted</v>
      </c>
      <c r="N27" s="99">
        <f>IFERROR(_xll.qlRateHelperQuoteValue($L27,Trigger),"--")</f>
        <v>-3.5408524900000004E-3</v>
      </c>
      <c r="O27" s="98" t="b">
        <v>1</v>
      </c>
      <c r="P27" s="95">
        <v>50</v>
      </c>
      <c r="Q27" s="95">
        <v>1</v>
      </c>
      <c r="R27" s="100">
        <f>IFERROR(_xll.qlRateHelperEarliestDate(L27,Trigger),"--")</f>
        <v>42748</v>
      </c>
      <c r="S27" s="100">
        <f>IFERROR(_xll.qlRateHelperPillarDate(L27,Trigger),"--")</f>
        <v>42870</v>
      </c>
      <c r="U27" s="4" t="str">
        <f t="shared" si="0"/>
        <v>OIS</v>
      </c>
      <c r="V27" s="4" t="str">
        <v>obj_002b7</v>
      </c>
      <c r="W27" s="4" t="str">
        <f>IFERROR(_xll.qlRateHelperQuoteName(V27,Trigger),"")</f>
        <v>EURONOIS19M_Shifted</v>
      </c>
      <c r="X27" s="73">
        <f>IFERROR(_xll.qlRateHelperRate(V27,Trigger),"")</f>
        <v>-3.4647627700000001E-3</v>
      </c>
      <c r="Y27" s="105" t="str">
        <f>IF(ISERROR(_xll.qlSwapRateHelperSpread($V27)),IF(ISERROR(_xll.qlFuturesRateHelperConvexityAdjustment($V27)),"",_xll.qlFuturesRateHelperConvexityAdjustment($V27)),_xll.qlSwapRateHelperSpread($V27))</f>
        <v/>
      </c>
      <c r="Z27" s="5">
        <f>IFERROR(_xll.qlRateHelperEarliestDate(V27,Trigger),"")</f>
        <v>42748</v>
      </c>
      <c r="AA27" s="5">
        <f>IFERROR(_xll.qlRateHelperPillarDate(V27,Trigger),"")</f>
        <v>43325</v>
      </c>
      <c r="AB27" s="73">
        <v>-3.5189790535813674E-3</v>
      </c>
    </row>
    <row r="28" spans="1:37" ht="11.25" customHeight="1" x14ac:dyDescent="0.2">
      <c r="A28" s="62" t="s">
        <v>68</v>
      </c>
      <c r="B28" s="63" t="s">
        <v>0</v>
      </c>
      <c r="C28" s="64">
        <v>2</v>
      </c>
      <c r="D28" s="125"/>
      <c r="E28" s="65" t="str">
        <f t="shared" si="8"/>
        <v>EoniaMX#0006</v>
      </c>
      <c r="F28" s="66" t="str">
        <f>IF(ISBLANK(Quote!E51),"",Quote!E51)</f>
        <v>EURONOIS3M=#0006</v>
      </c>
      <c r="G28" s="66" t="str">
        <f>_xll.qlCompositeQuote(Currency&amp;"ON"&amp;A28&amp;B28&amp;"_Shifted",F28,BumpValue,"+",Permanent,Trigger,ObjectOverwrite)</f>
        <v>EURONOIS3M_Shifted#0006</v>
      </c>
      <c r="H28" s="125"/>
      <c r="I28" s="67" t="str">
        <f>_xll.qlOISRateHelper(,C28,B28,IF(Sensitivity,G28,F28),$E28,,Permanent,Trigger,ObjectOverwrite)</f>
        <v>obj_0030f#0006</v>
      </c>
      <c r="K28" s="10" t="str">
        <f t="shared" si="6"/>
        <v>OIS</v>
      </c>
      <c r="L28" s="95" t="str">
        <f t="shared" si="7"/>
        <v>obj_00310#0006</v>
      </c>
      <c r="M28" s="146" t="str">
        <f>IFERROR(_xll.qlRateHelperQuoteName(L28,Trigger),"--")</f>
        <v>EURONOIS5M_Shifted</v>
      </c>
      <c r="N28" s="99">
        <f>IFERROR(_xll.qlRateHelperQuoteValue($L28,Trigger),"--")</f>
        <v>-3.5464264999999998E-3</v>
      </c>
      <c r="O28" s="98" t="b">
        <v>1</v>
      </c>
      <c r="P28" s="95">
        <v>50</v>
      </c>
      <c r="Q28" s="95">
        <v>1</v>
      </c>
      <c r="R28" s="100">
        <f>IFERROR(_xll.qlRateHelperEarliestDate(L28,Trigger),"--")</f>
        <v>42748</v>
      </c>
      <c r="S28" s="100">
        <f>IFERROR(_xll.qlRateHelperPillarDate(L28,Trigger),"--")</f>
        <v>42899</v>
      </c>
      <c r="U28" s="4" t="str">
        <f t="shared" si="0"/>
        <v>OIS</v>
      </c>
      <c r="V28" s="4" t="str">
        <v>obj_002d9</v>
      </c>
      <c r="W28" s="4" t="str">
        <f>IFERROR(_xll.qlRateHelperQuoteName(V28,Trigger),"")</f>
        <v>EURONOIS20M_Shifted</v>
      </c>
      <c r="X28" s="73">
        <f>IFERROR(_xll.qlRateHelperRate(V28,Trigger),"")</f>
        <v>-3.44865046E-3</v>
      </c>
      <c r="Y28" s="105" t="str">
        <f>IF(ISERROR(_xll.qlSwapRateHelperSpread($V28)),IF(ISERROR(_xll.qlFuturesRateHelperConvexityAdjustment($V28)),"",_xll.qlFuturesRateHelperConvexityAdjustment($V28)),_xll.qlSwapRateHelperSpread($V28))</f>
        <v/>
      </c>
      <c r="Z28" s="5">
        <f>IFERROR(_xll.qlRateHelperEarliestDate(V28,Trigger),"")</f>
        <v>42748</v>
      </c>
      <c r="AA28" s="5">
        <f>IFERROR(_xll.qlRateHelperPillarDate(V28,Trigger),"")</f>
        <v>43356</v>
      </c>
      <c r="AB28" s="73">
        <v>-3.502772362219026E-3</v>
      </c>
    </row>
    <row r="29" spans="1:37" ht="11.25" customHeight="1" x14ac:dyDescent="0.2">
      <c r="A29" s="62" t="s">
        <v>68</v>
      </c>
      <c r="B29" s="63" t="s">
        <v>40</v>
      </c>
      <c r="C29" s="64">
        <v>2</v>
      </c>
      <c r="D29" s="125"/>
      <c r="E29" s="65" t="str">
        <f t="shared" si="8"/>
        <v>EoniaMX#0006</v>
      </c>
      <c r="F29" s="66" t="str">
        <f>IF(ISBLANK(Quote!E52),"",Quote!E52)</f>
        <v>EURONOIS4M=#0006</v>
      </c>
      <c r="G29" s="66" t="str">
        <f>_xll.qlCompositeQuote(Currency&amp;"ON"&amp;A29&amp;B29&amp;"_Shifted",F29,BumpValue,"+",Permanent,Trigger,ObjectOverwrite)</f>
        <v>EURONOIS4M_Shifted#0006</v>
      </c>
      <c r="H29" s="125"/>
      <c r="I29" s="67" t="str">
        <f>_xll.qlOISRateHelper(,C29,B29,IF(Sensitivity,G29,F29),$E29,,Permanent,Trigger,ObjectOverwrite)</f>
        <v>obj_002fb#0006</v>
      </c>
      <c r="K29" s="10" t="str">
        <f t="shared" si="6"/>
        <v>OIS</v>
      </c>
      <c r="L29" s="95" t="str">
        <f t="shared" si="7"/>
        <v>obj_00312#0006</v>
      </c>
      <c r="M29" s="146" t="str">
        <f>IFERROR(_xll.qlRateHelperQuoteName(L29,Trigger),"--")</f>
        <v>EURONOIS6M_Shifted</v>
      </c>
      <c r="N29" s="99">
        <f>IFERROR(_xll.qlRateHelperQuoteValue($L29,Trigger),"--")</f>
        <v>-3.5493118500000004E-3</v>
      </c>
      <c r="O29" s="98" t="b">
        <v>1</v>
      </c>
      <c r="P29" s="95">
        <v>50</v>
      </c>
      <c r="Q29" s="95">
        <v>1</v>
      </c>
      <c r="R29" s="100">
        <f>IFERROR(_xll.qlRateHelperEarliestDate(L29,Trigger),"--")</f>
        <v>42748</v>
      </c>
      <c r="S29" s="100">
        <f>IFERROR(_xll.qlRateHelperPillarDate(L29,Trigger),"--")</f>
        <v>42929</v>
      </c>
      <c r="U29" s="4" t="str">
        <f t="shared" si="0"/>
        <v>OIS</v>
      </c>
      <c r="V29" s="4" t="str">
        <v>obj_002d1</v>
      </c>
      <c r="W29" s="4" t="str">
        <f>IFERROR(_xll.qlRateHelperQuoteName(V29,Trigger),"")</f>
        <v>EURONOIS21M_Shifted</v>
      </c>
      <c r="X29" s="73">
        <f>IFERROR(_xll.qlRateHelperRate(V29,Trigger),"")</f>
        <v>-3.4300000000000003E-3</v>
      </c>
      <c r="Y29" s="105" t="str">
        <f>IF(ISERROR(_xll.qlSwapRateHelperSpread($V29)),IF(ISERROR(_xll.qlFuturesRateHelperConvexityAdjustment($V29)),"",_xll.qlFuturesRateHelperConvexityAdjustment($V29)),_xll.qlSwapRateHelperSpread($V29))</f>
        <v/>
      </c>
      <c r="Z29" s="5">
        <f>IFERROR(_xll.qlRateHelperEarliestDate(V29,Trigger),"")</f>
        <v>42748</v>
      </c>
      <c r="AA29" s="5">
        <f>IFERROR(_xll.qlRateHelperPillarDate(V29,Trigger),"")</f>
        <v>43388</v>
      </c>
      <c r="AB29" s="73">
        <v>-3.4840387944527311E-3</v>
      </c>
    </row>
    <row r="30" spans="1:37" ht="11.25" customHeight="1" x14ac:dyDescent="0.2">
      <c r="A30" s="62" t="s">
        <v>68</v>
      </c>
      <c r="B30" s="63" t="s">
        <v>41</v>
      </c>
      <c r="C30" s="64">
        <v>2</v>
      </c>
      <c r="D30" s="125"/>
      <c r="E30" s="65" t="str">
        <f t="shared" ref="E30:E93" si="9">$E$1</f>
        <v>EoniaMX#0006</v>
      </c>
      <c r="F30" s="66" t="str">
        <f>IF(ISBLANK(Quote!E53),"",Quote!E53)</f>
        <v>EURONOIS5M=#0006</v>
      </c>
      <c r="G30" s="66" t="str">
        <f>_xll.qlCompositeQuote(Currency&amp;"ON"&amp;A30&amp;B30&amp;"_Shifted",F30,BumpValue,"+",Permanent,Trigger,ObjectOverwrite)</f>
        <v>EURONOIS5M_Shifted#0006</v>
      </c>
      <c r="H30" s="125"/>
      <c r="I30" s="67" t="str">
        <f>_xll.qlOISRateHelper(,C30,B30,IF(Sensitivity,G30,F30),$E30,,Permanent,Trigger,ObjectOverwrite)</f>
        <v>obj_00310#0006</v>
      </c>
      <c r="K30" s="10" t="str">
        <f t="shared" si="6"/>
        <v>OIS</v>
      </c>
      <c r="L30" s="95" t="str">
        <f t="shared" si="7"/>
        <v>obj_00304#0006</v>
      </c>
      <c r="M30" s="146" t="str">
        <f>IFERROR(_xll.qlRateHelperQuoteName(L30,Trigger),"--")</f>
        <v>EURONOIS7M_Shifted</v>
      </c>
      <c r="N30" s="99">
        <f>IFERROR(_xll.qlRateHelperQuoteValue($L30,Trigger),"--")</f>
        <v>-3.5519552600000006E-3</v>
      </c>
      <c r="O30" s="98" t="b">
        <v>1</v>
      </c>
      <c r="P30" s="95">
        <v>50</v>
      </c>
      <c r="Q30" s="95">
        <v>1</v>
      </c>
      <c r="R30" s="100">
        <f>IFERROR(_xll.qlRateHelperEarliestDate(L30,Trigger),"--")</f>
        <v>42748</v>
      </c>
      <c r="S30" s="100">
        <f>IFERROR(_xll.qlRateHelperPillarDate(L30,Trigger),"--")</f>
        <v>42961</v>
      </c>
      <c r="U30" s="4" t="str">
        <f t="shared" ref="U30:U91" si="10">IFERROR(INDEX($K$3:$K$91,MATCH(W30,$M$3:$M$91,0),1),"")</f>
        <v>OIS</v>
      </c>
      <c r="V30" s="4" t="str">
        <v>obj_00298</v>
      </c>
      <c r="W30" s="4" t="str">
        <f>IFERROR(_xll.qlRateHelperQuoteName(V30,Trigger),"")</f>
        <v>EURONOIS22M_Shifted</v>
      </c>
      <c r="X30" s="73">
        <f>IFERROR(_xll.qlRateHelperRate(V30,Trigger),"")</f>
        <v>-3.4105212100000006E-3</v>
      </c>
      <c r="Y30" s="105" t="str">
        <f>IF(ISERROR(_xll.qlSwapRateHelperSpread($V30)),IF(ISERROR(_xll.qlFuturesRateHelperConvexityAdjustment($V30)),"",_xll.qlFuturesRateHelperConvexityAdjustment($V30)),_xll.qlSwapRateHelperSpread($V30))</f>
        <v/>
      </c>
      <c r="Z30" s="5">
        <f>IFERROR(_xll.qlRateHelperEarliestDate(V30,Trigger),"")</f>
        <v>42748</v>
      </c>
      <c r="AA30" s="5">
        <f>IFERROR(_xll.qlRateHelperPillarDate(V30,Trigger),"")</f>
        <v>43417</v>
      </c>
      <c r="AB30" s="73">
        <v>-3.4644665920119406E-3</v>
      </c>
    </row>
    <row r="31" spans="1:37" ht="11.25" customHeight="1" x14ac:dyDescent="0.2">
      <c r="A31" s="62" t="s">
        <v>68</v>
      </c>
      <c r="B31" s="63" t="s">
        <v>3</v>
      </c>
      <c r="C31" s="64">
        <v>2</v>
      </c>
      <c r="D31" s="125"/>
      <c r="E31" s="65" t="str">
        <f t="shared" si="9"/>
        <v>EoniaMX#0006</v>
      </c>
      <c r="F31" s="66" t="str">
        <f>IF(ISBLANK(Quote!E54),"",Quote!E54)</f>
        <v>EURONOIS6M=#0006</v>
      </c>
      <c r="G31" s="66" t="str">
        <f>_xll.qlCompositeQuote(Currency&amp;"ON"&amp;A31&amp;B31&amp;"_Shifted",F31,BumpValue,"+",Permanent,Trigger,ObjectOverwrite)</f>
        <v>EURONOIS6M_Shifted#0006</v>
      </c>
      <c r="H31" s="125"/>
      <c r="I31" s="67" t="str">
        <f>_xll.qlOISRateHelper(,C31,B31,IF(Sensitivity,G31,F31),$E31,,Permanent,Trigger,ObjectOverwrite)</f>
        <v>obj_00312#0006</v>
      </c>
      <c r="K31" s="10" t="str">
        <f t="shared" si="6"/>
        <v>OIS</v>
      </c>
      <c r="L31" s="95" t="str">
        <f t="shared" si="7"/>
        <v>obj_002ca#0006</v>
      </c>
      <c r="M31" s="146" t="str">
        <f>IFERROR(_xll.qlRateHelperQuoteName(L31,Trigger),"--")</f>
        <v>EURONOIS8M_Shifted</v>
      </c>
      <c r="N31" s="99">
        <f>IFERROR(_xll.qlRateHelperQuoteValue($L31,Trigger),"--")</f>
        <v>-3.5530173400000003E-3</v>
      </c>
      <c r="O31" s="98" t="b">
        <v>1</v>
      </c>
      <c r="P31" s="95">
        <v>50</v>
      </c>
      <c r="Q31" s="95">
        <v>1</v>
      </c>
      <c r="R31" s="100">
        <f>IFERROR(_xll.qlRateHelperEarliestDate(L31,Trigger),"--")</f>
        <v>42748</v>
      </c>
      <c r="S31" s="100">
        <f>IFERROR(_xll.qlRateHelperPillarDate(L31,Trigger),"--")</f>
        <v>42991</v>
      </c>
      <c r="U31" s="4" t="str">
        <f t="shared" si="10"/>
        <v>OIS</v>
      </c>
      <c r="V31" s="4" t="str">
        <v>obj_002b9</v>
      </c>
      <c r="W31" s="4" t="str">
        <f>IFERROR(_xll.qlRateHelperQuoteName(V31,Trigger),"")</f>
        <v>EURONOIS23M_Shifted</v>
      </c>
      <c r="X31" s="73">
        <f>IFERROR(_xll.qlRateHelperRate(V31,Trigger),"")</f>
        <v>-3.3875869200000004E-3</v>
      </c>
      <c r="Y31" s="105" t="str">
        <f>IF(ISERROR(_xll.qlSwapRateHelperSpread($V31)),IF(ISERROR(_xll.qlFuturesRateHelperConvexityAdjustment($V31)),"",_xll.qlFuturesRateHelperConvexityAdjustment($V31)),_xll.qlSwapRateHelperSpread($V31))</f>
        <v/>
      </c>
      <c r="Z31" s="5">
        <f>IFERROR(_xll.qlRateHelperEarliestDate(V31,Trigger),"")</f>
        <v>42748</v>
      </c>
      <c r="AA31" s="5">
        <f>IFERROR(_xll.qlRateHelperPillarDate(V31,Trigger),"")</f>
        <v>43447</v>
      </c>
      <c r="AB31" s="73">
        <v>-3.4414332522112543E-3</v>
      </c>
    </row>
    <row r="32" spans="1:37" ht="11.25" customHeight="1" x14ac:dyDescent="0.2">
      <c r="A32" s="62" t="s">
        <v>68</v>
      </c>
      <c r="B32" s="63" t="s">
        <v>42</v>
      </c>
      <c r="C32" s="64">
        <v>2</v>
      </c>
      <c r="D32" s="125"/>
      <c r="E32" s="65" t="str">
        <f t="shared" si="9"/>
        <v>EoniaMX#0006</v>
      </c>
      <c r="F32" s="66" t="str">
        <f>IF(ISBLANK(Quote!E55),"",Quote!E55)</f>
        <v>EURONOIS7M=#0006</v>
      </c>
      <c r="G32" s="66" t="str">
        <f>_xll.qlCompositeQuote(Currency&amp;"ON"&amp;A32&amp;B32&amp;"_Shifted",F32,BumpValue,"+",Permanent,Trigger,ObjectOverwrite)</f>
        <v>EURONOIS7M_Shifted#0006</v>
      </c>
      <c r="H32" s="125"/>
      <c r="I32" s="67" t="str">
        <f>_xll.qlOISRateHelper(,C32,B32,IF(Sensitivity,G32,F32),$E32,,Permanent,Trigger,ObjectOverwrite)</f>
        <v>obj_00304#0006</v>
      </c>
      <c r="K32" s="10" t="str">
        <f t="shared" si="6"/>
        <v>OIS</v>
      </c>
      <c r="L32" s="95" t="str">
        <f t="shared" si="7"/>
        <v>obj_002c9#0006</v>
      </c>
      <c r="M32" s="146" t="str">
        <f>IFERROR(_xll.qlRateHelperQuoteName(L32,Trigger),"--")</f>
        <v>EURONOIS9M_Shifted</v>
      </c>
      <c r="N32" s="99">
        <f>IFERROR(_xll.qlRateHelperQuoteValue($L32,Trigger),"--")</f>
        <v>-3.5514952600000007E-3</v>
      </c>
      <c r="O32" s="98" t="b">
        <v>1</v>
      </c>
      <c r="P32" s="95">
        <v>50</v>
      </c>
      <c r="Q32" s="95">
        <v>1</v>
      </c>
      <c r="R32" s="100">
        <f>IFERROR(_xll.qlRateHelperEarliestDate(L32,Trigger),"--")</f>
        <v>42748</v>
      </c>
      <c r="S32" s="100">
        <f>IFERROR(_xll.qlRateHelperPillarDate(L32,Trigger),"--")</f>
        <v>43021</v>
      </c>
      <c r="U32" s="4" t="str">
        <f t="shared" si="10"/>
        <v>OIS</v>
      </c>
      <c r="V32" s="4" t="str">
        <v>obj_002c5</v>
      </c>
      <c r="W32" s="4" t="str">
        <f>IFERROR(_xll.qlRateHelperQuoteName(V32,Trigger),"")</f>
        <v>EURONOIS2Y_Shifted</v>
      </c>
      <c r="X32" s="73">
        <f>IFERROR(_xll.qlRateHelperRate(V32,Trigger),"")</f>
        <v>-3.3600000000000001E-3</v>
      </c>
      <c r="Y32" s="105" t="str">
        <f>IF(ISERROR(_xll.qlSwapRateHelperSpread($V32)),IF(ISERROR(_xll.qlFuturesRateHelperConvexityAdjustment($V32)),"",_xll.qlFuturesRateHelperConvexityAdjustment($V32)),_xll.qlSwapRateHelperSpread($V32))</f>
        <v/>
      </c>
      <c r="Z32" s="5">
        <f>IFERROR(_xll.qlRateHelperEarliestDate(V32,Trigger),"")</f>
        <v>42748</v>
      </c>
      <c r="AA32" s="5">
        <f>IFERROR(_xll.qlRateHelperPillarDate(V32,Trigger),"")</f>
        <v>43479</v>
      </c>
      <c r="AB32" s="73">
        <v>-3.4137265712378012E-3</v>
      </c>
    </row>
    <row r="33" spans="1:28" ht="11.25" customHeight="1" x14ac:dyDescent="0.2">
      <c r="A33" s="62" t="s">
        <v>68</v>
      </c>
      <c r="B33" s="63" t="s">
        <v>43</v>
      </c>
      <c r="C33" s="64">
        <v>2</v>
      </c>
      <c r="D33" s="125"/>
      <c r="E33" s="65" t="str">
        <f t="shared" si="9"/>
        <v>EoniaMX#0006</v>
      </c>
      <c r="F33" s="66" t="str">
        <f>IF(ISBLANK(Quote!E56),"",Quote!E56)</f>
        <v>EURONOIS8M=#0006</v>
      </c>
      <c r="G33" s="66" t="str">
        <f>_xll.qlCompositeQuote(Currency&amp;"ON"&amp;A33&amp;B33&amp;"_Shifted",F33,BumpValue,"+",Permanent,Trigger,ObjectOverwrite)</f>
        <v>EURONOIS8M_Shifted#0006</v>
      </c>
      <c r="H33" s="125"/>
      <c r="I33" s="67" t="str">
        <f>_xll.qlOISRateHelper(,C33,B33,IF(Sensitivity,G33,F33),$E33,,Permanent,Trigger,ObjectOverwrite)</f>
        <v>obj_002ca#0006</v>
      </c>
      <c r="K33" s="10" t="str">
        <f t="shared" si="6"/>
        <v>OIS</v>
      </c>
      <c r="L33" s="95" t="str">
        <f t="shared" si="7"/>
        <v>obj_002be#0006</v>
      </c>
      <c r="M33" s="146" t="str">
        <f>IFERROR(_xll.qlRateHelperQuoteName(L33,Trigger),"--")</f>
        <v>EURONOIS10M_Shifted</v>
      </c>
      <c r="N33" s="99">
        <f>IFERROR(_xll.qlRateHelperQuoteValue($L33,Trigger),"--")</f>
        <v>-3.5479048900000005E-3</v>
      </c>
      <c r="O33" s="98" t="b">
        <v>1</v>
      </c>
      <c r="P33" s="95">
        <v>50</v>
      </c>
      <c r="Q33" s="95">
        <v>1</v>
      </c>
      <c r="R33" s="100">
        <f>IFERROR(_xll.qlRateHelperEarliestDate(L33,Trigger),"--")</f>
        <v>42748</v>
      </c>
      <c r="S33" s="100">
        <f>IFERROR(_xll.qlRateHelperPillarDate(L33,Trigger),"--")</f>
        <v>43052</v>
      </c>
      <c r="U33" s="4" t="str">
        <f t="shared" si="10"/>
        <v>OIS</v>
      </c>
      <c r="V33" s="4" t="str">
        <v>obj_002a4</v>
      </c>
      <c r="W33" s="4" t="str">
        <f>IFERROR(_xll.qlRateHelperQuoteName(V33,Trigger),"")</f>
        <v>EURONOIS3Y_Shifted</v>
      </c>
      <c r="X33" s="73">
        <f>IFERROR(_xll.qlRateHelperRate(V33,Trigger),"")</f>
        <v>-2.8800000000000002E-3</v>
      </c>
      <c r="Y33" s="105" t="str">
        <f>IF(ISERROR(_xll.qlSwapRateHelperSpread($V33)),IF(ISERROR(_xll.qlFuturesRateHelperConvexityAdjustment($V33)),"",_xll.qlFuturesRateHelperConvexityAdjustment($V33)),_xll.qlSwapRateHelperSpread($V33))</f>
        <v/>
      </c>
      <c r="Z33" s="5">
        <f>IFERROR(_xll.qlRateHelperEarliestDate(V33,Trigger),"")</f>
        <v>42748</v>
      </c>
      <c r="AA33" s="5">
        <f>IFERROR(_xll.qlRateHelperPillarDate(V33,Trigger),"")</f>
        <v>43843</v>
      </c>
      <c r="AB33" s="73">
        <v>-2.9273840544835612E-3</v>
      </c>
    </row>
    <row r="34" spans="1:28" ht="11.25" customHeight="1" x14ac:dyDescent="0.2">
      <c r="A34" s="62" t="s">
        <v>68</v>
      </c>
      <c r="B34" s="63" t="s">
        <v>44</v>
      </c>
      <c r="C34" s="64">
        <v>2</v>
      </c>
      <c r="D34" s="125"/>
      <c r="E34" s="65" t="str">
        <f t="shared" si="9"/>
        <v>EoniaMX#0006</v>
      </c>
      <c r="F34" s="66" t="str">
        <f>IF(ISBLANK(Quote!E57),"",Quote!E57)</f>
        <v>EURONOIS9M=#0006</v>
      </c>
      <c r="G34" s="66" t="str">
        <f>_xll.qlCompositeQuote(Currency&amp;"ON"&amp;A34&amp;B34&amp;"_Shifted",F34,BumpValue,"+",Permanent,Trigger,ObjectOverwrite)</f>
        <v>EURONOIS9M_Shifted#0006</v>
      </c>
      <c r="H34" s="125"/>
      <c r="I34" s="67" t="str">
        <f>_xll.qlOISRateHelper(,C34,B34,IF(Sensitivity,G34,F34),$E34,,Permanent,Trigger,ObjectOverwrite)</f>
        <v>obj_002c9#0006</v>
      </c>
      <c r="K34" s="10" t="str">
        <f t="shared" si="6"/>
        <v>OIS</v>
      </c>
      <c r="L34" s="95" t="str">
        <f t="shared" si="7"/>
        <v>obj_002bd#0006</v>
      </c>
      <c r="M34" s="146" t="str">
        <f>IFERROR(_xll.qlRateHelperQuoteName(L34,Trigger),"--")</f>
        <v>EURONOIS11M_Shifted</v>
      </c>
      <c r="N34" s="99">
        <f>IFERROR(_xll.qlRateHelperQuoteValue($L34,Trigger),"--")</f>
        <v>-3.5434617700000003E-3</v>
      </c>
      <c r="O34" s="98" t="b">
        <v>1</v>
      </c>
      <c r="P34" s="95">
        <v>50</v>
      </c>
      <c r="Q34" s="95">
        <v>1</v>
      </c>
      <c r="R34" s="100">
        <f>IFERROR(_xll.qlRateHelperEarliestDate(L34,Trigger),"--")</f>
        <v>42748</v>
      </c>
      <c r="S34" s="100">
        <f>IFERROR(_xll.qlRateHelperPillarDate(L34,Trigger),"--")</f>
        <v>43082</v>
      </c>
      <c r="U34" s="4" t="str">
        <f t="shared" si="10"/>
        <v>OIS</v>
      </c>
      <c r="V34" s="4" t="str">
        <v>obj_002c3</v>
      </c>
      <c r="W34" s="4" t="str">
        <f>IFERROR(_xll.qlRateHelperQuoteName(V34,Trigger),"")</f>
        <v>EURONOIS4Y_Shifted</v>
      </c>
      <c r="X34" s="73">
        <f>IFERROR(_xll.qlRateHelperRate(V34,Trigger),"")</f>
        <v>-2.2300000000000002E-3</v>
      </c>
      <c r="Y34" s="105" t="str">
        <f>IF(ISERROR(_xll.qlSwapRateHelperSpread($V34)),IF(ISERROR(_xll.qlFuturesRateHelperConvexityAdjustment($V34)),"",_xll.qlFuturesRateHelperConvexityAdjustment($V34)),_xll.qlSwapRateHelperSpread($V34))</f>
        <v/>
      </c>
      <c r="Z34" s="5">
        <f>IFERROR(_xll.qlRateHelperEarliestDate(V34,Trigger),"")</f>
        <v>42748</v>
      </c>
      <c r="AA34" s="5">
        <f>IFERROR(_xll.qlRateHelperPillarDate(V34,Trigger),"")</f>
        <v>44209</v>
      </c>
      <c r="AB34" s="73">
        <v>-2.2687358940159581E-3</v>
      </c>
    </row>
    <row r="35" spans="1:28" ht="11.25" customHeight="1" x14ac:dyDescent="0.2">
      <c r="A35" s="62" t="s">
        <v>68</v>
      </c>
      <c r="B35" s="63" t="s">
        <v>45</v>
      </c>
      <c r="C35" s="64">
        <v>2</v>
      </c>
      <c r="D35" s="125"/>
      <c r="E35" s="65" t="str">
        <f t="shared" si="9"/>
        <v>EoniaMX#0006</v>
      </c>
      <c r="F35" s="66" t="str">
        <f>IF(ISBLANK(Quote!E58),"",Quote!E58)</f>
        <v>EURONOIS10M=#0006</v>
      </c>
      <c r="G35" s="66" t="str">
        <f>_xll.qlCompositeQuote(Currency&amp;"ON"&amp;A35&amp;B35&amp;"_Shifted",F35,BumpValue,"+",Permanent,Trigger,ObjectOverwrite)</f>
        <v>EURONOIS10M_Shifted#0006</v>
      </c>
      <c r="H35" s="125"/>
      <c r="I35" s="67" t="str">
        <f>_xll.qlOISRateHelper(,C35,B35,IF(Sensitivity,G35,F35),$E35,,Permanent,Trigger,ObjectOverwrite)</f>
        <v>obj_002be#0006</v>
      </c>
      <c r="K35" s="10" t="str">
        <f t="shared" si="6"/>
        <v>OIS</v>
      </c>
      <c r="L35" s="95" t="str">
        <f t="shared" si="7"/>
        <v>--</v>
      </c>
      <c r="M35" s="146" t="str">
        <f>IFERROR(_xll.qlRateHelperQuoteName(L35,Trigger),"--")</f>
        <v>--</v>
      </c>
      <c r="N35" s="99" t="str">
        <f>IFERROR(_xll.qlRateHelperQuoteValue($L35,Trigger),"--")</f>
        <v>--</v>
      </c>
      <c r="O35" s="98" t="b">
        <v>0</v>
      </c>
      <c r="P35" s="95">
        <v>50</v>
      </c>
      <c r="Q35" s="95">
        <v>1</v>
      </c>
      <c r="R35" s="100" t="str">
        <f>IFERROR(_xll.qlRateHelperEarliestDate(L35,Trigger),"--")</f>
        <v>--</v>
      </c>
      <c r="S35" s="100" t="str">
        <f>IFERROR(_xll.qlRateHelperPillarDate(L35,Trigger),"--")</f>
        <v>--</v>
      </c>
      <c r="U35" s="4" t="str">
        <f t="shared" si="10"/>
        <v>OIS</v>
      </c>
      <c r="V35" s="4" t="str">
        <v>obj_002d3</v>
      </c>
      <c r="W35" s="4" t="str">
        <f>IFERROR(_xll.qlRateHelperQuoteName(V35,Trigger),"")</f>
        <v>EURONOIS5Y_Shifted</v>
      </c>
      <c r="X35" s="73">
        <f>IFERROR(_xll.qlRateHelperRate(V35,Trigger),"")</f>
        <v>-1.34E-3</v>
      </c>
      <c r="Y35" s="105" t="str">
        <f>IF(ISERROR(_xll.qlSwapRateHelperSpread($V35)),IF(ISERROR(_xll.qlFuturesRateHelperConvexityAdjustment($V35)),"",_xll.qlFuturesRateHelperConvexityAdjustment($V35)),_xll.qlSwapRateHelperSpread($V35))</f>
        <v/>
      </c>
      <c r="Z35" s="5">
        <f>IFERROR(_xll.qlRateHelperEarliestDate(V35,Trigger),"")</f>
        <v>42748</v>
      </c>
      <c r="AA35" s="5">
        <f>IFERROR(_xll.qlRateHelperPillarDate(V35,Trigger),"")</f>
        <v>44574</v>
      </c>
      <c r="AB35" s="73">
        <v>-1.3661370420481114E-3</v>
      </c>
    </row>
    <row r="36" spans="1:28" ht="11.25" customHeight="1" x14ac:dyDescent="0.2">
      <c r="A36" s="62" t="s">
        <v>68</v>
      </c>
      <c r="B36" s="63" t="s">
        <v>46</v>
      </c>
      <c r="C36" s="64">
        <v>2</v>
      </c>
      <c r="D36" s="125"/>
      <c r="E36" s="65" t="str">
        <f t="shared" si="9"/>
        <v>EoniaMX#0006</v>
      </c>
      <c r="F36" s="66" t="str">
        <f>IF(ISBLANK(Quote!E59),"",Quote!E59)</f>
        <v>EURONOIS11M=#0006</v>
      </c>
      <c r="G36" s="66" t="str">
        <f>_xll.qlCompositeQuote(Currency&amp;"ON"&amp;A36&amp;B36&amp;"_Shifted",F36,BumpValue,"+",Permanent,Trigger,ObjectOverwrite)</f>
        <v>EURONOIS11M_Shifted#0006</v>
      </c>
      <c r="H36" s="125"/>
      <c r="I36" s="67" t="str">
        <f>_xll.qlOISRateHelper(,C36,B36,IF(Sensitivity,G36,F36),$E36,,Permanent,Trigger,ObjectOverwrite)</f>
        <v>obj_002bd#0006</v>
      </c>
      <c r="K36" s="10" t="str">
        <f t="shared" si="6"/>
        <v>OIS</v>
      </c>
      <c r="L36" s="95" t="str">
        <f t="shared" si="7"/>
        <v>obj_002e1#0006</v>
      </c>
      <c r="M36" s="146" t="str">
        <f>IFERROR(_xll.qlRateHelperQuoteName(L36,Trigger),"--")</f>
        <v>EURONOIS1Y_Shifted</v>
      </c>
      <c r="N36" s="99">
        <f>IFERROR(_xll.qlRateHelperQuoteValue($L36,Trigger),"--")</f>
        <v>-3.5383140300000006E-3</v>
      </c>
      <c r="O36" s="98" t="b">
        <v>1</v>
      </c>
      <c r="P36" s="95">
        <v>50</v>
      </c>
      <c r="Q36" s="95">
        <v>1</v>
      </c>
      <c r="R36" s="100">
        <f>IFERROR(_xll.qlRateHelperEarliestDate(L36,Trigger),"--")</f>
        <v>42748</v>
      </c>
      <c r="S36" s="100">
        <f>IFERROR(_xll.qlRateHelperPillarDate(L36,Trigger),"--")</f>
        <v>43115</v>
      </c>
      <c r="U36" s="4" t="str">
        <f t="shared" si="10"/>
        <v>OIS</v>
      </c>
      <c r="V36" s="4" t="str">
        <v>obj_002b8</v>
      </c>
      <c r="W36" s="4" t="str">
        <f>IFERROR(_xll.qlRateHelperQuoteName(V36,Trigger),"")</f>
        <v>EURONOIS6Y_Shifted</v>
      </c>
      <c r="X36" s="73">
        <f>IFERROR(_xll.qlRateHelperRate(V36,Trigger),"")</f>
        <v>-2.4000000000000001E-4</v>
      </c>
      <c r="Y36" s="105" t="str">
        <f>IF(ISERROR(_xll.qlSwapRateHelperSpread($V36)),IF(ISERROR(_xll.qlFuturesRateHelperConvexityAdjustment($V36)),"",_xll.qlFuturesRateHelperConvexityAdjustment($V36)),_xll.qlSwapRateHelperSpread($V36))</f>
        <v/>
      </c>
      <c r="Z36" s="5">
        <f>IFERROR(_xll.qlRateHelperEarliestDate(V36,Trigger),"")</f>
        <v>42748</v>
      </c>
      <c r="AA36" s="5">
        <f>IFERROR(_xll.qlRateHelperPillarDate(V36,Trigger),"")</f>
        <v>44939</v>
      </c>
      <c r="AB36" s="73">
        <v>-2.4784049276269462E-4</v>
      </c>
    </row>
    <row r="37" spans="1:28" ht="11.25" customHeight="1" x14ac:dyDescent="0.2">
      <c r="A37" s="172" t="s">
        <v>68</v>
      </c>
      <c r="B37" s="173" t="s">
        <v>116</v>
      </c>
      <c r="C37" s="175"/>
      <c r="D37" s="175"/>
      <c r="E37" s="175"/>
      <c r="F37" s="283" t="str">
        <f>IF(ISBLANK(Quote!E60),"",Quote!E60)</f>
        <v/>
      </c>
      <c r="G37" s="175"/>
      <c r="H37" s="175"/>
      <c r="I37" s="175"/>
      <c r="K37" s="10" t="str">
        <f t="shared" si="6"/>
        <v>OIS</v>
      </c>
      <c r="L37" s="95" t="str">
        <f t="shared" si="7"/>
        <v>obj_002dc#0006</v>
      </c>
      <c r="M37" s="146" t="str">
        <f>IFERROR(_xll.qlRateHelperQuoteName(L37,Trigger),"--")</f>
        <v>EURONOIS13M_Shifted</v>
      </c>
      <c r="N37" s="99">
        <f>IFERROR(_xll.qlRateHelperQuoteValue($L37,Trigger),"--")</f>
        <v>-3.5341593700000001E-3</v>
      </c>
      <c r="O37" s="98" t="b">
        <v>1</v>
      </c>
      <c r="P37" s="95">
        <v>50</v>
      </c>
      <c r="Q37" s="95">
        <v>1</v>
      </c>
      <c r="R37" s="100">
        <f>IFERROR(_xll.qlRateHelperEarliestDate(L37,Trigger),"--")</f>
        <v>42748</v>
      </c>
      <c r="S37" s="100">
        <f>IFERROR(_xll.qlRateHelperPillarDate(L37,Trigger),"--")</f>
        <v>43144</v>
      </c>
      <c r="U37" s="4" t="str">
        <f t="shared" si="10"/>
        <v>OIS</v>
      </c>
      <c r="V37" s="4" t="str">
        <v>obj_002c2</v>
      </c>
      <c r="W37" s="4" t="str">
        <f>IFERROR(_xll.qlRateHelperQuoteName(V37,Trigger),"")</f>
        <v>EURONOIS7Y_Shifted</v>
      </c>
      <c r="X37" s="73">
        <f>IFERROR(_xll.qlRateHelperRate(V37,Trigger),"")</f>
        <v>9.7999999999999997E-4</v>
      </c>
      <c r="Y37" s="105" t="str">
        <f>IF(ISERROR(_xll.qlSwapRateHelperSpread($V37)),IF(ISERROR(_xll.qlFuturesRateHelperConvexityAdjustment($V37)),"",_xll.qlFuturesRateHelperConvexityAdjustment($V37)),_xll.qlSwapRateHelperSpread($V37))</f>
        <v/>
      </c>
      <c r="Z37" s="5">
        <f>IFERROR(_xll.qlRateHelperEarliestDate(V37,Trigger),"")</f>
        <v>42748</v>
      </c>
      <c r="AA37" s="5">
        <f>IFERROR(_xll.qlRateHelperPillarDate(V37,Trigger),"")</f>
        <v>45306</v>
      </c>
      <c r="AB37" s="73">
        <v>9.9761320035191155E-4</v>
      </c>
    </row>
    <row r="38" spans="1:28" ht="11.25" customHeight="1" x14ac:dyDescent="0.2">
      <c r="A38" s="62" t="s">
        <v>68</v>
      </c>
      <c r="B38" s="63" t="s">
        <v>27</v>
      </c>
      <c r="C38" s="64">
        <v>2</v>
      </c>
      <c r="D38" s="125"/>
      <c r="E38" s="65" t="str">
        <f t="shared" si="9"/>
        <v>EoniaMX#0006</v>
      </c>
      <c r="F38" s="66" t="str">
        <f>IF(ISBLANK(Quote!E61),"",Quote!E61)</f>
        <v>EURONOIS1Y=#0006</v>
      </c>
      <c r="G38" s="66" t="str">
        <f>_xll.qlCompositeQuote(Currency&amp;"ON"&amp;A38&amp;B38&amp;"_Shifted",F38,BumpValue,"+",Permanent,Trigger,ObjectOverwrite)</f>
        <v>EURONOIS1Y_Shifted#0006</v>
      </c>
      <c r="H38" s="125"/>
      <c r="I38" s="67" t="str">
        <f>_xll.qlOISRateHelper(,C38,B38,IF(Sensitivity,G38,F38),$E38,,Permanent,Trigger,ObjectOverwrite)</f>
        <v>obj_002e1#0006</v>
      </c>
      <c r="K38" s="10" t="str">
        <f t="shared" si="6"/>
        <v>OIS</v>
      </c>
      <c r="L38" s="95" t="str">
        <f t="shared" si="7"/>
        <v>obj_002cb#0006</v>
      </c>
      <c r="M38" s="146" t="str">
        <f>IFERROR(_xll.qlRateHelperQuoteName(L38,Trigger),"--")</f>
        <v>EURONOIS14M_Shifted</v>
      </c>
      <c r="N38" s="99">
        <f>IFERROR(_xll.qlRateHelperQuoteValue($L38,Trigger),"--")</f>
        <v>-3.5286307500000001E-3</v>
      </c>
      <c r="O38" s="98" t="b">
        <v>1</v>
      </c>
      <c r="P38" s="95">
        <v>50</v>
      </c>
      <c r="Q38" s="95">
        <v>1</v>
      </c>
      <c r="R38" s="100">
        <f>IFERROR(_xll.qlRateHelperEarliestDate(L38,Trigger),"--")</f>
        <v>42748</v>
      </c>
      <c r="S38" s="100">
        <f>IFERROR(_xll.qlRateHelperPillarDate(L38,Trigger),"--")</f>
        <v>43172</v>
      </c>
      <c r="U38" s="4" t="str">
        <f t="shared" si="10"/>
        <v>OIS</v>
      </c>
      <c r="V38" s="4" t="str">
        <v>obj_002bc</v>
      </c>
      <c r="W38" s="4" t="str">
        <f>IFERROR(_xll.qlRateHelperQuoteName(V38,Trigger),"")</f>
        <v>EURONOIS8Y_Shifted</v>
      </c>
      <c r="X38" s="73">
        <f>IFERROR(_xll.qlRateHelperRate(V38,Trigger),"")</f>
        <v>2.2300000000000002E-3</v>
      </c>
      <c r="Y38" s="105" t="str">
        <f>IF(ISERROR(_xll.qlSwapRateHelperSpread($V38)),IF(ISERROR(_xll.qlFuturesRateHelperConvexityAdjustment($V38)),"",_xll.qlFuturesRateHelperConvexityAdjustment($V38)),_xll.qlSwapRateHelperSpread($V38))</f>
        <v/>
      </c>
      <c r="Z38" s="5">
        <f>IFERROR(_xll.qlRateHelperEarliestDate(V38,Trigger),"")</f>
        <v>42748</v>
      </c>
      <c r="AA38" s="5">
        <f>IFERROR(_xll.qlRateHelperPillarDate(V38,Trigger),"")</f>
        <v>45670</v>
      </c>
      <c r="AB38" s="73">
        <v>2.2808971936710168E-3</v>
      </c>
    </row>
    <row r="39" spans="1:28" ht="11.25" customHeight="1" x14ac:dyDescent="0.2">
      <c r="A39" s="62" t="s">
        <v>68</v>
      </c>
      <c r="B39" s="63" t="s">
        <v>147</v>
      </c>
      <c r="C39" s="64">
        <v>2</v>
      </c>
      <c r="D39" s="125"/>
      <c r="E39" s="65" t="str">
        <f t="shared" si="9"/>
        <v>EoniaMX#0006</v>
      </c>
      <c r="F39" s="66" t="str">
        <f>IF(ISBLANK(Quote!E62),"",Quote!E62)</f>
        <v>EURONOIS13M=#0006</v>
      </c>
      <c r="G39" s="66" t="str">
        <f>_xll.qlCompositeQuote(Currency&amp;"ON"&amp;A39&amp;B39&amp;"_Shifted",F39,BumpValue,"+",Permanent,Trigger,ObjectOverwrite)</f>
        <v>EURONOIS13M_Shifted#0006</v>
      </c>
      <c r="H39" s="125"/>
      <c r="I39" s="67" t="str">
        <f>_xll.qlOISRateHelper(,C39,B39,IF(Sensitivity,G39,F39),$E39,,Permanent,Trigger,ObjectOverwrite)</f>
        <v>obj_002dc#0006</v>
      </c>
      <c r="K39" s="10" t="str">
        <f t="shared" si="6"/>
        <v>OIS</v>
      </c>
      <c r="L39" s="95" t="str">
        <f t="shared" si="7"/>
        <v>obj_002d4#0006</v>
      </c>
      <c r="M39" s="146" t="str">
        <f>IFERROR(_xll.qlRateHelperQuoteName(L39,Trigger),"--")</f>
        <v>EURONOIS15M_Shifted</v>
      </c>
      <c r="N39" s="99">
        <f>IFERROR(_xll.qlRateHelperQuoteValue($L39,Trigger),"--")</f>
        <v>-3.5199999999999997E-3</v>
      </c>
      <c r="O39" s="98" t="b">
        <v>1</v>
      </c>
      <c r="P39" s="95">
        <v>50</v>
      </c>
      <c r="Q39" s="95">
        <v>1</v>
      </c>
      <c r="R39" s="100">
        <f>IFERROR(_xll.qlRateHelperEarliestDate(L39,Trigger),"--")</f>
        <v>42748</v>
      </c>
      <c r="S39" s="100">
        <f>IFERROR(_xll.qlRateHelperPillarDate(L39,Trigger),"--")</f>
        <v>43203</v>
      </c>
      <c r="U39" s="4" t="str">
        <f t="shared" si="10"/>
        <v>OIS</v>
      </c>
      <c r="V39" s="4" t="str">
        <v>obj_002db</v>
      </c>
      <c r="W39" s="4" t="str">
        <f>IFERROR(_xll.qlRateHelperQuoteName(V39,Trigger),"")</f>
        <v>EURONOIS9Y_Shifted</v>
      </c>
      <c r="X39" s="73">
        <f>IFERROR(_xll.qlRateHelperRate(V39,Trigger),"")</f>
        <v>3.4900000000000005E-3</v>
      </c>
      <c r="Y39" s="105" t="str">
        <f>IF(ISERROR(_xll.qlSwapRateHelperSpread($V39)),IF(ISERROR(_xll.qlFuturesRateHelperConvexityAdjustment($V39)),"",_xll.qlFuturesRateHelperConvexityAdjustment($V39)),_xll.qlSwapRateHelperSpread($V39))</f>
        <v/>
      </c>
      <c r="Z39" s="5">
        <f>IFERROR(_xll.qlRateHelperEarliestDate(V39,Trigger),"")</f>
        <v>42748</v>
      </c>
      <c r="AA39" s="5">
        <f>IFERROR(_xll.qlRateHelperPillarDate(V39,Trigger),"")</f>
        <v>46035</v>
      </c>
      <c r="AB39" s="73">
        <v>3.5834254947582486E-3</v>
      </c>
    </row>
    <row r="40" spans="1:28" ht="11.25" customHeight="1" x14ac:dyDescent="0.2">
      <c r="A40" s="62" t="s">
        <v>68</v>
      </c>
      <c r="B40" s="63" t="s">
        <v>148</v>
      </c>
      <c r="C40" s="64">
        <v>2</v>
      </c>
      <c r="D40" s="125"/>
      <c r="E40" s="65" t="str">
        <f t="shared" si="9"/>
        <v>EoniaMX#0006</v>
      </c>
      <c r="F40" s="66" t="str">
        <f>IF(ISBLANK(Quote!E63),"",Quote!E63)</f>
        <v>EURONOIS14M=#0006</v>
      </c>
      <c r="G40" s="66" t="str">
        <f>_xll.qlCompositeQuote(Currency&amp;"ON"&amp;A40&amp;B40&amp;"_Shifted",F40,BumpValue,"+",Permanent,Trigger,ObjectOverwrite)</f>
        <v>EURONOIS14M_Shifted#0006</v>
      </c>
      <c r="H40" s="125"/>
      <c r="I40" s="67" t="str">
        <f>_xll.qlOISRateHelper(,C40,B40,IF(Sensitivity,G40,F40),$E40,,Permanent,Trigger,ObjectOverwrite)</f>
        <v>obj_002cb#0006</v>
      </c>
      <c r="K40" s="10" t="str">
        <f t="shared" si="6"/>
        <v>OIS</v>
      </c>
      <c r="L40" s="95" t="str">
        <f t="shared" si="7"/>
        <v>obj_002cd#0006</v>
      </c>
      <c r="M40" s="146" t="str">
        <f>IFERROR(_xll.qlRateHelperQuoteName(L40,Trigger),"--")</f>
        <v>EURONOIS16M_Shifted</v>
      </c>
      <c r="N40" s="99">
        <f>IFERROR(_xll.qlRateHelperQuoteValue($L40,Trigger),"--")</f>
        <v>-3.5082024300000002E-3</v>
      </c>
      <c r="O40" s="98" t="b">
        <v>1</v>
      </c>
      <c r="P40" s="95">
        <v>50</v>
      </c>
      <c r="Q40" s="95">
        <v>1</v>
      </c>
      <c r="R40" s="100">
        <f>IFERROR(_xll.qlRateHelperEarliestDate(L40,Trigger),"--")</f>
        <v>42748</v>
      </c>
      <c r="S40" s="100">
        <f>IFERROR(_xll.qlRateHelperPillarDate(L40,Trigger),"--")</f>
        <v>43234</v>
      </c>
      <c r="U40" s="4" t="str">
        <f t="shared" si="10"/>
        <v>OIS</v>
      </c>
      <c r="V40" s="4" t="str">
        <v>obj_002af</v>
      </c>
      <c r="W40" s="4" t="str">
        <f>IFERROR(_xll.qlRateHelperQuoteName(V40,Trigger),"")</f>
        <v>EURONOIS10Y_Shifted</v>
      </c>
      <c r="X40" s="73">
        <f>IFERROR(_xll.qlRateHelperRate(V40,Trigger),"")</f>
        <v>4.6500000000000005E-3</v>
      </c>
      <c r="Y40" s="105" t="str">
        <f>IF(ISERROR(_xll.qlSwapRateHelperSpread($V40)),IF(ISERROR(_xll.qlFuturesRateHelperConvexityAdjustment($V40)),"",_xll.qlFuturesRateHelperConvexityAdjustment($V40)),_xll.qlSwapRateHelperSpread($V40))</f>
        <v/>
      </c>
      <c r="Z40" s="5">
        <f>IFERROR(_xll.qlRateHelperEarliestDate(V40,Trigger),"")</f>
        <v>42748</v>
      </c>
      <c r="AA40" s="5">
        <f>IFERROR(_xll.qlRateHelperPillarDate(V40,Trigger),"")</f>
        <v>46400</v>
      </c>
      <c r="AB40" s="73">
        <v>4.7915836580123385E-3</v>
      </c>
    </row>
    <row r="41" spans="1:28" ht="11.25" customHeight="1" x14ac:dyDescent="0.2">
      <c r="A41" s="62" t="s">
        <v>68</v>
      </c>
      <c r="B41" s="63" t="s">
        <v>47</v>
      </c>
      <c r="C41" s="64">
        <v>2</v>
      </c>
      <c r="D41" s="125"/>
      <c r="E41" s="65" t="str">
        <f t="shared" si="9"/>
        <v>EoniaMX#0006</v>
      </c>
      <c r="F41" s="66" t="str">
        <f>IF(ISBLANK(Quote!E64),"",Quote!E64)</f>
        <v>EURONOIS15M=#0006</v>
      </c>
      <c r="G41" s="66" t="str">
        <f>_xll.qlCompositeQuote(Currency&amp;"ON"&amp;A41&amp;B41&amp;"_Shifted",F41,BumpValue,"+",Permanent,Trigger,ObjectOverwrite)</f>
        <v>EURONOIS15M_Shifted#0006</v>
      </c>
      <c r="H41" s="125"/>
      <c r="I41" s="67" t="str">
        <f>_xll.qlOISRateHelper(,C41,B41,IF(Sensitivity,G41,F41),$E41,,Permanent,Trigger,ObjectOverwrite)</f>
        <v>obj_002d4#0006</v>
      </c>
      <c r="K41" s="10" t="str">
        <f t="shared" si="6"/>
        <v>OIS</v>
      </c>
      <c r="L41" s="95" t="str">
        <f t="shared" si="7"/>
        <v>obj_002a0#0006</v>
      </c>
      <c r="M41" s="146" t="str">
        <f>IFERROR(_xll.qlRateHelperQuoteName(L41,Trigger),"--")</f>
        <v>EURONOIS17M_Shifted</v>
      </c>
      <c r="N41" s="99">
        <f>IFERROR(_xll.qlRateHelperQuoteValue($L41,Trigger),"--")</f>
        <v>-3.4945776900000003E-3</v>
      </c>
      <c r="O41" s="98" t="b">
        <v>1</v>
      </c>
      <c r="P41" s="95">
        <v>50</v>
      </c>
      <c r="Q41" s="95">
        <v>1</v>
      </c>
      <c r="R41" s="100">
        <f>IFERROR(_xll.qlRateHelperEarliestDate(L41,Trigger),"--")</f>
        <v>42748</v>
      </c>
      <c r="S41" s="100">
        <f>IFERROR(_xll.qlRateHelperPillarDate(L41,Trigger),"--")</f>
        <v>43264</v>
      </c>
      <c r="U41" s="4" t="str">
        <f t="shared" si="10"/>
        <v>OIS</v>
      </c>
      <c r="V41" s="4" t="str">
        <v>obj_0029a</v>
      </c>
      <c r="W41" s="4" t="str">
        <f>IFERROR(_xll.qlRateHelperQuoteName(V41,Trigger),"")</f>
        <v>EURONOIS11Y_Shifted</v>
      </c>
      <c r="X41" s="73">
        <f>IFERROR(_xll.qlRateHelperRate(V41,Trigger),"")</f>
        <v>5.680000000000001E-3</v>
      </c>
      <c r="Y41" s="105" t="str">
        <f>IF(ISERROR(_xll.qlSwapRateHelperSpread($V41)),IF(ISERROR(_xll.qlFuturesRateHelperConvexityAdjustment($V41)),"",_xll.qlFuturesRateHelperConvexityAdjustment($V41)),_xll.qlSwapRateHelperSpread($V41))</f>
        <v/>
      </c>
      <c r="Z41" s="5">
        <f>IFERROR(_xll.qlRateHelperEarliestDate(V41,Trigger),"")</f>
        <v>42748</v>
      </c>
      <c r="AA41" s="5">
        <f>IFERROR(_xll.qlRateHelperPillarDate(V41,Trigger),"")</f>
        <v>46765</v>
      </c>
      <c r="AB41" s="73">
        <v>5.8722788818624163E-3</v>
      </c>
    </row>
    <row r="42" spans="1:28" ht="11.25" customHeight="1" x14ac:dyDescent="0.2">
      <c r="A42" s="62" t="s">
        <v>68</v>
      </c>
      <c r="B42" s="63" t="s">
        <v>149</v>
      </c>
      <c r="C42" s="64">
        <v>2</v>
      </c>
      <c r="D42" s="125"/>
      <c r="E42" s="65" t="str">
        <f t="shared" si="9"/>
        <v>EoniaMX#0006</v>
      </c>
      <c r="F42" s="66" t="str">
        <f>IF(ISBLANK(Quote!E65),"",Quote!E65)</f>
        <v>EURONOIS16M=#0006</v>
      </c>
      <c r="G42" s="66" t="str">
        <f>_xll.qlCompositeQuote(Currency&amp;"ON"&amp;A42&amp;B42&amp;"_Shifted",F42,BumpValue,"+",Permanent,Trigger,ObjectOverwrite)</f>
        <v>EURONOIS16M_Shifted#0006</v>
      </c>
      <c r="H42" s="125"/>
      <c r="I42" s="67" t="str">
        <f>_xll.qlOISRateHelper(,C42,B42,IF(Sensitivity,G42,F42),$E42,,Permanent,Trigger,ObjectOverwrite)</f>
        <v>obj_002cd#0006</v>
      </c>
      <c r="K42" s="10" t="str">
        <f t="shared" si="6"/>
        <v>OIS</v>
      </c>
      <c r="L42" s="95" t="str">
        <f t="shared" si="7"/>
        <v>obj_00299#0006</v>
      </c>
      <c r="M42" s="146" t="str">
        <f>IFERROR(_xll.qlRateHelperQuoteName(L42,Trigger),"--")</f>
        <v>EURONOIS18M_Shifted</v>
      </c>
      <c r="N42" s="99">
        <f>IFERROR(_xll.qlRateHelperQuoteValue($L42,Trigger),"--")</f>
        <v>-3.4800000000000005E-3</v>
      </c>
      <c r="O42" s="98" t="b">
        <v>1</v>
      </c>
      <c r="P42" s="95">
        <v>50</v>
      </c>
      <c r="Q42" s="95">
        <v>1</v>
      </c>
      <c r="R42" s="100">
        <f>IFERROR(_xll.qlRateHelperEarliestDate(L42,Trigger),"--")</f>
        <v>42748</v>
      </c>
      <c r="S42" s="100">
        <f>IFERROR(_xll.qlRateHelperPillarDate(L42,Trigger),"--")</f>
        <v>43294</v>
      </c>
      <c r="U42" s="4" t="str">
        <f t="shared" si="10"/>
        <v>OIS</v>
      </c>
      <c r="V42" s="4" t="str">
        <v>obj_002b4</v>
      </c>
      <c r="W42" s="4" t="str">
        <f>IFERROR(_xll.qlRateHelperQuoteName(V42,Trigger),"")</f>
        <v>EURONOIS12Y_Shifted</v>
      </c>
      <c r="X42" s="73">
        <f>IFERROR(_xll.qlRateHelperRate(V42,Trigger),"")</f>
        <v>6.6E-3</v>
      </c>
      <c r="Y42" s="105" t="str">
        <f>IF(ISERROR(_xll.qlSwapRateHelperSpread($V42)),IF(ISERROR(_xll.qlFuturesRateHelperConvexityAdjustment($V42)),"",_xll.qlFuturesRateHelperConvexityAdjustment($V42)),_xll.qlSwapRateHelperSpread($V42))</f>
        <v/>
      </c>
      <c r="Z42" s="5">
        <f>IFERROR(_xll.qlRateHelperEarliestDate(V42,Trigger),"")</f>
        <v>42748</v>
      </c>
      <c r="AA42" s="5">
        <f>IFERROR(_xll.qlRateHelperPillarDate(V42,Trigger),"")</f>
        <v>47133</v>
      </c>
      <c r="AB42" s="73">
        <v>6.8444766947491943E-3</v>
      </c>
    </row>
    <row r="43" spans="1:28" ht="11.25" customHeight="1" x14ac:dyDescent="0.2">
      <c r="A43" s="62" t="s">
        <v>68</v>
      </c>
      <c r="B43" s="63" t="s">
        <v>150</v>
      </c>
      <c r="C43" s="64">
        <v>2</v>
      </c>
      <c r="D43" s="125"/>
      <c r="E43" s="65" t="str">
        <f t="shared" si="9"/>
        <v>EoniaMX#0006</v>
      </c>
      <c r="F43" s="66" t="str">
        <f>IF(ISBLANK(Quote!E66),"",Quote!E66)</f>
        <v>EURONOIS17M=#0006</v>
      </c>
      <c r="G43" s="66" t="str">
        <f>_xll.qlCompositeQuote(Currency&amp;"ON"&amp;A43&amp;B43&amp;"_Shifted",F43,BumpValue,"+",Permanent,Trigger,ObjectOverwrite)</f>
        <v>EURONOIS17M_Shifted#0006</v>
      </c>
      <c r="H43" s="125"/>
      <c r="I43" s="67" t="str">
        <f>_xll.qlOISRateHelper(,C43,B43,IF(Sensitivity,G43,F43),$E43,,Permanent,Trigger,ObjectOverwrite)</f>
        <v>obj_002a0#0006</v>
      </c>
      <c r="K43" s="10" t="str">
        <f t="shared" si="6"/>
        <v>OIS</v>
      </c>
      <c r="L43" s="95" t="str">
        <f t="shared" si="7"/>
        <v>obj_002b7#0006</v>
      </c>
      <c r="M43" s="146" t="str">
        <f>IFERROR(_xll.qlRateHelperQuoteName(L43,Trigger),"--")</f>
        <v>EURONOIS19M_Shifted</v>
      </c>
      <c r="N43" s="99">
        <f>IFERROR(_xll.qlRateHelperQuoteValue($L43,Trigger),"--")</f>
        <v>-3.4647627700000001E-3</v>
      </c>
      <c r="O43" s="98" t="b">
        <v>1</v>
      </c>
      <c r="P43" s="95">
        <v>50</v>
      </c>
      <c r="Q43" s="95">
        <v>1</v>
      </c>
      <c r="R43" s="100">
        <f>IFERROR(_xll.qlRateHelperEarliestDate(L43,Trigger),"--")</f>
        <v>42748</v>
      </c>
      <c r="S43" s="100">
        <f>IFERROR(_xll.qlRateHelperPillarDate(L43,Trigger),"--")</f>
        <v>43325</v>
      </c>
      <c r="U43" s="4" t="str">
        <f t="shared" si="10"/>
        <v>OIS</v>
      </c>
      <c r="V43" s="4" t="str">
        <v>obj_002a9</v>
      </c>
      <c r="W43" s="4" t="str">
        <f>IFERROR(_xll.qlRateHelperQuoteName(V43,Trigger),"")</f>
        <v>EURONOIS13Y_Shifted</v>
      </c>
      <c r="X43" s="73">
        <f>IFERROR(_xll.qlRateHelperRate(V43,Trigger),"")</f>
        <v>7.3895937300000004E-3</v>
      </c>
      <c r="Y43" s="105" t="str">
        <f>IF(ISERROR(_xll.qlSwapRateHelperSpread($V43)),IF(ISERROR(_xll.qlFuturesRateHelperConvexityAdjustment($V43)),"",_xll.qlFuturesRateHelperConvexityAdjustment($V43)),_xll.qlSwapRateHelperSpread($V43))</f>
        <v/>
      </c>
      <c r="Z43" s="5">
        <f>IFERROR(_xll.qlRateHelperEarliestDate(V43,Trigger),"")</f>
        <v>42748</v>
      </c>
      <c r="AA43" s="5">
        <f>IFERROR(_xll.qlRateHelperPillarDate(V43,Trigger),"")</f>
        <v>47497</v>
      </c>
      <c r="AB43" s="73">
        <v>7.6843247319843553E-3</v>
      </c>
    </row>
    <row r="44" spans="1:28" ht="11.25" customHeight="1" x14ac:dyDescent="0.2">
      <c r="A44" s="62" t="s">
        <v>68</v>
      </c>
      <c r="B44" s="63" t="s">
        <v>48</v>
      </c>
      <c r="C44" s="64">
        <v>2</v>
      </c>
      <c r="D44" s="125"/>
      <c r="E44" s="65" t="str">
        <f t="shared" si="9"/>
        <v>EoniaMX#0006</v>
      </c>
      <c r="F44" s="66" t="str">
        <f>IF(ISBLANK(Quote!E67),"",Quote!E67)</f>
        <v>EURONOIS18M=#0006</v>
      </c>
      <c r="G44" s="66" t="str">
        <f>_xll.qlCompositeQuote(Currency&amp;"ON"&amp;A44&amp;B44&amp;"_Shifted",F44,BumpValue,"+",Permanent,Trigger,ObjectOverwrite)</f>
        <v>EURONOIS18M_Shifted#0006</v>
      </c>
      <c r="H44" s="125"/>
      <c r="I44" s="67" t="str">
        <f>_xll.qlOISRateHelper(,C44,B44,IF(Sensitivity,G44,F44),$E44,,Permanent,Trigger,ObjectOverwrite)</f>
        <v>obj_00299#0006</v>
      </c>
      <c r="K44" s="10" t="str">
        <f t="shared" si="6"/>
        <v>OIS</v>
      </c>
      <c r="L44" s="95" t="str">
        <f t="shared" si="7"/>
        <v>obj_002d9#0006</v>
      </c>
      <c r="M44" s="146" t="str">
        <f>IFERROR(_xll.qlRateHelperQuoteName(L44,Trigger),"--")</f>
        <v>EURONOIS20M_Shifted</v>
      </c>
      <c r="N44" s="99">
        <f>IFERROR(_xll.qlRateHelperQuoteValue($L44,Trigger),"--")</f>
        <v>-3.44865046E-3</v>
      </c>
      <c r="O44" s="98" t="b">
        <v>1</v>
      </c>
      <c r="P44" s="95">
        <v>50</v>
      </c>
      <c r="Q44" s="95">
        <v>1</v>
      </c>
      <c r="R44" s="100">
        <f>IFERROR(_xll.qlRateHelperEarliestDate(L44,Trigger),"--")</f>
        <v>42748</v>
      </c>
      <c r="S44" s="100">
        <f>IFERROR(_xll.qlRateHelperPillarDate(L44,Trigger),"--")</f>
        <v>43356</v>
      </c>
      <c r="U44" s="4" t="str">
        <f t="shared" si="10"/>
        <v>OIS</v>
      </c>
      <c r="V44" s="4" t="str">
        <v>obj_0029f</v>
      </c>
      <c r="W44" s="4" t="str">
        <f>IFERROR(_xll.qlRateHelperQuoteName(V44,Trigger),"")</f>
        <v>EURONOIS14Y_Shifted</v>
      </c>
      <c r="X44" s="73">
        <f>IFERROR(_xll.qlRateHelperRate(V44,Trigger),"")</f>
        <v>8.0681237400000005E-3</v>
      </c>
      <c r="Y44" s="105" t="str">
        <f>IF(ISERROR(_xll.qlSwapRateHelperSpread($V44)),IF(ISERROR(_xll.qlFuturesRateHelperConvexityAdjustment($V44)),"",_xll.qlFuturesRateHelperConvexityAdjustment($V44)),_xll.qlSwapRateHelperSpread($V44))</f>
        <v/>
      </c>
      <c r="Z44" s="5">
        <f>IFERROR(_xll.qlRateHelperEarliestDate(V44,Trigger),"")</f>
        <v>42748</v>
      </c>
      <c r="AA44" s="5">
        <f>IFERROR(_xll.qlRateHelperPillarDate(V44,Trigger),"")</f>
        <v>47861</v>
      </c>
      <c r="AB44" s="73">
        <v>8.4100284794574875E-3</v>
      </c>
    </row>
    <row r="45" spans="1:28" ht="11.25" customHeight="1" x14ac:dyDescent="0.2">
      <c r="A45" s="62" t="s">
        <v>68</v>
      </c>
      <c r="B45" s="63" t="s">
        <v>151</v>
      </c>
      <c r="C45" s="64">
        <v>2</v>
      </c>
      <c r="D45" s="125"/>
      <c r="E45" s="65" t="str">
        <f t="shared" si="9"/>
        <v>EoniaMX#0006</v>
      </c>
      <c r="F45" s="66" t="str">
        <f>IF(ISBLANK(Quote!E68),"",Quote!E68)</f>
        <v>EURONOIS19M=#0006</v>
      </c>
      <c r="G45" s="66" t="str">
        <f>_xll.qlCompositeQuote(Currency&amp;"ON"&amp;A45&amp;B45&amp;"_Shifted",F45,BumpValue,"+",Permanent,Trigger,ObjectOverwrite)</f>
        <v>EURONOIS19M_Shifted#0006</v>
      </c>
      <c r="H45" s="125"/>
      <c r="I45" s="67" t="str">
        <f>_xll.qlOISRateHelper(,C45,B45,IF(Sensitivity,G45,F45),$E45,,Permanent,Trigger,ObjectOverwrite)</f>
        <v>obj_002b7#0006</v>
      </c>
      <c r="K45" s="10" t="str">
        <f t="shared" si="6"/>
        <v>OIS</v>
      </c>
      <c r="L45" s="95" t="str">
        <f t="shared" si="7"/>
        <v>obj_002d1#0006</v>
      </c>
      <c r="M45" s="146" t="str">
        <f>IFERROR(_xll.qlRateHelperQuoteName(L45,Trigger),"--")</f>
        <v>EURONOIS21M_Shifted</v>
      </c>
      <c r="N45" s="99">
        <f>IFERROR(_xll.qlRateHelperQuoteValue($L45,Trigger),"--")</f>
        <v>-3.4300000000000003E-3</v>
      </c>
      <c r="O45" s="98" t="b">
        <v>1</v>
      </c>
      <c r="P45" s="95">
        <v>50</v>
      </c>
      <c r="Q45" s="95">
        <v>1</v>
      </c>
      <c r="R45" s="100">
        <f>IFERROR(_xll.qlRateHelperEarliestDate(L45,Trigger),"--")</f>
        <v>42748</v>
      </c>
      <c r="S45" s="100">
        <f>IFERROR(_xll.qlRateHelperPillarDate(L45,Trigger),"--")</f>
        <v>43388</v>
      </c>
      <c r="U45" s="4" t="str">
        <f t="shared" si="10"/>
        <v>OIS</v>
      </c>
      <c r="V45" s="4" t="str">
        <v>obj_002c7</v>
      </c>
      <c r="W45" s="4" t="str">
        <f>IFERROR(_xll.qlRateHelperQuoteName(V45,Trigger),"")</f>
        <v>EURONOIS15Y_Shifted</v>
      </c>
      <c r="X45" s="73">
        <f>IFERROR(_xll.qlRateHelperRate(V45,Trigger),"")</f>
        <v>8.6499999999999997E-3</v>
      </c>
      <c r="Y45" s="105" t="str">
        <f>IF(ISERROR(_xll.qlSwapRateHelperSpread($V45)),IF(ISERROR(_xll.qlFuturesRateHelperConvexityAdjustment($V45)),"",_xll.qlFuturesRateHelperConvexityAdjustment($V45)),_xll.qlSwapRateHelperSpread($V45))</f>
        <v/>
      </c>
      <c r="Z45" s="5">
        <f>IFERROR(_xll.qlRateHelperEarliestDate(V45,Trigger),"")</f>
        <v>42748</v>
      </c>
      <c r="AA45" s="5">
        <f>IFERROR(_xll.qlRateHelperPillarDate(V45,Trigger),"")</f>
        <v>48226</v>
      </c>
      <c r="AB45" s="73">
        <v>9.0351530289990677E-3</v>
      </c>
    </row>
    <row r="46" spans="1:28" ht="11.25" customHeight="1" x14ac:dyDescent="0.2">
      <c r="A46" s="62" t="s">
        <v>68</v>
      </c>
      <c r="B46" s="63" t="s">
        <v>152</v>
      </c>
      <c r="C46" s="64">
        <v>2</v>
      </c>
      <c r="D46" s="125"/>
      <c r="E46" s="65" t="str">
        <f t="shared" si="9"/>
        <v>EoniaMX#0006</v>
      </c>
      <c r="F46" s="66" t="str">
        <f>IF(ISBLANK(Quote!E69),"",Quote!E69)</f>
        <v>EURONOIS20M=#0006</v>
      </c>
      <c r="G46" s="66" t="str">
        <f>_xll.qlCompositeQuote(Currency&amp;"ON"&amp;A46&amp;B46&amp;"_Shifted",F46,BumpValue,"+",Permanent,Trigger,ObjectOverwrite)</f>
        <v>EURONOIS20M_Shifted#0006</v>
      </c>
      <c r="H46" s="125"/>
      <c r="I46" s="67" t="str">
        <f>_xll.qlOISRateHelper(,C46,B46,IF(Sensitivity,G46,F46),$E46,,Permanent,Trigger,ObjectOverwrite)</f>
        <v>obj_002d9#0006</v>
      </c>
      <c r="K46" s="10" t="str">
        <f t="shared" si="6"/>
        <v>OIS</v>
      </c>
      <c r="L46" s="95" t="str">
        <f t="shared" si="7"/>
        <v>obj_00298#0006</v>
      </c>
      <c r="M46" s="146" t="str">
        <f>IFERROR(_xll.qlRateHelperQuoteName(L46,Trigger),"--")</f>
        <v>EURONOIS22M_Shifted</v>
      </c>
      <c r="N46" s="99">
        <f>IFERROR(_xll.qlRateHelperQuoteValue($L46,Trigger),"--")</f>
        <v>-3.4105212100000006E-3</v>
      </c>
      <c r="O46" s="98" t="b">
        <v>1</v>
      </c>
      <c r="P46" s="95">
        <v>50</v>
      </c>
      <c r="Q46" s="95">
        <v>1</v>
      </c>
      <c r="R46" s="100">
        <f>IFERROR(_xll.qlRateHelperEarliestDate(L46,Trigger),"--")</f>
        <v>42748</v>
      </c>
      <c r="S46" s="100">
        <f>IFERROR(_xll.qlRateHelperPillarDate(L46,Trigger),"--")</f>
        <v>43417</v>
      </c>
      <c r="U46" s="4" t="str">
        <f t="shared" si="10"/>
        <v>OIS</v>
      </c>
      <c r="V46" s="4" t="str">
        <v>obj_0029c</v>
      </c>
      <c r="W46" s="4" t="str">
        <f>IFERROR(_xll.qlRateHelperQuoteName(V46,Trigger),"")</f>
        <v>EURONOIS16Y_Shifted</v>
      </c>
      <c r="X46" s="73">
        <f>IFERROR(_xll.qlRateHelperRate(V46,Trigger),"")</f>
        <v>9.1465199999999983E-3</v>
      </c>
      <c r="Y46" s="105" t="str">
        <f>IF(ISERROR(_xll.qlSwapRateHelperSpread($V46)),IF(ISERROR(_xll.qlFuturesRateHelperConvexityAdjustment($V46)),"",_xll.qlFuturesRateHelperConvexityAdjustment($V46)),_xll.qlSwapRateHelperSpread($V46))</f>
        <v/>
      </c>
      <c r="Z46" s="5">
        <f>IFERROR(_xll.qlRateHelperEarliestDate(V46,Trigger),"")</f>
        <v>42748</v>
      </c>
      <c r="AA46" s="5">
        <f>IFERROR(_xll.qlRateHelperPillarDate(V46,Trigger),"")</f>
        <v>48592</v>
      </c>
      <c r="AB46" s="73">
        <v>9.5703395322657182E-3</v>
      </c>
    </row>
    <row r="47" spans="1:28" ht="11.25" customHeight="1" x14ac:dyDescent="0.2">
      <c r="A47" s="62" t="s">
        <v>68</v>
      </c>
      <c r="B47" s="63" t="s">
        <v>49</v>
      </c>
      <c r="C47" s="64">
        <v>2</v>
      </c>
      <c r="D47" s="125"/>
      <c r="E47" s="65" t="str">
        <f t="shared" si="9"/>
        <v>EoniaMX#0006</v>
      </c>
      <c r="F47" s="66" t="str">
        <f>IF(ISBLANK(Quote!E70),"",Quote!E70)</f>
        <v>EURONOIS21M=#0006</v>
      </c>
      <c r="G47" s="66" t="str">
        <f>_xll.qlCompositeQuote(Currency&amp;"ON"&amp;A47&amp;B47&amp;"_Shifted",F47,BumpValue,"+",Permanent,Trigger,ObjectOverwrite)</f>
        <v>EURONOIS21M_Shifted#0006</v>
      </c>
      <c r="H47" s="125"/>
      <c r="I47" s="67" t="str">
        <f>_xll.qlOISRateHelper(,C47,B47,IF(Sensitivity,G47,F47),$E47,,Permanent,Trigger,ObjectOverwrite)</f>
        <v>obj_002d1#0006</v>
      </c>
      <c r="K47" s="10" t="str">
        <f t="shared" si="6"/>
        <v>OIS</v>
      </c>
      <c r="L47" s="95" t="str">
        <f t="shared" si="7"/>
        <v>obj_002b9#0006</v>
      </c>
      <c r="M47" s="146" t="str">
        <f>IFERROR(_xll.qlRateHelperQuoteName(L47,Trigger),"--")</f>
        <v>EURONOIS23M_Shifted</v>
      </c>
      <c r="N47" s="99">
        <f>IFERROR(_xll.qlRateHelperQuoteValue($L47,Trigger),"--")</f>
        <v>-3.3875869200000004E-3</v>
      </c>
      <c r="O47" s="98" t="b">
        <v>1</v>
      </c>
      <c r="P47" s="95">
        <v>50</v>
      </c>
      <c r="Q47" s="95">
        <v>1</v>
      </c>
      <c r="R47" s="100">
        <f>IFERROR(_xll.qlRateHelperEarliestDate(L47,Trigger),"--")</f>
        <v>42748</v>
      </c>
      <c r="S47" s="100">
        <f>IFERROR(_xll.qlRateHelperPillarDate(L47,Trigger),"--")</f>
        <v>43447</v>
      </c>
      <c r="U47" s="4" t="str">
        <f t="shared" si="10"/>
        <v>OIS</v>
      </c>
      <c r="V47" s="4" t="str">
        <v>obj_002bb</v>
      </c>
      <c r="W47" s="4" t="str">
        <f>IFERROR(_xll.qlRateHelperQuoteName(V47,Trigger),"")</f>
        <v>EURONOIS17Y_Shifted</v>
      </c>
      <c r="X47" s="73">
        <f>IFERROR(_xll.qlRateHelperRate(V47,Trigger),"")</f>
        <v>9.5643919700000007E-3</v>
      </c>
      <c r="Y47" s="105" t="str">
        <f>IF(ISERROR(_xll.qlSwapRateHelperSpread($V47)),IF(ISERROR(_xll.qlFuturesRateHelperConvexityAdjustment($V47)),"",_xll.qlFuturesRateHelperConvexityAdjustment($V47)),_xll.qlSwapRateHelperSpread($V47))</f>
        <v/>
      </c>
      <c r="Z47" s="5">
        <f>IFERROR(_xll.qlRateHelperEarliestDate(V47,Trigger),"")</f>
        <v>42748</v>
      </c>
      <c r="AA47" s="5">
        <f>IFERROR(_xll.qlRateHelperPillarDate(V47,Trigger),"")</f>
        <v>48957</v>
      </c>
      <c r="AB47" s="73">
        <v>1.0021563679146733E-2</v>
      </c>
    </row>
    <row r="48" spans="1:28" ht="11.25" customHeight="1" x14ac:dyDescent="0.2">
      <c r="A48" s="62" t="s">
        <v>68</v>
      </c>
      <c r="B48" s="63" t="s">
        <v>153</v>
      </c>
      <c r="C48" s="64">
        <v>2</v>
      </c>
      <c r="D48" s="125"/>
      <c r="E48" s="65" t="str">
        <f t="shared" si="9"/>
        <v>EoniaMX#0006</v>
      </c>
      <c r="F48" s="66" t="str">
        <f>IF(ISBLANK(Quote!E71),"",Quote!E71)</f>
        <v>EURONOIS22M=#0006</v>
      </c>
      <c r="G48" s="66" t="str">
        <f>_xll.qlCompositeQuote(Currency&amp;"ON"&amp;A48&amp;B48&amp;"_Shifted",F48,BumpValue,"+",Permanent,Trigger,ObjectOverwrite)</f>
        <v>EURONOIS22M_Shifted#0006</v>
      </c>
      <c r="H48" s="125"/>
      <c r="I48" s="67" t="str">
        <f>_xll.qlOISRateHelper(,C48,B48,IF(Sensitivity,G48,F48),$E48,,Permanent,Trigger,ObjectOverwrite)</f>
        <v>obj_00298#0006</v>
      </c>
      <c r="K48" s="10" t="str">
        <f t="shared" si="6"/>
        <v>OIS</v>
      </c>
      <c r="L48" s="95" t="str">
        <f t="shared" si="7"/>
        <v>obj_002c5#0006</v>
      </c>
      <c r="M48" s="146" t="str">
        <f>IFERROR(_xll.qlRateHelperQuoteName(L48,Trigger),"--")</f>
        <v>EURONOIS2Y_Shifted</v>
      </c>
      <c r="N48" s="99">
        <f>IFERROR(_xll.qlRateHelperQuoteValue($L48,Trigger),"--")</f>
        <v>-3.3600000000000001E-3</v>
      </c>
      <c r="O48" s="98" t="b">
        <v>1</v>
      </c>
      <c r="P48" s="95">
        <v>50</v>
      </c>
      <c r="Q48" s="95">
        <v>1</v>
      </c>
      <c r="R48" s="100">
        <f>IFERROR(_xll.qlRateHelperEarliestDate(L48,Trigger),"--")</f>
        <v>42748</v>
      </c>
      <c r="S48" s="100">
        <f>IFERROR(_xll.qlRateHelperPillarDate(L48,Trigger),"--")</f>
        <v>43479</v>
      </c>
      <c r="U48" s="4" t="str">
        <f t="shared" si="10"/>
        <v>OIS</v>
      </c>
      <c r="V48" s="4" t="str">
        <v>obj_002e4</v>
      </c>
      <c r="W48" s="4" t="str">
        <f>IFERROR(_xll.qlRateHelperQuoteName(V48,Trigger),"")</f>
        <v>EURONOIS18Y_Shifted</v>
      </c>
      <c r="X48" s="73">
        <f>IFERROR(_xll.qlRateHelperRate(V48,Trigger),"")</f>
        <v>9.9154325300000005E-3</v>
      </c>
      <c r="Y48" s="105" t="str">
        <f>IF(ISERROR(_xll.qlSwapRateHelperSpread($V48)),IF(ISERROR(_xll.qlFuturesRateHelperConvexityAdjustment($V48)),"",_xll.qlFuturesRateHelperConvexityAdjustment($V48)),_xll.qlSwapRateHelperSpread($V48))</f>
        <v/>
      </c>
      <c r="Z48" s="5">
        <f>IFERROR(_xll.qlRateHelperEarliestDate(V48,Trigger),"")</f>
        <v>42748</v>
      </c>
      <c r="AA48" s="5">
        <f>IFERROR(_xll.qlRateHelperPillarDate(V48,Trigger),"")</f>
        <v>49324</v>
      </c>
      <c r="AB48" s="73">
        <v>1.0400526793327715E-2</v>
      </c>
    </row>
    <row r="49" spans="1:28" ht="11.25" customHeight="1" x14ac:dyDescent="0.2">
      <c r="A49" s="62" t="s">
        <v>68</v>
      </c>
      <c r="B49" s="63" t="s">
        <v>154</v>
      </c>
      <c r="C49" s="64">
        <v>2</v>
      </c>
      <c r="D49" s="125"/>
      <c r="E49" s="65" t="str">
        <f t="shared" si="9"/>
        <v>EoniaMX#0006</v>
      </c>
      <c r="F49" s="66" t="str">
        <f>IF(ISBLANK(Quote!E72),"",Quote!E72)</f>
        <v>EURONOIS23M=#0006</v>
      </c>
      <c r="G49" s="66" t="str">
        <f>_xll.qlCompositeQuote(Currency&amp;"ON"&amp;A49&amp;B49&amp;"_Shifted",F49,BumpValue,"+",Permanent,Trigger,ObjectOverwrite)</f>
        <v>EURONOIS23M_Shifted#0006</v>
      </c>
      <c r="H49" s="125"/>
      <c r="I49" s="67" t="str">
        <f>_xll.qlOISRateHelper(,C49,B49,IF(Sensitivity,G49,F49),$E49,,Permanent,Trigger,ObjectOverwrite)</f>
        <v>obj_002b9#0006</v>
      </c>
      <c r="K49" s="10" t="str">
        <f t="shared" si="6"/>
        <v>OIS</v>
      </c>
      <c r="L49" s="95" t="str">
        <f t="shared" si="7"/>
        <v>--</v>
      </c>
      <c r="M49" s="146" t="str">
        <f>IFERROR(_xll.qlRateHelperQuoteName(L49,Trigger),"--")</f>
        <v>--</v>
      </c>
      <c r="N49" s="99" t="str">
        <f>IFERROR(_xll.qlRateHelperQuoteValue($L49,Trigger),"--")</f>
        <v>--</v>
      </c>
      <c r="O49" s="98" t="b">
        <v>0</v>
      </c>
      <c r="P49" s="95">
        <v>50</v>
      </c>
      <c r="Q49" s="95">
        <v>1</v>
      </c>
      <c r="R49" s="100" t="str">
        <f>IFERROR(_xll.qlRateHelperEarliestDate(L49,Trigger),"--")</f>
        <v>--</v>
      </c>
      <c r="S49" s="100" t="str">
        <f>IFERROR(_xll.qlRateHelperPillarDate(L49,Trigger),"--")</f>
        <v>--</v>
      </c>
      <c r="U49" s="4" t="str">
        <f t="shared" si="10"/>
        <v>OIS</v>
      </c>
      <c r="V49" s="4" t="str">
        <v>obj_002d6</v>
      </c>
      <c r="W49" s="4" t="str">
        <f>IFERROR(_xll.qlRateHelperQuoteName(V49,Trigger),"")</f>
        <v>EURONOIS19Y_Shifted</v>
      </c>
      <c r="X49" s="73">
        <f>IFERROR(_xll.qlRateHelperRate(V49,Trigger),"")</f>
        <v>1.02033852E-2</v>
      </c>
      <c r="Y49" s="105" t="str">
        <f>IF(ISERROR(_xll.qlSwapRateHelperSpread($V49)),IF(ISERROR(_xll.qlFuturesRateHelperConvexityAdjustment($V49)),"",_xll.qlFuturesRateHelperConvexityAdjustment($V49)),_xll.qlSwapRateHelperSpread($V49))</f>
        <v/>
      </c>
      <c r="Z49" s="5">
        <f>IFERROR(_xll.qlRateHelperEarliestDate(V49,Trigger),"")</f>
        <v>42748</v>
      </c>
      <c r="AA49" s="5">
        <f>IFERROR(_xll.qlRateHelperPillarDate(V49,Trigger),"")</f>
        <v>49688</v>
      </c>
      <c r="AB49" s="73">
        <v>1.0710608499738762E-2</v>
      </c>
    </row>
    <row r="50" spans="1:28" ht="11.25" customHeight="1" x14ac:dyDescent="0.2">
      <c r="A50" s="62" t="s">
        <v>68</v>
      </c>
      <c r="B50" s="63" t="s">
        <v>50</v>
      </c>
      <c r="C50" s="64">
        <v>2</v>
      </c>
      <c r="D50" s="125"/>
      <c r="E50" s="65" t="str">
        <f t="shared" si="9"/>
        <v>EoniaMX#0006</v>
      </c>
      <c r="F50" s="66" t="str">
        <f>IF(ISBLANK(Quote!E73),"",Quote!E73)</f>
        <v>EURONOIS2Y=#0006</v>
      </c>
      <c r="G50" s="66" t="str">
        <f>_xll.qlCompositeQuote(Currency&amp;"ON"&amp;A50&amp;B50&amp;"_Shifted",F50,BumpValue,"+",Permanent,Trigger,ObjectOverwrite)</f>
        <v>EURONOIS2Y_Shifted#0006</v>
      </c>
      <c r="H50" s="125"/>
      <c r="I50" s="67" t="str">
        <f>_xll.qlOISRateHelper(,C50,B50,IF(Sensitivity,G50,F50),$E50,,Permanent,Trigger,ObjectOverwrite)</f>
        <v>obj_002c5#0006</v>
      </c>
      <c r="K50" s="10" t="str">
        <f t="shared" si="6"/>
        <v>OIS</v>
      </c>
      <c r="L50" s="95" t="str">
        <f t="shared" si="7"/>
        <v>--</v>
      </c>
      <c r="M50" s="146" t="str">
        <f>IFERROR(_xll.qlRateHelperQuoteName(L50,Trigger),"--")</f>
        <v>--</v>
      </c>
      <c r="N50" s="99" t="str">
        <f>IFERROR(_xll.qlRateHelperQuoteValue($L50,Trigger),"--")</f>
        <v>--</v>
      </c>
      <c r="O50" s="98" t="b">
        <v>0</v>
      </c>
      <c r="P50" s="95">
        <v>50</v>
      </c>
      <c r="Q50" s="95">
        <v>1</v>
      </c>
      <c r="R50" s="100" t="str">
        <f>IFERROR(_xll.qlRateHelperEarliestDate(L50,Trigger),"--")</f>
        <v>--</v>
      </c>
      <c r="S50" s="100" t="str">
        <f>IFERROR(_xll.qlRateHelperPillarDate(L50,Trigger),"--")</f>
        <v>--</v>
      </c>
      <c r="U50" s="4" t="str">
        <f t="shared" si="10"/>
        <v>OIS</v>
      </c>
      <c r="V50" s="4" t="str">
        <v>obj_002b2</v>
      </c>
      <c r="W50" s="4" t="str">
        <f>IFERROR(_xll.qlRateHelperQuoteName(V50,Trigger),"")</f>
        <v>EURONOIS20Y_Shifted</v>
      </c>
      <c r="X50" s="73">
        <f>IFERROR(_xll.qlRateHelperRate(V50,Trigger),"")</f>
        <v>1.044E-2</v>
      </c>
      <c r="Y50" s="105" t="str">
        <f>IF(ISERROR(_xll.qlSwapRateHelperSpread($V50)),IF(ISERROR(_xll.qlFuturesRateHelperConvexityAdjustment($V50)),"",_xll.qlFuturesRateHelperConvexityAdjustment($V50)),_xll.qlSwapRateHelperSpread($V50))</f>
        <v/>
      </c>
      <c r="Z50" s="5">
        <f>IFERROR(_xll.qlRateHelperEarliestDate(V50,Trigger),"")</f>
        <v>42748</v>
      </c>
      <c r="AA50" s="5">
        <f>IFERROR(_xll.qlRateHelperPillarDate(V50,Trigger),"")</f>
        <v>50053</v>
      </c>
      <c r="AB50" s="73">
        <v>1.0963995968486618E-2</v>
      </c>
    </row>
    <row r="51" spans="1:28" ht="11.25" customHeight="1" x14ac:dyDescent="0.2">
      <c r="A51" s="216" t="s">
        <v>68</v>
      </c>
      <c r="B51" s="284" t="s">
        <v>155</v>
      </c>
      <c r="C51" s="275"/>
      <c r="D51" s="275"/>
      <c r="E51" s="275"/>
      <c r="F51" s="335" t="str">
        <f>IF(ISBLANK(Quote!E74),"",Quote!E74)</f>
        <v/>
      </c>
      <c r="G51" s="275"/>
      <c r="H51" s="275"/>
      <c r="I51" s="275"/>
      <c r="K51" s="10" t="str">
        <f t="shared" si="6"/>
        <v>OIS</v>
      </c>
      <c r="L51" s="95" t="str">
        <f t="shared" si="7"/>
        <v>--</v>
      </c>
      <c r="M51" s="146" t="str">
        <f>IFERROR(_xll.qlRateHelperQuoteName(L51,Trigger),"--")</f>
        <v>--</v>
      </c>
      <c r="N51" s="99" t="str">
        <f>IFERROR(_xll.qlRateHelperQuoteValue($L51,Trigger),"--")</f>
        <v>--</v>
      </c>
      <c r="O51" s="98" t="b">
        <v>0</v>
      </c>
      <c r="P51" s="95">
        <v>50</v>
      </c>
      <c r="Q51" s="95">
        <v>1</v>
      </c>
      <c r="R51" s="100" t="str">
        <f>IFERROR(_xll.qlRateHelperEarliestDate(L51,Trigger),"--")</f>
        <v>--</v>
      </c>
      <c r="S51" s="100" t="str">
        <f>IFERROR(_xll.qlRateHelperPillarDate(L51,Trigger),"--")</f>
        <v>--</v>
      </c>
      <c r="U51" s="4" t="str">
        <f t="shared" si="10"/>
        <v>OIS</v>
      </c>
      <c r="V51" s="4" t="str">
        <v>obj_002dd</v>
      </c>
      <c r="W51" s="4" t="str">
        <f>IFERROR(_xll.qlRateHelperQuoteName(V51,Trigger),"")</f>
        <v>EURONOIS21Y_Shifted</v>
      </c>
      <c r="X51" s="73">
        <f>IFERROR(_xll.qlRateHelperRate(V51,Trigger),"")</f>
        <v>1.063215843E-2</v>
      </c>
      <c r="Y51" s="105" t="str">
        <f>IF(ISERROR(_xll.qlSwapRateHelperSpread($V51)),IF(ISERROR(_xll.qlFuturesRateHelperConvexityAdjustment($V51)),"",_xll.qlFuturesRateHelperConvexityAdjustment($V51)),_xll.qlSwapRateHelperSpread($V51))</f>
        <v/>
      </c>
      <c r="Z51" s="5">
        <f>IFERROR(_xll.qlRateHelperEarliestDate(V51,Trigger),"")</f>
        <v>42748</v>
      </c>
      <c r="AA51" s="5">
        <f>IFERROR(_xll.qlRateHelperPillarDate(V51,Trigger),"")</f>
        <v>50418</v>
      </c>
      <c r="AB51" s="73">
        <v>1.1167926177080475E-2</v>
      </c>
    </row>
    <row r="52" spans="1:28" ht="11.25" customHeight="1" x14ac:dyDescent="0.2">
      <c r="A52" s="62" t="s">
        <v>68</v>
      </c>
      <c r="B52" s="63" t="s">
        <v>156</v>
      </c>
      <c r="C52" s="125"/>
      <c r="D52" s="125"/>
      <c r="E52" s="125"/>
      <c r="F52" s="66" t="str">
        <f>IF(ISBLANK(Quote!E75),"",Quote!E75)</f>
        <v/>
      </c>
      <c r="G52" s="125"/>
      <c r="H52" s="125"/>
      <c r="I52" s="125"/>
      <c r="K52" s="10" t="str">
        <f t="shared" si="6"/>
        <v>OIS</v>
      </c>
      <c r="L52" s="95" t="str">
        <f t="shared" si="7"/>
        <v>obj_002a4#0006</v>
      </c>
      <c r="M52" s="146" t="str">
        <f>IFERROR(_xll.qlRateHelperQuoteName(L52,Trigger),"--")</f>
        <v>EURONOIS3Y_Shifted</v>
      </c>
      <c r="N52" s="99">
        <f>IFERROR(_xll.qlRateHelperQuoteValue($L52,Trigger),"--")</f>
        <v>-2.8800000000000002E-3</v>
      </c>
      <c r="O52" s="98" t="b">
        <v>1</v>
      </c>
      <c r="P52" s="95">
        <v>50</v>
      </c>
      <c r="Q52" s="95">
        <v>1</v>
      </c>
      <c r="R52" s="100">
        <f>IFERROR(_xll.qlRateHelperEarliestDate(L52,Trigger),"--")</f>
        <v>42748</v>
      </c>
      <c r="S52" s="100">
        <f>IFERROR(_xll.qlRateHelperPillarDate(L52,Trigger),"--")</f>
        <v>43843</v>
      </c>
      <c r="U52" s="4" t="str">
        <f t="shared" si="10"/>
        <v>OIS</v>
      </c>
      <c r="V52" s="4" t="str">
        <v>obj_002a6</v>
      </c>
      <c r="W52" s="4" t="str">
        <f>IFERROR(_xll.qlRateHelperQuoteName(V52,Trigger),"")</f>
        <v>EURONOIS22Y_Shifted</v>
      </c>
      <c r="X52" s="73">
        <f>IFERROR(_xll.qlRateHelperRate(V52,Trigger),"")</f>
        <v>1.0787191769999999E-2</v>
      </c>
      <c r="Y52" s="105" t="str">
        <f>IF(ISERROR(_xll.qlSwapRateHelperSpread($V52)),IF(ISERROR(_xll.qlFuturesRateHelperConvexityAdjustment($V52)),"",_xll.qlFuturesRateHelperConvexityAdjustment($V52)),_xll.qlSwapRateHelperSpread($V52))</f>
        <v/>
      </c>
      <c r="Z52" s="5">
        <f>IFERROR(_xll.qlRateHelperEarliestDate(V52,Trigger),"")</f>
        <v>42748</v>
      </c>
      <c r="AA52" s="5">
        <f>IFERROR(_xll.qlRateHelperPillarDate(V52,Trigger),"")</f>
        <v>50783</v>
      </c>
      <c r="AB52" s="73">
        <v>1.1330309613094249E-2</v>
      </c>
    </row>
    <row r="53" spans="1:28" ht="11.25" customHeight="1" x14ac:dyDescent="0.2">
      <c r="A53" s="221" t="s">
        <v>68</v>
      </c>
      <c r="B53" s="280" t="s">
        <v>157</v>
      </c>
      <c r="C53" s="278"/>
      <c r="D53" s="278"/>
      <c r="E53" s="278"/>
      <c r="F53" s="282" t="str">
        <f>IF(ISBLANK(Quote!E76),"",Quote!E76)</f>
        <v/>
      </c>
      <c r="G53" s="278"/>
      <c r="H53" s="278"/>
      <c r="I53" s="278"/>
      <c r="K53" s="10" t="str">
        <f t="shared" si="6"/>
        <v>OIS</v>
      </c>
      <c r="L53" s="95" t="str">
        <f t="shared" si="7"/>
        <v>obj_002c3#0006</v>
      </c>
      <c r="M53" s="146" t="str">
        <f>IFERROR(_xll.qlRateHelperQuoteName(L53,Trigger),"--")</f>
        <v>EURONOIS4Y_Shifted</v>
      </c>
      <c r="N53" s="99">
        <f>IFERROR(_xll.qlRateHelperQuoteValue($L53,Trigger),"--")</f>
        <v>-2.2300000000000002E-3</v>
      </c>
      <c r="O53" s="98" t="b">
        <v>1</v>
      </c>
      <c r="P53" s="95">
        <v>50</v>
      </c>
      <c r="Q53" s="95">
        <v>1</v>
      </c>
      <c r="R53" s="100">
        <f>IFERROR(_xll.qlRateHelperEarliestDate(L53,Trigger),"--")</f>
        <v>42748</v>
      </c>
      <c r="S53" s="100">
        <f>IFERROR(_xll.qlRateHelperPillarDate(L53,Trigger),"--")</f>
        <v>44209</v>
      </c>
      <c r="U53" s="4" t="str">
        <f t="shared" si="10"/>
        <v>OIS</v>
      </c>
      <c r="V53" s="4" t="str">
        <v>obj_002d8</v>
      </c>
      <c r="W53" s="4" t="str">
        <f>IFERROR(_xll.qlRateHelperQuoteName(V53,Trigger),"")</f>
        <v>EURONOIS23Y_Shifted</v>
      </c>
      <c r="X53" s="73">
        <f>IFERROR(_xll.qlRateHelperRate(V53,Trigger),"")</f>
        <v>1.0912198130000002E-2</v>
      </c>
      <c r="Y53" s="105" t="str">
        <f>IF(ISERROR(_xll.qlSwapRateHelperSpread($V53)),IF(ISERROR(_xll.qlFuturesRateHelperConvexityAdjustment($V53)),"",_xll.qlFuturesRateHelperConvexityAdjustment($V53)),_xll.qlSwapRateHelperSpread($V53))</f>
        <v/>
      </c>
      <c r="Z53" s="5">
        <f>IFERROR(_xll.qlRateHelperEarliestDate(V53,Trigger),"")</f>
        <v>42748</v>
      </c>
      <c r="AA53" s="5">
        <f>IFERROR(_xll.qlRateHelperPillarDate(V53,Trigger),"")</f>
        <v>51148</v>
      </c>
      <c r="AB53" s="73">
        <v>1.1458990516374317E-2</v>
      </c>
    </row>
    <row r="54" spans="1:28" ht="11.25" customHeight="1" x14ac:dyDescent="0.2">
      <c r="A54" s="62" t="s">
        <v>68</v>
      </c>
      <c r="B54" s="63" t="s">
        <v>51</v>
      </c>
      <c r="C54" s="64">
        <v>2</v>
      </c>
      <c r="D54" s="125"/>
      <c r="E54" s="65" t="str">
        <f t="shared" si="9"/>
        <v>EoniaMX#0006</v>
      </c>
      <c r="F54" s="66" t="str">
        <f>IF(ISBLANK(Quote!E77),"",Quote!E77)</f>
        <v>EURONOIS3Y=#0006</v>
      </c>
      <c r="G54" s="66" t="str">
        <f>_xll.qlCompositeQuote(Currency&amp;"ON"&amp;A54&amp;B54&amp;"_Shifted",F54,BumpValue,"+",Permanent,Trigger,ObjectOverwrite)</f>
        <v>EURONOIS3Y_Shifted#0006</v>
      </c>
      <c r="H54" s="125"/>
      <c r="I54" s="67" t="str">
        <f>_xll.qlOISRateHelper(,C54,B54,IF(Sensitivity,G54,F54),$E54,,Permanent,Trigger,ObjectOverwrite)</f>
        <v>obj_002a4#0006</v>
      </c>
      <c r="K54" s="10" t="str">
        <f t="shared" si="6"/>
        <v>OIS</v>
      </c>
      <c r="L54" s="95" t="str">
        <f t="shared" si="7"/>
        <v>obj_002d3#0006</v>
      </c>
      <c r="M54" s="146" t="str">
        <f>IFERROR(_xll.qlRateHelperQuoteName(L54,Trigger),"--")</f>
        <v>EURONOIS5Y_Shifted</v>
      </c>
      <c r="N54" s="99">
        <f>IFERROR(_xll.qlRateHelperQuoteValue($L54,Trigger),"--")</f>
        <v>-1.34E-3</v>
      </c>
      <c r="O54" s="98" t="b">
        <v>1</v>
      </c>
      <c r="P54" s="95">
        <v>50</v>
      </c>
      <c r="Q54" s="95">
        <v>1</v>
      </c>
      <c r="R54" s="100">
        <f>IFERROR(_xll.qlRateHelperEarliestDate(L54,Trigger),"--")</f>
        <v>42748</v>
      </c>
      <c r="S54" s="100">
        <f>IFERROR(_xll.qlRateHelperPillarDate(L54,Trigger),"--")</f>
        <v>44574</v>
      </c>
      <c r="U54" s="4" t="str">
        <f t="shared" si="10"/>
        <v>OIS</v>
      </c>
      <c r="V54" s="4" t="str">
        <v>obj_002fa</v>
      </c>
      <c r="W54" s="4" t="str">
        <f>IFERROR(_xll.qlRateHelperQuoteName(V54,Trigger),"")</f>
        <v>EURONOIS24Y_Shifted</v>
      </c>
      <c r="X54" s="73">
        <f>IFERROR(_xll.qlRateHelperRate(V54,Trigger),"")</f>
        <v>1.1014644180000002E-2</v>
      </c>
      <c r="Y54" s="105" t="str">
        <f>IF(ISERROR(_xll.qlSwapRateHelperSpread($V54)),IF(ISERROR(_xll.qlFuturesRateHelperConvexityAdjustment($V54)),"",_xll.qlFuturesRateHelperConvexityAdjustment($V54)),_xll.qlSwapRateHelperSpread($V54))</f>
        <v/>
      </c>
      <c r="Z54" s="5">
        <f>IFERROR(_xll.qlRateHelperEarliestDate(V54,Trigger),"")</f>
        <v>42748</v>
      </c>
      <c r="AA54" s="5">
        <f>IFERROR(_xll.qlRateHelperPillarDate(V54,Trigger),"")</f>
        <v>51515</v>
      </c>
      <c r="AB54" s="73">
        <v>1.1562319789238256E-2</v>
      </c>
    </row>
    <row r="55" spans="1:28" ht="11.25" customHeight="1" x14ac:dyDescent="0.2">
      <c r="A55" s="62" t="s">
        <v>68</v>
      </c>
      <c r="B55" s="63" t="s">
        <v>52</v>
      </c>
      <c r="C55" s="64">
        <v>2</v>
      </c>
      <c r="D55" s="125"/>
      <c r="E55" s="65" t="str">
        <f t="shared" si="9"/>
        <v>EoniaMX#0006</v>
      </c>
      <c r="F55" s="66" t="str">
        <f>IF(ISBLANK(Quote!E78),"",Quote!E78)</f>
        <v>EURONOIS4Y=#0006</v>
      </c>
      <c r="G55" s="66" t="str">
        <f>_xll.qlCompositeQuote(Currency&amp;"ON"&amp;A55&amp;B55&amp;"_Shifted",F55,BumpValue,"+",Permanent,Trigger,ObjectOverwrite)</f>
        <v>EURONOIS4Y_Shifted#0006</v>
      </c>
      <c r="H55" s="125"/>
      <c r="I55" s="67" t="str">
        <f>_xll.qlOISRateHelper(,C55,B55,IF(Sensitivity,G55,F55),$E55,,Permanent,Trigger,ObjectOverwrite)</f>
        <v>obj_002c3#0006</v>
      </c>
      <c r="K55" s="10" t="str">
        <f t="shared" si="6"/>
        <v>OIS</v>
      </c>
      <c r="L55" s="95" t="str">
        <f t="shared" si="7"/>
        <v>obj_002b8#0006</v>
      </c>
      <c r="M55" s="146" t="str">
        <f>IFERROR(_xll.qlRateHelperQuoteName(L55,Trigger),"--")</f>
        <v>EURONOIS6Y_Shifted</v>
      </c>
      <c r="N55" s="99">
        <f>IFERROR(_xll.qlRateHelperQuoteValue($L55,Trigger),"--")</f>
        <v>-2.4000000000000001E-4</v>
      </c>
      <c r="O55" s="98" t="b">
        <v>1</v>
      </c>
      <c r="P55" s="95">
        <v>50</v>
      </c>
      <c r="Q55" s="95">
        <v>1</v>
      </c>
      <c r="R55" s="100">
        <f>IFERROR(_xll.qlRateHelperEarliestDate(L55,Trigger),"--")</f>
        <v>42748</v>
      </c>
      <c r="S55" s="100">
        <f>IFERROR(_xll.qlRateHelperPillarDate(L55,Trigger),"--")</f>
        <v>44939</v>
      </c>
      <c r="U55" s="4" t="str">
        <f t="shared" si="10"/>
        <v>OIS</v>
      </c>
      <c r="V55" s="4" t="str">
        <v>obj_0030d</v>
      </c>
      <c r="W55" s="4" t="str">
        <f>IFERROR(_xll.qlRateHelperQuoteName(V55,Trigger),"")</f>
        <v>EURONOIS25Y_Shifted</v>
      </c>
      <c r="X55" s="73">
        <f>IFERROR(_xll.qlRateHelperRate(V55,Trigger),"")</f>
        <v>1.11E-2</v>
      </c>
      <c r="Y55" s="105" t="str">
        <f>IF(ISERROR(_xll.qlSwapRateHelperSpread($V55)),IF(ISERROR(_xll.qlFuturesRateHelperConvexityAdjustment($V55)),"",_xll.qlFuturesRateHelperConvexityAdjustment($V55)),_xll.qlSwapRateHelperSpread($V55))</f>
        <v/>
      </c>
      <c r="Z55" s="5">
        <f>IFERROR(_xll.qlRateHelperEarliestDate(V55,Trigger),"")</f>
        <v>42748</v>
      </c>
      <c r="AA55" s="5">
        <f>IFERROR(_xll.qlRateHelperPillarDate(V55,Trigger),"")</f>
        <v>51879</v>
      </c>
      <c r="AB55" s="73">
        <v>1.1646836608791577E-2</v>
      </c>
    </row>
    <row r="56" spans="1:28" ht="11.25" customHeight="1" x14ac:dyDescent="0.2">
      <c r="A56" s="62" t="s">
        <v>68</v>
      </c>
      <c r="B56" s="63" t="s">
        <v>53</v>
      </c>
      <c r="C56" s="64">
        <v>2</v>
      </c>
      <c r="D56" s="125"/>
      <c r="E56" s="65" t="str">
        <f t="shared" si="9"/>
        <v>EoniaMX#0006</v>
      </c>
      <c r="F56" s="66" t="str">
        <f>IF(ISBLANK(Quote!E79),"",Quote!E79)</f>
        <v>EURONOIS5Y=#0006</v>
      </c>
      <c r="G56" s="66" t="str">
        <f>_xll.qlCompositeQuote(Currency&amp;"ON"&amp;A56&amp;B56&amp;"_Shifted",F56,BumpValue,"+",Permanent,Trigger,ObjectOverwrite)</f>
        <v>EURONOIS5Y_Shifted#0006</v>
      </c>
      <c r="H56" s="125"/>
      <c r="I56" s="67" t="str">
        <f>_xll.qlOISRateHelper(,C56,B56,IF(Sensitivity,G56,F56),$E56,,Permanent,Trigger,ObjectOverwrite)</f>
        <v>obj_002d3#0006</v>
      </c>
      <c r="K56" s="10" t="str">
        <f t="shared" si="6"/>
        <v>OIS</v>
      </c>
      <c r="L56" s="95" t="str">
        <f t="shared" si="7"/>
        <v>obj_002c2#0006</v>
      </c>
      <c r="M56" s="146" t="str">
        <f>IFERROR(_xll.qlRateHelperQuoteName(L56,Trigger),"--")</f>
        <v>EURONOIS7Y_Shifted</v>
      </c>
      <c r="N56" s="99">
        <f>IFERROR(_xll.qlRateHelperQuoteValue($L56,Trigger),"--")</f>
        <v>9.7999999999999997E-4</v>
      </c>
      <c r="O56" s="98" t="b">
        <v>1</v>
      </c>
      <c r="P56" s="95">
        <v>50</v>
      </c>
      <c r="Q56" s="95">
        <v>1</v>
      </c>
      <c r="R56" s="100">
        <f>IFERROR(_xll.qlRateHelperEarliestDate(L56,Trigger),"--")</f>
        <v>42748</v>
      </c>
      <c r="S56" s="100">
        <f>IFERROR(_xll.qlRateHelperPillarDate(L56,Trigger),"--")</f>
        <v>45306</v>
      </c>
      <c r="U56" s="4" t="str">
        <f t="shared" si="10"/>
        <v>OIS</v>
      </c>
      <c r="V56" s="4" t="str">
        <v>obj_00305</v>
      </c>
      <c r="W56" s="4" t="str">
        <f>IFERROR(_xll.qlRateHelperQuoteName(V56,Trigger),"")</f>
        <v>EURONOIS26Y_Shifted</v>
      </c>
      <c r="X56" s="73">
        <f>IFERROR(_xll.qlRateHelperRate(V56,Trigger),"")</f>
        <v>1.1175200199999999E-2</v>
      </c>
      <c r="Y56" s="105" t="str">
        <f>IF(ISERROR(_xll.qlSwapRateHelperSpread($V56)),IF(ISERROR(_xll.qlFuturesRateHelperConvexityAdjustment($V56)),"",_xll.qlFuturesRateHelperConvexityAdjustment($V56)),_xll.qlSwapRateHelperSpread($V56))</f>
        <v/>
      </c>
      <c r="Z56" s="5">
        <f>IFERROR(_xll.qlRateHelperEarliestDate(V56,Trigger),"")</f>
        <v>42748</v>
      </c>
      <c r="AA56" s="5">
        <f>IFERROR(_xll.qlRateHelperPillarDate(V56,Trigger),"")</f>
        <v>52244</v>
      </c>
      <c r="AB56" s="73">
        <v>1.1720421986166664E-2</v>
      </c>
    </row>
    <row r="57" spans="1:28" ht="11.25" customHeight="1" x14ac:dyDescent="0.2">
      <c r="A57" s="62" t="s">
        <v>68</v>
      </c>
      <c r="B57" s="63" t="s">
        <v>54</v>
      </c>
      <c r="C57" s="64">
        <v>2</v>
      </c>
      <c r="D57" s="125"/>
      <c r="E57" s="65" t="str">
        <f t="shared" si="9"/>
        <v>EoniaMX#0006</v>
      </c>
      <c r="F57" s="66" t="str">
        <f>IF(ISBLANK(Quote!E80),"",Quote!E80)</f>
        <v>EURONOIS6Y=#0006</v>
      </c>
      <c r="G57" s="66" t="str">
        <f>_xll.qlCompositeQuote(Currency&amp;"ON"&amp;A57&amp;B57&amp;"_Shifted",F57,BumpValue,"+",Permanent,Trigger,ObjectOverwrite)</f>
        <v>EURONOIS6Y_Shifted#0006</v>
      </c>
      <c r="H57" s="125"/>
      <c r="I57" s="67" t="str">
        <f>_xll.qlOISRateHelper(,C57,B57,IF(Sensitivity,G57,F57),$E57,,Permanent,Trigger,ObjectOverwrite)</f>
        <v>obj_002b8#0006</v>
      </c>
      <c r="K57" s="10" t="str">
        <f t="shared" si="6"/>
        <v>OIS</v>
      </c>
      <c r="L57" s="95" t="str">
        <f t="shared" si="7"/>
        <v>obj_002bc#0006</v>
      </c>
      <c r="M57" s="146" t="str">
        <f>IFERROR(_xll.qlRateHelperQuoteName(L57,Trigger),"--")</f>
        <v>EURONOIS8Y_Shifted</v>
      </c>
      <c r="N57" s="99">
        <f>IFERROR(_xll.qlRateHelperQuoteValue($L57,Trigger),"--")</f>
        <v>2.2300000000000002E-3</v>
      </c>
      <c r="O57" s="98" t="b">
        <v>1</v>
      </c>
      <c r="P57" s="95">
        <v>50</v>
      </c>
      <c r="Q57" s="95">
        <v>1</v>
      </c>
      <c r="R57" s="100">
        <f>IFERROR(_xll.qlRateHelperEarliestDate(L57,Trigger),"--")</f>
        <v>42748</v>
      </c>
      <c r="S57" s="100">
        <f>IFERROR(_xll.qlRateHelperPillarDate(L57,Trigger),"--")</f>
        <v>45670</v>
      </c>
      <c r="U57" s="4" t="str">
        <f t="shared" si="10"/>
        <v>OIS</v>
      </c>
      <c r="V57" s="4" t="str">
        <v>obj_00308</v>
      </c>
      <c r="W57" s="4" t="str">
        <f>IFERROR(_xll.qlRateHelperQuoteName(V57,Trigger),"")</f>
        <v>EURONOIS27Y_Shifted</v>
      </c>
      <c r="X57" s="73">
        <f>IFERROR(_xll.qlRateHelperRate(V57,Trigger),"")</f>
        <v>1.1242327430000001E-2</v>
      </c>
      <c r="Y57" s="105" t="str">
        <f>IF(ISERROR(_xll.qlSwapRateHelperSpread($V57)),IF(ISERROR(_xll.qlFuturesRateHelperConvexityAdjustment($V57)),"",_xll.qlFuturesRateHelperConvexityAdjustment($V57)),_xll.qlSwapRateHelperSpread($V57))</f>
        <v/>
      </c>
      <c r="Z57" s="5">
        <f>IFERROR(_xll.qlRateHelperEarliestDate(V57,Trigger),"")</f>
        <v>42748</v>
      </c>
      <c r="AA57" s="5">
        <f>IFERROR(_xll.qlRateHelperPillarDate(V57,Trigger),"")</f>
        <v>52609</v>
      </c>
      <c r="AB57" s="73">
        <v>1.1785484669982414E-2</v>
      </c>
    </row>
    <row r="58" spans="1:28" ht="11.25" customHeight="1" x14ac:dyDescent="0.2">
      <c r="A58" s="62" t="s">
        <v>68</v>
      </c>
      <c r="B58" s="63" t="s">
        <v>55</v>
      </c>
      <c r="C58" s="64">
        <v>2</v>
      </c>
      <c r="D58" s="125"/>
      <c r="E58" s="65" t="str">
        <f t="shared" si="9"/>
        <v>EoniaMX#0006</v>
      </c>
      <c r="F58" s="66" t="str">
        <f>IF(ISBLANK(Quote!E81),"",Quote!E81)</f>
        <v>EURONOIS7Y=#0006</v>
      </c>
      <c r="G58" s="66" t="str">
        <f>_xll.qlCompositeQuote(Currency&amp;"ON"&amp;A58&amp;B58&amp;"_Shifted",F58,BumpValue,"+",Permanent,Trigger,ObjectOverwrite)</f>
        <v>EURONOIS7Y_Shifted#0006</v>
      </c>
      <c r="H58" s="125"/>
      <c r="I58" s="67" t="str">
        <f>_xll.qlOISRateHelper(,C58,B58,IF(Sensitivity,G58,F58),$E58,,Permanent,Trigger,ObjectOverwrite)</f>
        <v>obj_002c2#0006</v>
      </c>
      <c r="K58" s="10" t="str">
        <f t="shared" si="6"/>
        <v>OIS</v>
      </c>
      <c r="L58" s="95" t="str">
        <f t="shared" si="7"/>
        <v>obj_002db#0006</v>
      </c>
      <c r="M58" s="146" t="str">
        <f>IFERROR(_xll.qlRateHelperQuoteName(L58,Trigger),"--")</f>
        <v>EURONOIS9Y_Shifted</v>
      </c>
      <c r="N58" s="99">
        <f>IFERROR(_xll.qlRateHelperQuoteValue($L58,Trigger),"--")</f>
        <v>3.4900000000000005E-3</v>
      </c>
      <c r="O58" s="98" t="b">
        <v>1</v>
      </c>
      <c r="P58" s="95">
        <v>50</v>
      </c>
      <c r="Q58" s="95">
        <v>1</v>
      </c>
      <c r="R58" s="100">
        <f>IFERROR(_xll.qlRateHelperEarliestDate(L58,Trigger),"--")</f>
        <v>42748</v>
      </c>
      <c r="S58" s="100">
        <f>IFERROR(_xll.qlRateHelperPillarDate(L58,Trigger),"--")</f>
        <v>46035</v>
      </c>
      <c r="U58" s="4" t="str">
        <f t="shared" si="10"/>
        <v>OIS</v>
      </c>
      <c r="V58" s="4" t="str">
        <v>obj_0030e</v>
      </c>
      <c r="W58" s="4" t="str">
        <f>IFERROR(_xll.qlRateHelperQuoteName(V58,Trigger),"")</f>
        <v>EURONOIS28Y_Shifted</v>
      </c>
      <c r="X58" s="73">
        <f>IFERROR(_xll.qlRateHelperRate(V58,Trigger),"")</f>
        <v>1.130300377E-2</v>
      </c>
      <c r="Y58" s="105" t="str">
        <f>IF(ISERROR(_xll.qlSwapRateHelperSpread($V58)),IF(ISERROR(_xll.qlFuturesRateHelperConvexityAdjustment($V58)),"",_xll.qlFuturesRateHelperConvexityAdjustment($V58)),_xll.qlSwapRateHelperSpread($V58))</f>
        <v/>
      </c>
      <c r="Z58" s="5">
        <f>IFERROR(_xll.qlRateHelperEarliestDate(V58,Trigger),"")</f>
        <v>42748</v>
      </c>
      <c r="AA58" s="5">
        <f>IFERROR(_xll.qlRateHelperPillarDate(V58,Trigger),"")</f>
        <v>52975</v>
      </c>
      <c r="AB58" s="73">
        <v>1.1843801598705557E-2</v>
      </c>
    </row>
    <row r="59" spans="1:28" ht="11.25" customHeight="1" x14ac:dyDescent="0.2">
      <c r="A59" s="62" t="s">
        <v>68</v>
      </c>
      <c r="B59" s="63" t="s">
        <v>56</v>
      </c>
      <c r="C59" s="64">
        <v>2</v>
      </c>
      <c r="D59" s="125"/>
      <c r="E59" s="65" t="str">
        <f t="shared" si="9"/>
        <v>EoniaMX#0006</v>
      </c>
      <c r="F59" s="66" t="str">
        <f>IF(ISBLANK(Quote!E82),"",Quote!E82)</f>
        <v>EURONOIS8Y=#0006</v>
      </c>
      <c r="G59" s="66" t="str">
        <f>_xll.qlCompositeQuote(Currency&amp;"ON"&amp;A59&amp;B59&amp;"_Shifted",F59,BumpValue,"+",Permanent,Trigger,ObjectOverwrite)</f>
        <v>EURONOIS8Y_Shifted#0006</v>
      </c>
      <c r="H59" s="125"/>
      <c r="I59" s="67" t="str">
        <f>_xll.qlOISRateHelper(,C59,B59,IF(Sensitivity,G59,F59),$E59,,Permanent,Trigger,ObjectOverwrite)</f>
        <v>obj_002bc#0006</v>
      </c>
      <c r="K59" s="10" t="str">
        <f t="shared" si="6"/>
        <v>OIS</v>
      </c>
      <c r="L59" s="95" t="str">
        <f t="shared" si="7"/>
        <v>obj_002af#0006</v>
      </c>
      <c r="M59" s="146" t="str">
        <f>IFERROR(_xll.qlRateHelperQuoteName(L59,Trigger),"--")</f>
        <v>EURONOIS10Y_Shifted</v>
      </c>
      <c r="N59" s="99">
        <f>IFERROR(_xll.qlRateHelperQuoteValue($L59,Trigger),"--")</f>
        <v>4.6500000000000005E-3</v>
      </c>
      <c r="O59" s="98" t="b">
        <v>1</v>
      </c>
      <c r="P59" s="95">
        <v>50</v>
      </c>
      <c r="Q59" s="95">
        <v>1</v>
      </c>
      <c r="R59" s="100">
        <f>IFERROR(_xll.qlRateHelperEarliestDate(L59,Trigger),"--")</f>
        <v>42748</v>
      </c>
      <c r="S59" s="100">
        <f>IFERROR(_xll.qlRateHelperPillarDate(L59,Trigger),"--")</f>
        <v>46400</v>
      </c>
      <c r="U59" s="4" t="str">
        <f t="shared" si="10"/>
        <v>OIS</v>
      </c>
      <c r="V59" s="4" t="str">
        <v>obj_00300</v>
      </c>
      <c r="W59" s="4" t="str">
        <f>IFERROR(_xll.qlRateHelperQuoteName(V59,Trigger),"")</f>
        <v>EURONOIS29Y_Shifted</v>
      </c>
      <c r="X59" s="73">
        <f>IFERROR(_xll.qlRateHelperRate(V59,Trigger),"")</f>
        <v>1.1358622070000001E-2</v>
      </c>
      <c r="Y59" s="105" t="str">
        <f>IF(ISERROR(_xll.qlSwapRateHelperSpread($V59)),IF(ISERROR(_xll.qlFuturesRateHelperConvexityAdjustment($V59)),"",_xll.qlFuturesRateHelperConvexityAdjustment($V59)),_xll.qlSwapRateHelperSpread($V59))</f>
        <v/>
      </c>
      <c r="Z59" s="5">
        <f>IFERROR(_xll.qlRateHelperEarliestDate(V59,Trigger),"")</f>
        <v>42748</v>
      </c>
      <c r="AA59" s="5">
        <f>IFERROR(_xll.qlRateHelperPillarDate(V59,Trigger),"")</f>
        <v>53342</v>
      </c>
      <c r="AB59" s="73">
        <v>1.1896961612162178E-2</v>
      </c>
    </row>
    <row r="60" spans="1:28" ht="11.25" customHeight="1" x14ac:dyDescent="0.2">
      <c r="A60" s="62" t="s">
        <v>68</v>
      </c>
      <c r="B60" s="63" t="s">
        <v>57</v>
      </c>
      <c r="C60" s="64">
        <v>2</v>
      </c>
      <c r="D60" s="125"/>
      <c r="E60" s="65" t="str">
        <f t="shared" si="9"/>
        <v>EoniaMX#0006</v>
      </c>
      <c r="F60" s="66" t="str">
        <f>IF(ISBLANK(Quote!E83),"",Quote!E83)</f>
        <v>EURONOIS9Y=#0006</v>
      </c>
      <c r="G60" s="66" t="str">
        <f>_xll.qlCompositeQuote(Currency&amp;"ON"&amp;A60&amp;B60&amp;"_Shifted",F60,BumpValue,"+",Permanent,Trigger,ObjectOverwrite)</f>
        <v>EURONOIS9Y_Shifted#0006</v>
      </c>
      <c r="H60" s="125"/>
      <c r="I60" s="67" t="str">
        <f>_xll.qlOISRateHelper(,C60,B60,IF(Sensitivity,G60,F60),$E60,,Permanent,Trigger,ObjectOverwrite)</f>
        <v>obj_002db#0006</v>
      </c>
      <c r="K60" s="10" t="str">
        <f t="shared" si="6"/>
        <v>OIS</v>
      </c>
      <c r="L60" s="95" t="str">
        <f t="shared" si="7"/>
        <v>obj_0029a#0006</v>
      </c>
      <c r="M60" s="146" t="str">
        <f>IFERROR(_xll.qlRateHelperQuoteName(L60,Trigger),"--")</f>
        <v>EURONOIS11Y_Shifted</v>
      </c>
      <c r="N60" s="99">
        <f>IFERROR(_xll.qlRateHelperQuoteValue($L60,Trigger),"--")</f>
        <v>5.680000000000001E-3</v>
      </c>
      <c r="O60" s="98" t="b">
        <v>1</v>
      </c>
      <c r="P60" s="95">
        <v>50</v>
      </c>
      <c r="Q60" s="95">
        <v>1</v>
      </c>
      <c r="R60" s="100">
        <f>IFERROR(_xll.qlRateHelperEarliestDate(L60,Trigger),"--")</f>
        <v>42748</v>
      </c>
      <c r="S60" s="100">
        <f>IFERROR(_xll.qlRateHelperPillarDate(L60,Trigger),"--")</f>
        <v>46765</v>
      </c>
      <c r="U60" s="4" t="str">
        <f t="shared" si="10"/>
        <v>OIS</v>
      </c>
      <c r="V60" s="4" t="str">
        <v>obj_002f4</v>
      </c>
      <c r="W60" s="4" t="str">
        <f>IFERROR(_xll.qlRateHelperQuoteName(V60,Trigger),"")</f>
        <v>EURONOIS30Y_Shifted</v>
      </c>
      <c r="X60" s="73">
        <f>IFERROR(_xll.qlRateHelperRate(V60,Trigger),"")</f>
        <v>1.141E-2</v>
      </c>
      <c r="Y60" s="105" t="str">
        <f>IF(ISERROR(_xll.qlSwapRateHelperSpread($V60)),IF(ISERROR(_xll.qlFuturesRateHelperConvexityAdjustment($V60)),"",_xll.qlFuturesRateHelperConvexityAdjustment($V60)),_xll.qlSwapRateHelperSpread($V60))</f>
        <v/>
      </c>
      <c r="Z60" s="5">
        <f>IFERROR(_xll.qlRateHelperEarliestDate(V60,Trigger),"")</f>
        <v>42748</v>
      </c>
      <c r="AA60" s="5">
        <f>IFERROR(_xll.qlRateHelperPillarDate(V60,Trigger),"")</f>
        <v>53706</v>
      </c>
      <c r="AB60" s="73">
        <v>1.1946054950468726E-2</v>
      </c>
    </row>
    <row r="61" spans="1:28" ht="11.25" customHeight="1" x14ac:dyDescent="0.2">
      <c r="A61" s="62" t="s">
        <v>68</v>
      </c>
      <c r="B61" s="63" t="s">
        <v>58</v>
      </c>
      <c r="C61" s="64">
        <v>2</v>
      </c>
      <c r="D61" s="125"/>
      <c r="E61" s="65" t="str">
        <f t="shared" si="9"/>
        <v>EoniaMX#0006</v>
      </c>
      <c r="F61" s="66" t="str">
        <f>IF(ISBLANK(Quote!E84),"",Quote!E84)</f>
        <v>EURONOIS10Y=#0006</v>
      </c>
      <c r="G61" s="66" t="str">
        <f>_xll.qlCompositeQuote(Currency&amp;"ON"&amp;A61&amp;B61&amp;"_Shifted",F61,BumpValue,"+",Permanent,Trigger,ObjectOverwrite)</f>
        <v>EURONOIS10Y_Shifted#0006</v>
      </c>
      <c r="H61" s="125"/>
      <c r="I61" s="67" t="str">
        <f>_xll.qlOISRateHelper(,C61,B61,IF(Sensitivity,G61,F61),$E61,,Permanent,Trigger,ObjectOverwrite)</f>
        <v>obj_002af#0006</v>
      </c>
      <c r="K61" s="10" t="str">
        <f t="shared" si="6"/>
        <v>OIS</v>
      </c>
      <c r="L61" s="95" t="str">
        <f t="shared" si="7"/>
        <v>obj_002b4#0006</v>
      </c>
      <c r="M61" s="146" t="str">
        <f>IFERROR(_xll.qlRateHelperQuoteName(L61,Trigger),"--")</f>
        <v>EURONOIS12Y_Shifted</v>
      </c>
      <c r="N61" s="99">
        <f>IFERROR(_xll.qlRateHelperQuoteValue($L61,Trigger),"--")</f>
        <v>6.6E-3</v>
      </c>
      <c r="O61" s="98" t="b">
        <v>1</v>
      </c>
      <c r="P61" s="95">
        <v>50</v>
      </c>
      <c r="Q61" s="95">
        <v>1</v>
      </c>
      <c r="R61" s="100">
        <f>IFERROR(_xll.qlRateHelperEarliestDate(L61,Trigger),"--")</f>
        <v>42748</v>
      </c>
      <c r="S61" s="100">
        <f>IFERROR(_xll.qlRateHelperPillarDate(L61,Trigger),"--")</f>
        <v>47133</v>
      </c>
      <c r="U61" s="4" t="str">
        <f t="shared" si="10"/>
        <v>OIS</v>
      </c>
      <c r="V61" s="4" t="str">
        <v>obj_00302</v>
      </c>
      <c r="W61" s="4" t="str">
        <f>IFERROR(_xll.qlRateHelperQuoteName(V61,Trigger),"")</f>
        <v>EURONOIS35Y_Shifted</v>
      </c>
      <c r="X61" s="73">
        <f>IFERROR(_xll.qlRateHelperRate(V61,Trigger),"")</f>
        <v>1.161539514E-2</v>
      </c>
      <c r="Y61" s="105" t="str">
        <f>IF(ISERROR(_xll.qlSwapRateHelperSpread($V61)),IF(ISERROR(_xll.qlFuturesRateHelperConvexityAdjustment($V61)),"",_xll.qlFuturesRateHelperConvexityAdjustment($V61)),_xll.qlSwapRateHelperSpread($V61))</f>
        <v/>
      </c>
      <c r="Z61" s="5">
        <f>IFERROR(_xll.qlRateHelperEarliestDate(V61,Trigger),"")</f>
        <v>42748</v>
      </c>
      <c r="AA61" s="5">
        <f>IFERROR(_xll.qlRateHelperPillarDate(V61,Trigger),"")</f>
        <v>55533</v>
      </c>
      <c r="AB61" s="73">
        <v>1.2139290089677674E-2</v>
      </c>
    </row>
    <row r="62" spans="1:28" ht="11.25" customHeight="1" x14ac:dyDescent="0.2">
      <c r="A62" s="62" t="s">
        <v>68</v>
      </c>
      <c r="B62" s="63" t="s">
        <v>99</v>
      </c>
      <c r="C62" s="64">
        <v>2</v>
      </c>
      <c r="D62" s="125"/>
      <c r="E62" s="65" t="str">
        <f t="shared" si="9"/>
        <v>EoniaMX#0006</v>
      </c>
      <c r="F62" s="66" t="str">
        <f>IF(ISBLANK(Quote!E85),"",Quote!E85)</f>
        <v>EURONOIS11Y=#0006</v>
      </c>
      <c r="G62" s="66" t="str">
        <f>_xll.qlCompositeQuote(Currency&amp;"ON"&amp;A62&amp;B62&amp;"_Shifted",F62,BumpValue,"+",Permanent,Trigger,ObjectOverwrite)</f>
        <v>EURONOIS11Y_Shifted#0006</v>
      </c>
      <c r="H62" s="125"/>
      <c r="I62" s="67" t="str">
        <f>_xll.qlOISRateHelper(,C62,B62,IF(Sensitivity,G62,F62),$E62,,Permanent,Trigger,ObjectOverwrite)</f>
        <v>obj_0029a#0006</v>
      </c>
      <c r="K62" s="10" t="str">
        <f t="shared" si="6"/>
        <v>OIS</v>
      </c>
      <c r="L62" s="95" t="str">
        <f t="shared" si="7"/>
        <v>obj_002a9#0006</v>
      </c>
      <c r="M62" s="146" t="str">
        <f>IFERROR(_xll.qlRateHelperQuoteName(L62,Trigger),"--")</f>
        <v>EURONOIS13Y_Shifted</v>
      </c>
      <c r="N62" s="99">
        <f>IFERROR(_xll.qlRateHelperQuoteValue($L62,Trigger),"--")</f>
        <v>7.3895937300000004E-3</v>
      </c>
      <c r="O62" s="98" t="b">
        <v>1</v>
      </c>
      <c r="P62" s="95">
        <v>50</v>
      </c>
      <c r="Q62" s="95">
        <v>1</v>
      </c>
      <c r="R62" s="100">
        <f>IFERROR(_xll.qlRateHelperEarliestDate(L62,Trigger),"--")</f>
        <v>42748</v>
      </c>
      <c r="S62" s="100">
        <f>IFERROR(_xll.qlRateHelperPillarDate(L62,Trigger),"--")</f>
        <v>47497</v>
      </c>
      <c r="U62" s="4" t="str">
        <f t="shared" si="10"/>
        <v>OIS</v>
      </c>
      <c r="V62" s="4" t="str">
        <v>obj_002fc</v>
      </c>
      <c r="W62" s="4" t="str">
        <f>IFERROR(_xll.qlRateHelperQuoteName(V62,Trigger),"")</f>
        <v>EURONOIS40Y_Shifted</v>
      </c>
      <c r="X62" s="73">
        <f>IFERROR(_xll.qlRateHelperRate(V62,Trigger),"")</f>
        <v>1.167E-2</v>
      </c>
      <c r="Y62" s="105" t="str">
        <f>IF(ISERROR(_xll.qlSwapRateHelperSpread($V62)),IF(ISERROR(_xll.qlFuturesRateHelperConvexityAdjustment($V62)),"",_xll.qlFuturesRateHelperConvexityAdjustment($V62)),_xll.qlSwapRateHelperSpread($V62))</f>
        <v/>
      </c>
      <c r="Z62" s="5">
        <f>IFERROR(_xll.qlRateHelperEarliestDate(V62,Trigger),"")</f>
        <v>42748</v>
      </c>
      <c r="AA62" s="5">
        <f>IFERROR(_xll.qlRateHelperPillarDate(V62,Trigger),"")</f>
        <v>57360</v>
      </c>
      <c r="AB62" s="73">
        <v>1.2155866242139265E-2</v>
      </c>
    </row>
    <row r="63" spans="1:28" ht="11.25" customHeight="1" x14ac:dyDescent="0.2">
      <c r="A63" s="62" t="s">
        <v>68</v>
      </c>
      <c r="B63" s="63" t="s">
        <v>59</v>
      </c>
      <c r="C63" s="64">
        <v>2</v>
      </c>
      <c r="D63" s="125"/>
      <c r="E63" s="65" t="str">
        <f t="shared" si="9"/>
        <v>EoniaMX#0006</v>
      </c>
      <c r="F63" s="66" t="str">
        <f>IF(ISBLANK(Quote!E86),"",Quote!E86)</f>
        <v>EURONOIS12Y=#0006</v>
      </c>
      <c r="G63" s="66" t="str">
        <f>_xll.qlCompositeQuote(Currency&amp;"ON"&amp;A63&amp;B63&amp;"_Shifted",F63,BumpValue,"+",Permanent,Trigger,ObjectOverwrite)</f>
        <v>EURONOIS12Y_Shifted#0006</v>
      </c>
      <c r="H63" s="125"/>
      <c r="I63" s="67" t="str">
        <f>_xll.qlOISRateHelper(,C63,B63,IF(Sensitivity,G63,F63),$E63,,Permanent,Trigger,ObjectOverwrite)</f>
        <v>obj_002b4#0006</v>
      </c>
      <c r="K63" s="10" t="str">
        <f t="shared" si="6"/>
        <v>OIS</v>
      </c>
      <c r="L63" s="95" t="str">
        <f t="shared" si="7"/>
        <v>obj_0029f#0006</v>
      </c>
      <c r="M63" s="146" t="str">
        <f>IFERROR(_xll.qlRateHelperQuoteName(L63,Trigger),"--")</f>
        <v>EURONOIS14Y_Shifted</v>
      </c>
      <c r="N63" s="99">
        <f>IFERROR(_xll.qlRateHelperQuoteValue($L63,Trigger),"--")</f>
        <v>8.0681237400000005E-3</v>
      </c>
      <c r="O63" s="98" t="b">
        <v>1</v>
      </c>
      <c r="P63" s="95">
        <v>50</v>
      </c>
      <c r="Q63" s="95">
        <v>1</v>
      </c>
      <c r="R63" s="100">
        <f>IFERROR(_xll.qlRateHelperEarliestDate(L63,Trigger),"--")</f>
        <v>42748</v>
      </c>
      <c r="S63" s="100">
        <f>IFERROR(_xll.qlRateHelperPillarDate(L63,Trigger),"--")</f>
        <v>47861</v>
      </c>
      <c r="U63" s="4" t="str">
        <f t="shared" si="10"/>
        <v>OIS</v>
      </c>
      <c r="V63" s="4" t="str">
        <v>obj_002f7</v>
      </c>
      <c r="W63" s="4" t="str">
        <f>IFERROR(_xll.qlRateHelperQuoteName(V63,Trigger),"")</f>
        <v>EURONOIS50Y_Shifted</v>
      </c>
      <c r="X63" s="73">
        <f>IFERROR(_xll.qlRateHelperRate(V63,Trigger),"")</f>
        <v>1.1320000000000002E-2</v>
      </c>
      <c r="Y63" s="105" t="str">
        <f>IF(ISERROR(_xll.qlSwapRateHelperSpread($V63)),IF(ISERROR(_xll.qlFuturesRateHelperConvexityAdjustment($V63)),"",_xll.qlFuturesRateHelperConvexityAdjustment($V63)),_xll.qlSwapRateHelperSpread($V63))</f>
        <v/>
      </c>
      <c r="Z63" s="5">
        <f>IFERROR(_xll.qlRateHelperEarliestDate(V63,Trigger),"")</f>
        <v>42748</v>
      </c>
      <c r="AA63" s="5">
        <f>IFERROR(_xll.qlRateHelperPillarDate(V63,Trigger),"")</f>
        <v>61010</v>
      </c>
      <c r="AB63" s="73">
        <v>1.1609898586875125E-2</v>
      </c>
    </row>
    <row r="64" spans="1:28" ht="11.25" customHeight="1" x14ac:dyDescent="0.2">
      <c r="A64" s="62" t="s">
        <v>68</v>
      </c>
      <c r="B64" s="63" t="s">
        <v>100</v>
      </c>
      <c r="C64" s="64">
        <v>2</v>
      </c>
      <c r="D64" s="125"/>
      <c r="E64" s="65" t="str">
        <f t="shared" si="9"/>
        <v>EoniaMX#0006</v>
      </c>
      <c r="F64" s="66" t="str">
        <f>IF(ISBLANK(Quote!E87),"",Quote!E87)</f>
        <v>EURONOIS13Y=#0006</v>
      </c>
      <c r="G64" s="66" t="str">
        <f>_xll.qlCompositeQuote(Currency&amp;"ON"&amp;A64&amp;B64&amp;"_Shifted",F64,BumpValue,"+",Permanent,Trigger,ObjectOverwrite)</f>
        <v>EURONOIS13Y_Shifted#0006</v>
      </c>
      <c r="H64" s="125"/>
      <c r="I64" s="67" t="str">
        <f>_xll.qlOISRateHelper(,C64,B64,IF(Sensitivity,G64,F64),$E64,,Permanent,Trigger,ObjectOverwrite)</f>
        <v>obj_002a9#0006</v>
      </c>
      <c r="K64" s="10" t="str">
        <f t="shared" si="6"/>
        <v>OIS</v>
      </c>
      <c r="L64" s="95" t="str">
        <f t="shared" si="7"/>
        <v>obj_002c7#0006</v>
      </c>
      <c r="M64" s="146" t="str">
        <f>IFERROR(_xll.qlRateHelperQuoteName(L64,Trigger),"--")</f>
        <v>EURONOIS15Y_Shifted</v>
      </c>
      <c r="N64" s="99">
        <f>IFERROR(_xll.qlRateHelperQuoteValue($L64,Trigger),"--")</f>
        <v>8.6499999999999997E-3</v>
      </c>
      <c r="O64" s="98" t="b">
        <v>1</v>
      </c>
      <c r="P64" s="95">
        <v>50</v>
      </c>
      <c r="Q64" s="95">
        <v>1</v>
      </c>
      <c r="R64" s="100">
        <f>IFERROR(_xll.qlRateHelperEarliestDate(L64,Trigger),"--")</f>
        <v>42748</v>
      </c>
      <c r="S64" s="100">
        <f>IFERROR(_xll.qlRateHelperPillarDate(L64,Trigger),"--")</f>
        <v>48226</v>
      </c>
      <c r="U64" s="4" t="str">
        <f t="shared" si="10"/>
        <v>OIS</v>
      </c>
      <c r="V64" s="4" t="str">
        <v>obj_0030c</v>
      </c>
      <c r="W64" s="4" t="str">
        <f>IFERROR(_xll.qlRateHelperQuoteName(V64,Trigger),"")</f>
        <v>EURONOIS60Y_Shifted</v>
      </c>
      <c r="X64" s="73">
        <f>IFERROR(_xll.qlRateHelperRate(V64,Trigger),"")</f>
        <v>1.107E-2</v>
      </c>
      <c r="Y64" s="105" t="str">
        <f>IF(ISERROR(_xll.qlSwapRateHelperSpread($V64)),IF(ISERROR(_xll.qlFuturesRateHelperConvexityAdjustment($V64)),"",_xll.qlFuturesRateHelperConvexityAdjustment($V64)),_xll.qlSwapRateHelperSpread($V64))</f>
        <v/>
      </c>
      <c r="Z64" s="5">
        <f>IFERROR(_xll.qlRateHelperEarliestDate(V64,Trigger),"")</f>
        <v>42748</v>
      </c>
      <c r="AA64" s="5">
        <f>IFERROR(_xll.qlRateHelperPillarDate(V64,Trigger),"")</f>
        <v>64663</v>
      </c>
      <c r="AB64" s="73">
        <v>1.1233443940870518E-2</v>
      </c>
    </row>
    <row r="65" spans="1:28" ht="11.25" customHeight="1" x14ac:dyDescent="0.2">
      <c r="A65" s="62" t="s">
        <v>68</v>
      </c>
      <c r="B65" s="63" t="s">
        <v>101</v>
      </c>
      <c r="C65" s="64">
        <v>2</v>
      </c>
      <c r="D65" s="125"/>
      <c r="E65" s="65" t="str">
        <f t="shared" si="9"/>
        <v>EoniaMX#0006</v>
      </c>
      <c r="F65" s="66" t="str">
        <f>IF(ISBLANK(Quote!E88),"",Quote!E88)</f>
        <v>EURONOIS14Y=#0006</v>
      </c>
      <c r="G65" s="66" t="str">
        <f>_xll.qlCompositeQuote(Currency&amp;"ON"&amp;A65&amp;B65&amp;"_Shifted",F65,BumpValue,"+",Permanent,Trigger,ObjectOverwrite)</f>
        <v>EURONOIS14Y_Shifted#0006</v>
      </c>
      <c r="H65" s="125"/>
      <c r="I65" s="67" t="str">
        <f>_xll.qlOISRateHelper(,C65,B65,IF(Sensitivity,G65,F65),$E65,,Permanent,Trigger,ObjectOverwrite)</f>
        <v>obj_0029f#0006</v>
      </c>
      <c r="K65" s="10" t="str">
        <f t="shared" si="6"/>
        <v>OIS</v>
      </c>
      <c r="L65" s="95" t="str">
        <f t="shared" si="7"/>
        <v>obj_0029c#0006</v>
      </c>
      <c r="M65" s="146" t="str">
        <f>IFERROR(_xll.qlRateHelperQuoteName(L65,Trigger),"--")</f>
        <v>EURONOIS16Y_Shifted</v>
      </c>
      <c r="N65" s="99">
        <f>IFERROR(_xll.qlRateHelperQuoteValue($L65,Trigger),"--")</f>
        <v>9.1465199999999983E-3</v>
      </c>
      <c r="O65" s="98" t="b">
        <v>1</v>
      </c>
      <c r="P65" s="95">
        <v>50</v>
      </c>
      <c r="Q65" s="95">
        <v>1</v>
      </c>
      <c r="R65" s="100">
        <f>IFERROR(_xll.qlRateHelperEarliestDate(L65,Trigger),"--")</f>
        <v>42748</v>
      </c>
      <c r="S65" s="100">
        <f>IFERROR(_xll.qlRateHelperPillarDate(L65,Trigger),"--")</f>
        <v>48592</v>
      </c>
      <c r="U65" s="4" t="str">
        <f t="shared" si="10"/>
        <v/>
      </c>
      <c r="V65" s="4" t="e">
        <v>#N/A</v>
      </c>
      <c r="W65" s="4" t="str">
        <f>IFERROR(_xll.qlRateHelperQuoteName(V65,Trigger),"")</f>
        <v/>
      </c>
      <c r="X65" s="73" t="str">
        <f>IFERROR(_xll.qlRateHelperRate(V65,Trigger),"")</f>
        <v/>
      </c>
      <c r="Y65" s="105" t="str">
        <f>IF(ISERROR(_xll.qlSwapRateHelperSpread($V65)),IF(ISERROR(_xll.qlFuturesRateHelperConvexityAdjustment($V65)),"",_xll.qlFuturesRateHelperConvexityAdjustment($V65)),_xll.qlSwapRateHelperSpread($V65))</f>
        <v/>
      </c>
      <c r="Z65" s="5" t="str">
        <f>IFERROR(_xll.qlRateHelperEarliestDate(V65,Trigger),"")</f>
        <v/>
      </c>
      <c r="AA65" s="5" t="str">
        <f>IFERROR(_xll.qlRateHelperPillarDate(V65,Trigger),"")</f>
        <v/>
      </c>
      <c r="AB65" s="73" t="e">
        <v>#N/A</v>
      </c>
    </row>
    <row r="66" spans="1:28" ht="11.25" customHeight="1" x14ac:dyDescent="0.2">
      <c r="A66" s="62" t="s">
        <v>68</v>
      </c>
      <c r="B66" s="63" t="s">
        <v>60</v>
      </c>
      <c r="C66" s="64">
        <v>2</v>
      </c>
      <c r="D66" s="125"/>
      <c r="E66" s="65" t="str">
        <f t="shared" si="9"/>
        <v>EoniaMX#0006</v>
      </c>
      <c r="F66" s="66" t="str">
        <f>IF(ISBLANK(Quote!E89),"",Quote!E89)</f>
        <v>EURONOIS15Y=#0006</v>
      </c>
      <c r="G66" s="66" t="str">
        <f>_xll.qlCompositeQuote(Currency&amp;"ON"&amp;A66&amp;B66&amp;"_Shifted",F66,BumpValue,"+",Permanent,Trigger,ObjectOverwrite)</f>
        <v>EURONOIS15Y_Shifted#0006</v>
      </c>
      <c r="H66" s="125"/>
      <c r="I66" s="67" t="str">
        <f>_xll.qlOISRateHelper(,C66,B66,IF(Sensitivity,G66,F66),$E66,,Permanent,Trigger,ObjectOverwrite)</f>
        <v>obj_002c7#0006</v>
      </c>
      <c r="K66" s="10" t="str">
        <f t="shared" si="6"/>
        <v>OIS</v>
      </c>
      <c r="L66" s="95" t="str">
        <f t="shared" si="7"/>
        <v>obj_002bb#0006</v>
      </c>
      <c r="M66" s="146" t="str">
        <f>IFERROR(_xll.qlRateHelperQuoteName(L66,Trigger),"--")</f>
        <v>EURONOIS17Y_Shifted</v>
      </c>
      <c r="N66" s="99">
        <f>IFERROR(_xll.qlRateHelperQuoteValue($L66,Trigger),"--")</f>
        <v>9.5643919700000007E-3</v>
      </c>
      <c r="O66" s="98" t="b">
        <v>1</v>
      </c>
      <c r="P66" s="95">
        <v>50</v>
      </c>
      <c r="Q66" s="95">
        <v>1</v>
      </c>
      <c r="R66" s="100">
        <f>IFERROR(_xll.qlRateHelperEarliestDate(L66,Trigger),"--")</f>
        <v>42748</v>
      </c>
      <c r="S66" s="100">
        <f>IFERROR(_xll.qlRateHelperPillarDate(L66,Trigger),"--")</f>
        <v>48957</v>
      </c>
      <c r="U66" s="4" t="str">
        <f t="shared" si="10"/>
        <v/>
      </c>
      <c r="V66" s="4" t="e">
        <v>#N/A</v>
      </c>
      <c r="W66" s="4" t="str">
        <f>IFERROR(_xll.qlRateHelperQuoteName(V66,Trigger),"")</f>
        <v/>
      </c>
      <c r="X66" s="73" t="str">
        <f>IFERROR(_xll.qlRateHelperRate(V66,Trigger),"")</f>
        <v/>
      </c>
      <c r="Y66" s="105" t="str">
        <f>IF(ISERROR(_xll.qlSwapRateHelperSpread($V66)),IF(ISERROR(_xll.qlFuturesRateHelperConvexityAdjustment($V66)),"",_xll.qlFuturesRateHelperConvexityAdjustment($V66)),_xll.qlSwapRateHelperSpread($V66))</f>
        <v/>
      </c>
      <c r="Z66" s="5" t="str">
        <f>IFERROR(_xll.qlRateHelperEarliestDate(V66,Trigger),"")</f>
        <v/>
      </c>
      <c r="AA66" s="5" t="str">
        <f>IFERROR(_xll.qlRateHelperPillarDate(V66,Trigger),"")</f>
        <v/>
      </c>
      <c r="AB66" s="73" t="e">
        <v>#N/A</v>
      </c>
    </row>
    <row r="67" spans="1:28" ht="11.25" customHeight="1" x14ac:dyDescent="0.2">
      <c r="A67" s="62" t="s">
        <v>68</v>
      </c>
      <c r="B67" s="63" t="s">
        <v>102</v>
      </c>
      <c r="C67" s="64">
        <v>2</v>
      </c>
      <c r="D67" s="125"/>
      <c r="E67" s="65" t="str">
        <f t="shared" si="9"/>
        <v>EoniaMX#0006</v>
      </c>
      <c r="F67" s="66" t="str">
        <f>IF(ISBLANK(Quote!E90),"",Quote!E90)</f>
        <v>EURONOIS16Y=#0006</v>
      </c>
      <c r="G67" s="66" t="str">
        <f>_xll.qlCompositeQuote(Currency&amp;"ON"&amp;A67&amp;B67&amp;"_Shifted",F67,BumpValue,"+",Permanent,Trigger,ObjectOverwrite)</f>
        <v>EURONOIS16Y_Shifted#0006</v>
      </c>
      <c r="H67" s="125"/>
      <c r="I67" s="67" t="str">
        <f>_xll.qlOISRateHelper(,C67,B67,IF(Sensitivity,G67,F67),$E67,,Permanent,Trigger,ObjectOverwrite)</f>
        <v>obj_0029c#0006</v>
      </c>
      <c r="K67" s="10" t="str">
        <f t="shared" si="6"/>
        <v>OIS</v>
      </c>
      <c r="L67" s="95" t="str">
        <f t="shared" si="7"/>
        <v>obj_002e4#0006</v>
      </c>
      <c r="M67" s="146" t="str">
        <f>IFERROR(_xll.qlRateHelperQuoteName(L67,Trigger),"--")</f>
        <v>EURONOIS18Y_Shifted</v>
      </c>
      <c r="N67" s="99">
        <f>IFERROR(_xll.qlRateHelperQuoteValue($L67,Trigger),"--")</f>
        <v>9.9154325300000005E-3</v>
      </c>
      <c r="O67" s="98" t="b">
        <v>1</v>
      </c>
      <c r="P67" s="95">
        <v>50</v>
      </c>
      <c r="Q67" s="95">
        <v>1</v>
      </c>
      <c r="R67" s="100">
        <f>IFERROR(_xll.qlRateHelperEarliestDate(L67,Trigger),"--")</f>
        <v>42748</v>
      </c>
      <c r="S67" s="100">
        <f>IFERROR(_xll.qlRateHelperPillarDate(L67,Trigger),"--")</f>
        <v>49324</v>
      </c>
      <c r="U67" s="4" t="str">
        <f t="shared" si="10"/>
        <v/>
      </c>
      <c r="V67" s="4" t="e">
        <v>#N/A</v>
      </c>
      <c r="W67" s="4" t="str">
        <f>IFERROR(_xll.qlRateHelperQuoteName(V67,Trigger),"")</f>
        <v/>
      </c>
      <c r="X67" s="73" t="str">
        <f>IFERROR(_xll.qlRateHelperRate(V67,Trigger),"")</f>
        <v/>
      </c>
      <c r="Y67" s="105" t="str">
        <f>IF(ISERROR(_xll.qlSwapRateHelperSpread($V67)),IF(ISERROR(_xll.qlFuturesRateHelperConvexityAdjustment($V67)),"",_xll.qlFuturesRateHelperConvexityAdjustment($V67)),_xll.qlSwapRateHelperSpread($V67))</f>
        <v/>
      </c>
      <c r="Z67" s="5" t="str">
        <f>IFERROR(_xll.qlRateHelperEarliestDate(V67,Trigger),"")</f>
        <v/>
      </c>
      <c r="AA67" s="5" t="str">
        <f>IFERROR(_xll.qlRateHelperPillarDate(V67,Trigger),"")</f>
        <v/>
      </c>
      <c r="AB67" s="73" t="e">
        <v>#N/A</v>
      </c>
    </row>
    <row r="68" spans="1:28" ht="11.25" customHeight="1" x14ac:dyDescent="0.2">
      <c r="A68" s="62" t="s">
        <v>68</v>
      </c>
      <c r="B68" s="63" t="s">
        <v>103</v>
      </c>
      <c r="C68" s="64">
        <v>2</v>
      </c>
      <c r="D68" s="125"/>
      <c r="E68" s="65" t="str">
        <f t="shared" si="9"/>
        <v>EoniaMX#0006</v>
      </c>
      <c r="F68" s="66" t="str">
        <f>IF(ISBLANK(Quote!E91),"",Quote!E91)</f>
        <v>EURONOIS17Y=#0006</v>
      </c>
      <c r="G68" s="66" t="str">
        <f>_xll.qlCompositeQuote(Currency&amp;"ON"&amp;A68&amp;B68&amp;"_Shifted",F68,BumpValue,"+",Permanent,Trigger,ObjectOverwrite)</f>
        <v>EURONOIS17Y_Shifted#0006</v>
      </c>
      <c r="H68" s="125"/>
      <c r="I68" s="67" t="str">
        <f>_xll.qlOISRateHelper(,C68,B68,IF(Sensitivity,G68,F68),$E68,,Permanent,Trigger,ObjectOverwrite)</f>
        <v>obj_002bb#0006</v>
      </c>
      <c r="K68" s="10" t="str">
        <f t="shared" si="6"/>
        <v>OIS</v>
      </c>
      <c r="L68" s="95" t="str">
        <f t="shared" si="7"/>
        <v>obj_002d6#0006</v>
      </c>
      <c r="M68" s="146" t="str">
        <f>IFERROR(_xll.qlRateHelperQuoteName(L68,Trigger),"--")</f>
        <v>EURONOIS19Y_Shifted</v>
      </c>
      <c r="N68" s="99">
        <f>IFERROR(_xll.qlRateHelperQuoteValue($L68,Trigger),"--")</f>
        <v>1.02033852E-2</v>
      </c>
      <c r="O68" s="98" t="b">
        <v>1</v>
      </c>
      <c r="P68" s="95">
        <v>50</v>
      </c>
      <c r="Q68" s="95">
        <v>1</v>
      </c>
      <c r="R68" s="100">
        <f>IFERROR(_xll.qlRateHelperEarliestDate(L68,Trigger),"--")</f>
        <v>42748</v>
      </c>
      <c r="S68" s="100">
        <f>IFERROR(_xll.qlRateHelperPillarDate(L68,Trigger),"--")</f>
        <v>49688</v>
      </c>
      <c r="U68" s="4" t="str">
        <f t="shared" si="10"/>
        <v/>
      </c>
      <c r="V68" s="4" t="e">
        <v>#N/A</v>
      </c>
      <c r="W68" s="4" t="str">
        <f>IFERROR(_xll.qlRateHelperQuoteName(V68,Trigger),"")</f>
        <v/>
      </c>
      <c r="X68" s="73" t="str">
        <f>IFERROR(_xll.qlRateHelperRate(V68,Trigger),"")</f>
        <v/>
      </c>
      <c r="Y68" s="105" t="str">
        <f>IF(ISERROR(_xll.qlSwapRateHelperSpread($V68)),IF(ISERROR(_xll.qlFuturesRateHelperConvexityAdjustment($V68)),"",_xll.qlFuturesRateHelperConvexityAdjustment($V68)),_xll.qlSwapRateHelperSpread($V68))</f>
        <v/>
      </c>
      <c r="Z68" s="5" t="str">
        <f>IFERROR(_xll.qlRateHelperEarliestDate(V68,Trigger),"")</f>
        <v/>
      </c>
      <c r="AA68" s="5" t="str">
        <f>IFERROR(_xll.qlRateHelperPillarDate(V68,Trigger),"")</f>
        <v/>
      </c>
      <c r="AB68" s="73" t="e">
        <v>#N/A</v>
      </c>
    </row>
    <row r="69" spans="1:28" ht="11.25" customHeight="1" x14ac:dyDescent="0.2">
      <c r="A69" s="62" t="s">
        <v>68</v>
      </c>
      <c r="B69" s="63" t="s">
        <v>104</v>
      </c>
      <c r="C69" s="64">
        <v>2</v>
      </c>
      <c r="D69" s="125"/>
      <c r="E69" s="65" t="str">
        <f t="shared" si="9"/>
        <v>EoniaMX#0006</v>
      </c>
      <c r="F69" s="66" t="str">
        <f>IF(ISBLANK(Quote!E92),"",Quote!E92)</f>
        <v>EURONOIS18Y=#0006</v>
      </c>
      <c r="G69" s="66" t="str">
        <f>_xll.qlCompositeQuote(Currency&amp;"ON"&amp;A69&amp;B69&amp;"_Shifted",F69,BumpValue,"+",Permanent,Trigger,ObjectOverwrite)</f>
        <v>EURONOIS18Y_Shifted#0006</v>
      </c>
      <c r="H69" s="125"/>
      <c r="I69" s="67" t="str">
        <f>_xll.qlOISRateHelper(,C69,B69,IF(Sensitivity,G69,F69),$E69,,Permanent,Trigger,ObjectOverwrite)</f>
        <v>obj_002e4#0006</v>
      </c>
      <c r="K69" s="10" t="str">
        <f t="shared" si="6"/>
        <v>OIS</v>
      </c>
      <c r="L69" s="95" t="str">
        <f t="shared" si="7"/>
        <v>obj_002b2#0006</v>
      </c>
      <c r="M69" s="146" t="str">
        <f>IFERROR(_xll.qlRateHelperQuoteName(L69,Trigger),"--")</f>
        <v>EURONOIS20Y_Shifted</v>
      </c>
      <c r="N69" s="99">
        <f>IFERROR(_xll.qlRateHelperQuoteValue($L69,Trigger),"--")</f>
        <v>1.044E-2</v>
      </c>
      <c r="O69" s="98" t="b">
        <v>1</v>
      </c>
      <c r="P69" s="95">
        <v>50</v>
      </c>
      <c r="Q69" s="95">
        <v>1</v>
      </c>
      <c r="R69" s="100">
        <f>IFERROR(_xll.qlRateHelperEarliestDate(L69,Trigger),"--")</f>
        <v>42748</v>
      </c>
      <c r="S69" s="100">
        <f>IFERROR(_xll.qlRateHelperPillarDate(L69,Trigger),"--")</f>
        <v>50053</v>
      </c>
      <c r="U69" s="4" t="str">
        <f t="shared" si="10"/>
        <v/>
      </c>
      <c r="V69" s="4" t="e">
        <v>#N/A</v>
      </c>
      <c r="W69" s="4" t="str">
        <f>IFERROR(_xll.qlRateHelperQuoteName(V69,Trigger),"")</f>
        <v/>
      </c>
      <c r="X69" s="73" t="str">
        <f>IFERROR(_xll.qlRateHelperRate(V69,Trigger),"")</f>
        <v/>
      </c>
      <c r="Y69" s="105" t="str">
        <f>IF(ISERROR(_xll.qlSwapRateHelperSpread($V69)),IF(ISERROR(_xll.qlFuturesRateHelperConvexityAdjustment($V69)),"",_xll.qlFuturesRateHelperConvexityAdjustment($V69)),_xll.qlSwapRateHelperSpread($V69))</f>
        <v/>
      </c>
      <c r="Z69" s="5" t="str">
        <f>IFERROR(_xll.qlRateHelperEarliestDate(V69,Trigger),"")</f>
        <v/>
      </c>
      <c r="AA69" s="5" t="str">
        <f>IFERROR(_xll.qlRateHelperPillarDate(V69,Trigger),"")</f>
        <v/>
      </c>
      <c r="AB69" s="73" t="e">
        <v>#N/A</v>
      </c>
    </row>
    <row r="70" spans="1:28" ht="11.25" customHeight="1" x14ac:dyDescent="0.2">
      <c r="A70" s="62" t="s">
        <v>68</v>
      </c>
      <c r="B70" s="63" t="s">
        <v>105</v>
      </c>
      <c r="C70" s="64">
        <v>2</v>
      </c>
      <c r="D70" s="125"/>
      <c r="E70" s="65" t="str">
        <f t="shared" si="9"/>
        <v>EoniaMX#0006</v>
      </c>
      <c r="F70" s="66" t="str">
        <f>IF(ISBLANK(Quote!E93),"",Quote!E93)</f>
        <v>EURONOIS19Y=#0006</v>
      </c>
      <c r="G70" s="66" t="str">
        <f>_xll.qlCompositeQuote(Currency&amp;"ON"&amp;A70&amp;B70&amp;"_Shifted",F70,BumpValue,"+",Permanent,Trigger,ObjectOverwrite)</f>
        <v>EURONOIS19Y_Shifted#0006</v>
      </c>
      <c r="H70" s="125"/>
      <c r="I70" s="67" t="str">
        <f>_xll.qlOISRateHelper(,C70,B70,IF(Sensitivity,G70,F70),$E70,,Permanent,Trigger,ObjectOverwrite)</f>
        <v>obj_002d6#0006</v>
      </c>
      <c r="K70" s="10" t="str">
        <f t="shared" si="6"/>
        <v>OIS</v>
      </c>
      <c r="L70" s="95" t="str">
        <f t="shared" si="7"/>
        <v>obj_002dd#0006</v>
      </c>
      <c r="M70" s="146" t="str">
        <f>IFERROR(_xll.qlRateHelperQuoteName(L70,Trigger),"--")</f>
        <v>EURONOIS21Y_Shifted</v>
      </c>
      <c r="N70" s="99">
        <f>IFERROR(_xll.qlRateHelperQuoteValue($L70,Trigger),"--")</f>
        <v>1.063215843E-2</v>
      </c>
      <c r="O70" s="98" t="b">
        <v>1</v>
      </c>
      <c r="P70" s="95">
        <v>50</v>
      </c>
      <c r="Q70" s="95">
        <v>1</v>
      </c>
      <c r="R70" s="100">
        <f>IFERROR(_xll.qlRateHelperEarliestDate(L70,Trigger),"--")</f>
        <v>42748</v>
      </c>
      <c r="S70" s="100">
        <f>IFERROR(_xll.qlRateHelperPillarDate(L70,Trigger),"--")</f>
        <v>50418</v>
      </c>
      <c r="U70" s="4" t="str">
        <f t="shared" si="10"/>
        <v/>
      </c>
      <c r="V70" s="4" t="e">
        <v>#N/A</v>
      </c>
      <c r="W70" s="4" t="str">
        <f>IFERROR(_xll.qlRateHelperQuoteName(V70,Trigger),"")</f>
        <v/>
      </c>
      <c r="X70" s="73" t="str">
        <f>IFERROR(_xll.qlRateHelperRate(V70,Trigger),"")</f>
        <v/>
      </c>
      <c r="Y70" s="105" t="str">
        <f>IF(ISERROR(_xll.qlSwapRateHelperSpread($V70)),IF(ISERROR(_xll.qlFuturesRateHelperConvexityAdjustment($V70)),"",_xll.qlFuturesRateHelperConvexityAdjustment($V70)),_xll.qlSwapRateHelperSpread($V70))</f>
        <v/>
      </c>
      <c r="Z70" s="5" t="str">
        <f>IFERROR(_xll.qlRateHelperEarliestDate(V70,Trigger),"")</f>
        <v/>
      </c>
      <c r="AA70" s="5" t="str">
        <f>IFERROR(_xll.qlRateHelperPillarDate(V70,Trigger),"")</f>
        <v/>
      </c>
      <c r="AB70" s="73" t="e">
        <v>#N/A</v>
      </c>
    </row>
    <row r="71" spans="1:28" ht="11.25" customHeight="1" x14ac:dyDescent="0.2">
      <c r="A71" s="62" t="s">
        <v>68</v>
      </c>
      <c r="B71" s="63" t="s">
        <v>61</v>
      </c>
      <c r="C71" s="64">
        <v>2</v>
      </c>
      <c r="D71" s="125"/>
      <c r="E71" s="65" t="str">
        <f t="shared" si="9"/>
        <v>EoniaMX#0006</v>
      </c>
      <c r="F71" s="66" t="str">
        <f>IF(ISBLANK(Quote!E94),"",Quote!E94)</f>
        <v>EURONOIS20Y=#0006</v>
      </c>
      <c r="G71" s="66" t="str">
        <f>_xll.qlCompositeQuote(Currency&amp;"ON"&amp;A71&amp;B71&amp;"_Shifted",F71,BumpValue,"+",Permanent,Trigger,ObjectOverwrite)</f>
        <v>EURONOIS20Y_Shifted#0006</v>
      </c>
      <c r="H71" s="125"/>
      <c r="I71" s="67" t="str">
        <f>_xll.qlOISRateHelper(,C71,B71,IF(Sensitivity,G71,F71),$E71,,Permanent,Trigger,ObjectOverwrite)</f>
        <v>obj_002b2#0006</v>
      </c>
      <c r="K71" s="10" t="str">
        <f t="shared" si="6"/>
        <v>OIS</v>
      </c>
      <c r="L71" s="95" t="str">
        <f t="shared" si="7"/>
        <v>obj_002a6#0006</v>
      </c>
      <c r="M71" s="146" t="str">
        <f>IFERROR(_xll.qlRateHelperQuoteName(L71,Trigger),"--")</f>
        <v>EURONOIS22Y_Shifted</v>
      </c>
      <c r="N71" s="99">
        <f>IFERROR(_xll.qlRateHelperQuoteValue($L71,Trigger),"--")</f>
        <v>1.0787191769999999E-2</v>
      </c>
      <c r="O71" s="98" t="b">
        <v>1</v>
      </c>
      <c r="P71" s="95">
        <v>50</v>
      </c>
      <c r="Q71" s="95">
        <v>1</v>
      </c>
      <c r="R71" s="100">
        <f>IFERROR(_xll.qlRateHelperEarliestDate(L71,Trigger),"--")</f>
        <v>42748</v>
      </c>
      <c r="S71" s="100">
        <f>IFERROR(_xll.qlRateHelperPillarDate(L71,Trigger),"--")</f>
        <v>50783</v>
      </c>
      <c r="U71" s="4" t="str">
        <f t="shared" si="10"/>
        <v/>
      </c>
      <c r="V71" s="4" t="e">
        <v>#N/A</v>
      </c>
      <c r="W71" s="4" t="str">
        <f>IFERROR(_xll.qlRateHelperQuoteName(V71,Trigger),"")</f>
        <v/>
      </c>
      <c r="X71" s="73" t="str">
        <f>IFERROR(_xll.qlRateHelperRate(V71,Trigger),"")</f>
        <v/>
      </c>
      <c r="Y71" s="105" t="str">
        <f>IF(ISERROR(_xll.qlSwapRateHelperSpread($V71)),IF(ISERROR(_xll.qlFuturesRateHelperConvexityAdjustment($V71)),"",_xll.qlFuturesRateHelperConvexityAdjustment($V71)),_xll.qlSwapRateHelperSpread($V71))</f>
        <v/>
      </c>
      <c r="Z71" s="5" t="str">
        <f>IFERROR(_xll.qlRateHelperEarliestDate(V71,Trigger),"")</f>
        <v/>
      </c>
      <c r="AA71" s="5" t="str">
        <f>IFERROR(_xll.qlRateHelperPillarDate(V71,Trigger),"")</f>
        <v/>
      </c>
      <c r="AB71" s="73" t="e">
        <v>#N/A</v>
      </c>
    </row>
    <row r="72" spans="1:28" ht="11.25" customHeight="1" x14ac:dyDescent="0.2">
      <c r="A72" s="62" t="s">
        <v>68</v>
      </c>
      <c r="B72" s="63" t="s">
        <v>106</v>
      </c>
      <c r="C72" s="64">
        <v>2</v>
      </c>
      <c r="D72" s="125"/>
      <c r="E72" s="65" t="str">
        <f t="shared" si="9"/>
        <v>EoniaMX#0006</v>
      </c>
      <c r="F72" s="66" t="str">
        <f>IF(ISBLANK(Quote!E95),"",Quote!E95)</f>
        <v>EURONOIS21Y=#0006</v>
      </c>
      <c r="G72" s="66" t="str">
        <f>_xll.qlCompositeQuote(Currency&amp;"ON"&amp;A72&amp;B72&amp;"_Shifted",F72,BumpValue,"+",Permanent,Trigger,ObjectOverwrite)</f>
        <v>EURONOIS21Y_Shifted#0006</v>
      </c>
      <c r="H72" s="125"/>
      <c r="I72" s="67" t="str">
        <f>_xll.qlOISRateHelper(,C72,B72,IF(Sensitivity,G72,F72),$E72,,Permanent,Trigger,ObjectOverwrite)</f>
        <v>obj_002dd#0006</v>
      </c>
      <c r="K72" s="10" t="str">
        <f t="shared" si="6"/>
        <v>OIS</v>
      </c>
      <c r="L72" s="95" t="str">
        <f t="shared" si="7"/>
        <v>obj_002d8#0006</v>
      </c>
      <c r="M72" s="146" t="str">
        <f>IFERROR(_xll.qlRateHelperQuoteName(L72,Trigger),"--")</f>
        <v>EURONOIS23Y_Shifted</v>
      </c>
      <c r="N72" s="99">
        <f>IFERROR(_xll.qlRateHelperQuoteValue($L72,Trigger),"--")</f>
        <v>1.0912198130000002E-2</v>
      </c>
      <c r="O72" s="98" t="b">
        <v>1</v>
      </c>
      <c r="P72" s="95">
        <v>50</v>
      </c>
      <c r="Q72" s="95">
        <v>1</v>
      </c>
      <c r="R72" s="100">
        <f>IFERROR(_xll.qlRateHelperEarliestDate(L72,Trigger),"--")</f>
        <v>42748</v>
      </c>
      <c r="S72" s="100">
        <f>IFERROR(_xll.qlRateHelperPillarDate(L72,Trigger),"--")</f>
        <v>51148</v>
      </c>
      <c r="U72" s="4" t="str">
        <f t="shared" si="10"/>
        <v/>
      </c>
      <c r="V72" s="4" t="e">
        <v>#N/A</v>
      </c>
      <c r="W72" s="4" t="str">
        <f>IFERROR(_xll.qlRateHelperQuoteName(V72,Trigger),"")</f>
        <v/>
      </c>
      <c r="X72" s="73" t="str">
        <f>IFERROR(_xll.qlRateHelperRate(V72,Trigger),"")</f>
        <v/>
      </c>
      <c r="Y72" s="105" t="str">
        <f>IF(ISERROR(_xll.qlSwapRateHelperSpread($V72)),IF(ISERROR(_xll.qlFuturesRateHelperConvexityAdjustment($V72)),"",_xll.qlFuturesRateHelperConvexityAdjustment($V72)),_xll.qlSwapRateHelperSpread($V72))</f>
        <v/>
      </c>
      <c r="Z72" s="5" t="str">
        <f>IFERROR(_xll.qlRateHelperEarliestDate(V72,Trigger),"")</f>
        <v/>
      </c>
      <c r="AA72" s="5" t="str">
        <f>IFERROR(_xll.qlRateHelperPillarDate(V72,Trigger),"")</f>
        <v/>
      </c>
      <c r="AB72" s="73" t="e">
        <v>#N/A</v>
      </c>
    </row>
    <row r="73" spans="1:28" ht="11.25" customHeight="1" x14ac:dyDescent="0.2">
      <c r="A73" s="62" t="s">
        <v>68</v>
      </c>
      <c r="B73" s="63" t="s">
        <v>107</v>
      </c>
      <c r="C73" s="64">
        <v>2</v>
      </c>
      <c r="D73" s="125"/>
      <c r="E73" s="65" t="str">
        <f t="shared" si="9"/>
        <v>EoniaMX#0006</v>
      </c>
      <c r="F73" s="66" t="str">
        <f>IF(ISBLANK(Quote!E96),"",Quote!E96)</f>
        <v>EURONOIS22Y=#0006</v>
      </c>
      <c r="G73" s="66" t="str">
        <f>_xll.qlCompositeQuote(Currency&amp;"ON"&amp;A73&amp;B73&amp;"_Shifted",F73,BumpValue,"+",Permanent,Trigger,ObjectOverwrite)</f>
        <v>EURONOIS22Y_Shifted#0006</v>
      </c>
      <c r="H73" s="125"/>
      <c r="I73" s="67" t="str">
        <f>_xll.qlOISRateHelper(,C73,B73,IF(Sensitivity,G73,F73),$E73,,Permanent,Trigger,ObjectOverwrite)</f>
        <v>obj_002a6#0006</v>
      </c>
      <c r="K73" s="10" t="str">
        <f t="shared" si="6"/>
        <v>OIS</v>
      </c>
      <c r="L73" s="95" t="str">
        <f t="shared" si="7"/>
        <v>obj_002fa#0006</v>
      </c>
      <c r="M73" s="146" t="str">
        <f>IFERROR(_xll.qlRateHelperQuoteName(L73,Trigger),"--")</f>
        <v>EURONOIS24Y_Shifted</v>
      </c>
      <c r="N73" s="99">
        <f>IFERROR(_xll.qlRateHelperQuoteValue($L73,Trigger),"--")</f>
        <v>1.1014644180000002E-2</v>
      </c>
      <c r="O73" s="98" t="b">
        <v>1</v>
      </c>
      <c r="P73" s="95">
        <v>50</v>
      </c>
      <c r="Q73" s="95">
        <v>1</v>
      </c>
      <c r="R73" s="100">
        <f>IFERROR(_xll.qlRateHelperEarliestDate(L73,Trigger),"--")</f>
        <v>42748</v>
      </c>
      <c r="S73" s="100">
        <f>IFERROR(_xll.qlRateHelperPillarDate(L73,Trigger),"--")</f>
        <v>51515</v>
      </c>
      <c r="U73" s="4" t="str">
        <f t="shared" si="10"/>
        <v/>
      </c>
      <c r="V73" s="4" t="e">
        <v>#N/A</v>
      </c>
      <c r="W73" s="4" t="str">
        <f>IFERROR(_xll.qlRateHelperQuoteName(V73,Trigger),"")</f>
        <v/>
      </c>
      <c r="X73" s="73" t="str">
        <f>IFERROR(_xll.qlRateHelperRate(V73,Trigger),"")</f>
        <v/>
      </c>
      <c r="Y73" s="105" t="str">
        <f>IF(ISERROR(_xll.qlSwapRateHelperSpread($V73)),IF(ISERROR(_xll.qlFuturesRateHelperConvexityAdjustment($V73)),"",_xll.qlFuturesRateHelperConvexityAdjustment($V73)),_xll.qlSwapRateHelperSpread($V73))</f>
        <v/>
      </c>
      <c r="Z73" s="5" t="str">
        <f>IFERROR(_xll.qlRateHelperEarliestDate(V73,Trigger),"")</f>
        <v/>
      </c>
      <c r="AA73" s="5" t="str">
        <f>IFERROR(_xll.qlRateHelperPillarDate(V73,Trigger),"")</f>
        <v/>
      </c>
      <c r="AB73" s="73" t="e">
        <v>#N/A</v>
      </c>
    </row>
    <row r="74" spans="1:28" ht="11.25" customHeight="1" x14ac:dyDescent="0.2">
      <c r="A74" s="62" t="s">
        <v>68</v>
      </c>
      <c r="B74" s="63" t="s">
        <v>108</v>
      </c>
      <c r="C74" s="64">
        <v>2</v>
      </c>
      <c r="D74" s="125"/>
      <c r="E74" s="65" t="str">
        <f t="shared" si="9"/>
        <v>EoniaMX#0006</v>
      </c>
      <c r="F74" s="66" t="str">
        <f>IF(ISBLANK(Quote!E97),"",Quote!E97)</f>
        <v>EURONOIS23Y=#0006</v>
      </c>
      <c r="G74" s="66" t="str">
        <f>_xll.qlCompositeQuote(Currency&amp;"ON"&amp;A74&amp;B74&amp;"_Shifted",F74,BumpValue,"+",Permanent,Trigger,ObjectOverwrite)</f>
        <v>EURONOIS23Y_Shifted#0006</v>
      </c>
      <c r="H74" s="125"/>
      <c r="I74" s="67" t="str">
        <f>_xll.qlOISRateHelper(,C74,B74,IF(Sensitivity,G74,F74),$E74,,Permanent,Trigger,ObjectOverwrite)</f>
        <v>obj_002d8#0006</v>
      </c>
      <c r="K74" s="10" t="str">
        <f t="shared" si="6"/>
        <v>OIS</v>
      </c>
      <c r="L74" s="95" t="str">
        <f t="shared" si="7"/>
        <v>obj_0030d#0006</v>
      </c>
      <c r="M74" s="146" t="str">
        <f>IFERROR(_xll.qlRateHelperQuoteName(L74,Trigger),"--")</f>
        <v>EURONOIS25Y_Shifted</v>
      </c>
      <c r="N74" s="99">
        <f>IFERROR(_xll.qlRateHelperQuoteValue($L74,Trigger),"--")</f>
        <v>1.11E-2</v>
      </c>
      <c r="O74" s="98" t="b">
        <v>1</v>
      </c>
      <c r="P74" s="95">
        <v>50</v>
      </c>
      <c r="Q74" s="95">
        <v>1</v>
      </c>
      <c r="R74" s="100">
        <f>IFERROR(_xll.qlRateHelperEarliestDate(L74,Trigger),"--")</f>
        <v>42748</v>
      </c>
      <c r="S74" s="100">
        <f>IFERROR(_xll.qlRateHelperPillarDate(L74,Trigger),"--")</f>
        <v>51879</v>
      </c>
      <c r="U74" s="4" t="str">
        <f t="shared" si="10"/>
        <v/>
      </c>
      <c r="V74" s="4" t="e">
        <v>#N/A</v>
      </c>
      <c r="W74" s="4" t="str">
        <f>IFERROR(_xll.qlRateHelperQuoteName(V74,Trigger),"")</f>
        <v/>
      </c>
      <c r="X74" s="73" t="str">
        <f>IFERROR(_xll.qlRateHelperRate(V74,Trigger),"")</f>
        <v/>
      </c>
      <c r="Y74" s="105" t="str">
        <f>IF(ISERROR(_xll.qlSwapRateHelperSpread($V74)),IF(ISERROR(_xll.qlFuturesRateHelperConvexityAdjustment($V74)),"",_xll.qlFuturesRateHelperConvexityAdjustment($V74)),_xll.qlSwapRateHelperSpread($V74))</f>
        <v/>
      </c>
      <c r="Z74" s="5" t="str">
        <f>IFERROR(_xll.qlRateHelperEarliestDate(V74,Trigger),"")</f>
        <v/>
      </c>
      <c r="AA74" s="5" t="str">
        <f>IFERROR(_xll.qlRateHelperPillarDate(V74,Trigger),"")</f>
        <v/>
      </c>
      <c r="AB74" s="73" t="e">
        <v>#N/A</v>
      </c>
    </row>
    <row r="75" spans="1:28" ht="11.25" customHeight="1" x14ac:dyDescent="0.2">
      <c r="A75" s="62" t="s">
        <v>68</v>
      </c>
      <c r="B75" s="63" t="s">
        <v>109</v>
      </c>
      <c r="C75" s="64">
        <v>2</v>
      </c>
      <c r="D75" s="125"/>
      <c r="E75" s="65" t="str">
        <f t="shared" si="9"/>
        <v>EoniaMX#0006</v>
      </c>
      <c r="F75" s="66" t="str">
        <f>IF(ISBLANK(Quote!E98),"",Quote!E98)</f>
        <v>EURONOIS24Y=#0006</v>
      </c>
      <c r="G75" s="66" t="str">
        <f>_xll.qlCompositeQuote(Currency&amp;"ON"&amp;A75&amp;B75&amp;"_Shifted",F75,BumpValue,"+",Permanent,Trigger,ObjectOverwrite)</f>
        <v>EURONOIS24Y_Shifted#0006</v>
      </c>
      <c r="H75" s="125"/>
      <c r="I75" s="67" t="str">
        <f>_xll.qlOISRateHelper(,C75,B75,IF(Sensitivity,G75,F75),$E75,,Permanent,Trigger,ObjectOverwrite)</f>
        <v>obj_002fa#0006</v>
      </c>
      <c r="K75" s="10" t="str">
        <f t="shared" si="6"/>
        <v>OIS</v>
      </c>
      <c r="L75" s="95" t="str">
        <f t="shared" si="7"/>
        <v>obj_00305#0006</v>
      </c>
      <c r="M75" s="146" t="str">
        <f>IFERROR(_xll.qlRateHelperQuoteName(L75,Trigger),"--")</f>
        <v>EURONOIS26Y_Shifted</v>
      </c>
      <c r="N75" s="99">
        <f>IFERROR(_xll.qlRateHelperQuoteValue($L75,Trigger),"--")</f>
        <v>1.1175200199999999E-2</v>
      </c>
      <c r="O75" s="98" t="b">
        <v>1</v>
      </c>
      <c r="P75" s="95">
        <v>50</v>
      </c>
      <c r="Q75" s="95">
        <v>1</v>
      </c>
      <c r="R75" s="100">
        <f>IFERROR(_xll.qlRateHelperEarliestDate(L75,Trigger),"--")</f>
        <v>42748</v>
      </c>
      <c r="S75" s="100">
        <f>IFERROR(_xll.qlRateHelperPillarDate(L75,Trigger),"--")</f>
        <v>52244</v>
      </c>
      <c r="U75" s="4" t="str">
        <f t="shared" si="10"/>
        <v/>
      </c>
      <c r="V75" s="4" t="e">
        <v>#N/A</v>
      </c>
      <c r="W75" s="4" t="str">
        <f>IFERROR(_xll.qlRateHelperQuoteName(V75,Trigger),"")</f>
        <v/>
      </c>
      <c r="X75" s="73" t="str">
        <f>IFERROR(_xll.qlRateHelperRate(V75,Trigger),"")</f>
        <v/>
      </c>
      <c r="Y75" s="105" t="str">
        <f>IF(ISERROR(_xll.qlSwapRateHelperSpread($V75)),IF(ISERROR(_xll.qlFuturesRateHelperConvexityAdjustment($V75)),"",_xll.qlFuturesRateHelperConvexityAdjustment($V75)),_xll.qlSwapRateHelperSpread($V75))</f>
        <v/>
      </c>
      <c r="Z75" s="5" t="str">
        <f>IFERROR(_xll.qlRateHelperEarliestDate(V75,Trigger),"")</f>
        <v/>
      </c>
      <c r="AA75" s="5" t="str">
        <f>IFERROR(_xll.qlRateHelperPillarDate(V75,Trigger),"")</f>
        <v/>
      </c>
      <c r="AB75" s="73" t="e">
        <v>#N/A</v>
      </c>
    </row>
    <row r="76" spans="1:28" ht="11.25" customHeight="1" x14ac:dyDescent="0.2">
      <c r="A76" s="62" t="s">
        <v>68</v>
      </c>
      <c r="B76" s="63" t="s">
        <v>62</v>
      </c>
      <c r="C76" s="64">
        <v>2</v>
      </c>
      <c r="D76" s="125"/>
      <c r="E76" s="65" t="str">
        <f t="shared" si="9"/>
        <v>EoniaMX#0006</v>
      </c>
      <c r="F76" s="66" t="str">
        <f>IF(ISBLANK(Quote!E99),"",Quote!E99)</f>
        <v>EURONOIS25Y=#0006</v>
      </c>
      <c r="G76" s="66" t="str">
        <f>_xll.qlCompositeQuote(Currency&amp;"ON"&amp;A76&amp;B76&amp;"_Shifted",F76,BumpValue,"+",Permanent,Trigger,ObjectOverwrite)</f>
        <v>EURONOIS25Y_Shifted#0006</v>
      </c>
      <c r="H76" s="125"/>
      <c r="I76" s="67" t="str">
        <f>_xll.qlOISRateHelper(,C76,B76,IF(Sensitivity,G76,F76),$E76,,Permanent,Trigger,ObjectOverwrite)</f>
        <v>obj_0030d#0006</v>
      </c>
      <c r="K76" s="10" t="str">
        <f t="shared" si="6"/>
        <v>OIS</v>
      </c>
      <c r="L76" s="95" t="str">
        <f t="shared" si="7"/>
        <v>obj_00308#0006</v>
      </c>
      <c r="M76" s="146" t="str">
        <f>IFERROR(_xll.qlRateHelperQuoteName(L76,Trigger),"--")</f>
        <v>EURONOIS27Y_Shifted</v>
      </c>
      <c r="N76" s="99">
        <f>IFERROR(_xll.qlRateHelperQuoteValue($L76,Trigger),"--")</f>
        <v>1.1242327430000001E-2</v>
      </c>
      <c r="O76" s="98" t="b">
        <v>1</v>
      </c>
      <c r="P76" s="95">
        <v>50</v>
      </c>
      <c r="Q76" s="95">
        <v>1</v>
      </c>
      <c r="R76" s="100">
        <f>IFERROR(_xll.qlRateHelperEarliestDate(L76,Trigger),"--")</f>
        <v>42748</v>
      </c>
      <c r="S76" s="100">
        <f>IFERROR(_xll.qlRateHelperPillarDate(L76,Trigger),"--")</f>
        <v>52609</v>
      </c>
      <c r="U76" s="4" t="str">
        <f t="shared" si="10"/>
        <v/>
      </c>
      <c r="V76" s="4" t="e">
        <v>#N/A</v>
      </c>
      <c r="W76" s="4" t="str">
        <f>IFERROR(_xll.qlRateHelperQuoteName(V76,Trigger),"")</f>
        <v/>
      </c>
      <c r="X76" s="73" t="str">
        <f>IFERROR(_xll.qlRateHelperRate(V76,Trigger),"")</f>
        <v/>
      </c>
      <c r="Y76" s="105" t="str">
        <f>IF(ISERROR(_xll.qlSwapRateHelperSpread($V76)),IF(ISERROR(_xll.qlFuturesRateHelperConvexityAdjustment($V76)),"",_xll.qlFuturesRateHelperConvexityAdjustment($V76)),_xll.qlSwapRateHelperSpread($V76))</f>
        <v/>
      </c>
      <c r="Z76" s="5" t="str">
        <f>IFERROR(_xll.qlRateHelperEarliestDate(V76,Trigger),"")</f>
        <v/>
      </c>
      <c r="AA76" s="5" t="str">
        <f>IFERROR(_xll.qlRateHelperPillarDate(V76,Trigger),"")</f>
        <v/>
      </c>
      <c r="AB76" s="73" t="e">
        <v>#N/A</v>
      </c>
    </row>
    <row r="77" spans="1:28" ht="11.25" customHeight="1" x14ac:dyDescent="0.2">
      <c r="A77" s="62" t="s">
        <v>68</v>
      </c>
      <c r="B77" s="63" t="s">
        <v>110</v>
      </c>
      <c r="C77" s="64">
        <v>2</v>
      </c>
      <c r="D77" s="125"/>
      <c r="E77" s="65" t="str">
        <f t="shared" si="9"/>
        <v>EoniaMX#0006</v>
      </c>
      <c r="F77" s="66" t="str">
        <f>IF(ISBLANK(Quote!E100),"",Quote!E100)</f>
        <v>EURONOIS26Y=#0006</v>
      </c>
      <c r="G77" s="66" t="str">
        <f>_xll.qlCompositeQuote(Currency&amp;"ON"&amp;A77&amp;B77&amp;"_Shifted",F77,BumpValue,"+",Permanent,Trigger,ObjectOverwrite)</f>
        <v>EURONOIS26Y_Shifted#0006</v>
      </c>
      <c r="H77" s="125"/>
      <c r="I77" s="67" t="str">
        <f>_xll.qlOISRateHelper(,C77,B77,IF(Sensitivity,G77,F77),$E77,,Permanent,Trigger,ObjectOverwrite)</f>
        <v>obj_00305#0006</v>
      </c>
      <c r="K77" s="10" t="str">
        <f t="shared" si="6"/>
        <v>OIS</v>
      </c>
      <c r="L77" s="95" t="str">
        <f t="shared" si="7"/>
        <v>obj_0030e#0006</v>
      </c>
      <c r="M77" s="146" t="str">
        <f>IFERROR(_xll.qlRateHelperQuoteName(L77,Trigger),"--")</f>
        <v>EURONOIS28Y_Shifted</v>
      </c>
      <c r="N77" s="99">
        <f>IFERROR(_xll.qlRateHelperQuoteValue($L77,Trigger),"--")</f>
        <v>1.130300377E-2</v>
      </c>
      <c r="O77" s="98" t="b">
        <v>1</v>
      </c>
      <c r="P77" s="95">
        <v>50</v>
      </c>
      <c r="Q77" s="95">
        <v>1</v>
      </c>
      <c r="R77" s="100">
        <f>IFERROR(_xll.qlRateHelperEarliestDate(L77,Trigger),"--")</f>
        <v>42748</v>
      </c>
      <c r="S77" s="100">
        <f>IFERROR(_xll.qlRateHelperPillarDate(L77,Trigger),"--")</f>
        <v>52975</v>
      </c>
      <c r="U77" s="4" t="str">
        <f t="shared" si="10"/>
        <v/>
      </c>
      <c r="V77" s="4" t="e">
        <v>#N/A</v>
      </c>
      <c r="W77" s="4" t="str">
        <f>IFERROR(_xll.qlRateHelperQuoteName(V77,Trigger),"")</f>
        <v/>
      </c>
      <c r="X77" s="73" t="str">
        <f>IFERROR(_xll.qlRateHelperRate(V77,Trigger),"")</f>
        <v/>
      </c>
      <c r="Y77" s="105" t="str">
        <f>IF(ISERROR(_xll.qlSwapRateHelperSpread($V77)),IF(ISERROR(_xll.qlFuturesRateHelperConvexityAdjustment($V77)),"",_xll.qlFuturesRateHelperConvexityAdjustment($V77)),_xll.qlSwapRateHelperSpread($V77))</f>
        <v/>
      </c>
      <c r="Z77" s="5" t="str">
        <f>IFERROR(_xll.qlRateHelperEarliestDate(V77,Trigger),"")</f>
        <v/>
      </c>
      <c r="AA77" s="5" t="str">
        <f>IFERROR(_xll.qlRateHelperPillarDate(V77,Trigger),"")</f>
        <v/>
      </c>
      <c r="AB77" s="73" t="e">
        <v>#N/A</v>
      </c>
    </row>
    <row r="78" spans="1:28" ht="11.25" customHeight="1" x14ac:dyDescent="0.2">
      <c r="A78" s="62" t="s">
        <v>68</v>
      </c>
      <c r="B78" s="63" t="s">
        <v>63</v>
      </c>
      <c r="C78" s="64">
        <v>2</v>
      </c>
      <c r="D78" s="125"/>
      <c r="E78" s="65" t="str">
        <f t="shared" si="9"/>
        <v>EoniaMX#0006</v>
      </c>
      <c r="F78" s="66" t="str">
        <f>IF(ISBLANK(Quote!E101),"",Quote!E101)</f>
        <v>EURONOIS27Y=#0006</v>
      </c>
      <c r="G78" s="66" t="str">
        <f>_xll.qlCompositeQuote(Currency&amp;"ON"&amp;A78&amp;B78&amp;"_Shifted",F78,BumpValue,"+",Permanent,Trigger,ObjectOverwrite)</f>
        <v>EURONOIS27Y_Shifted#0006</v>
      </c>
      <c r="H78" s="125"/>
      <c r="I78" s="67" t="str">
        <f>_xll.qlOISRateHelper(,C78,B78,IF(Sensitivity,G78,F78),$E78,,Permanent,Trigger,ObjectOverwrite)</f>
        <v>obj_00308#0006</v>
      </c>
      <c r="K78" s="10" t="str">
        <f t="shared" si="6"/>
        <v>OIS</v>
      </c>
      <c r="L78" s="95" t="str">
        <f t="shared" si="7"/>
        <v>obj_00300#0006</v>
      </c>
      <c r="M78" s="146" t="str">
        <f>IFERROR(_xll.qlRateHelperQuoteName(L78,Trigger),"--")</f>
        <v>EURONOIS29Y_Shifted</v>
      </c>
      <c r="N78" s="99">
        <f>IFERROR(_xll.qlRateHelperQuoteValue($L78,Trigger),"--")</f>
        <v>1.1358622070000001E-2</v>
      </c>
      <c r="O78" s="98" t="b">
        <v>1</v>
      </c>
      <c r="P78" s="95">
        <v>50</v>
      </c>
      <c r="Q78" s="95">
        <v>1</v>
      </c>
      <c r="R78" s="100">
        <f>IFERROR(_xll.qlRateHelperEarliestDate(L78,Trigger),"--")</f>
        <v>42748</v>
      </c>
      <c r="S78" s="100">
        <f>IFERROR(_xll.qlRateHelperPillarDate(L78,Trigger),"--")</f>
        <v>53342</v>
      </c>
      <c r="U78" s="4" t="str">
        <f t="shared" si="10"/>
        <v/>
      </c>
      <c r="V78" s="4" t="e">
        <v>#N/A</v>
      </c>
      <c r="W78" s="4" t="str">
        <f>IFERROR(_xll.qlRateHelperQuoteName(V78,Trigger),"")</f>
        <v/>
      </c>
      <c r="X78" s="73" t="str">
        <f>IFERROR(_xll.qlRateHelperRate(V78,Trigger),"")</f>
        <v/>
      </c>
      <c r="Y78" s="105" t="str">
        <f>IF(ISERROR(_xll.qlSwapRateHelperSpread($V78)),IF(ISERROR(_xll.qlFuturesRateHelperConvexityAdjustment($V78)),"",_xll.qlFuturesRateHelperConvexityAdjustment($V78)),_xll.qlSwapRateHelperSpread($V78))</f>
        <v/>
      </c>
      <c r="Z78" s="5" t="str">
        <f>IFERROR(_xll.qlRateHelperEarliestDate(V78,Trigger),"")</f>
        <v/>
      </c>
      <c r="AA78" s="5" t="str">
        <f>IFERROR(_xll.qlRateHelperPillarDate(V78,Trigger),"")</f>
        <v/>
      </c>
      <c r="AB78" s="73" t="e">
        <v>#N/A</v>
      </c>
    </row>
    <row r="79" spans="1:28" ht="11.25" customHeight="1" x14ac:dyDescent="0.2">
      <c r="A79" s="62" t="s">
        <v>68</v>
      </c>
      <c r="B79" s="63" t="s">
        <v>111</v>
      </c>
      <c r="C79" s="64">
        <v>2</v>
      </c>
      <c r="D79" s="125"/>
      <c r="E79" s="65" t="str">
        <f t="shared" si="9"/>
        <v>EoniaMX#0006</v>
      </c>
      <c r="F79" s="66" t="str">
        <f>IF(ISBLANK(Quote!E102),"",Quote!E102)</f>
        <v>EURONOIS28Y=#0006</v>
      </c>
      <c r="G79" s="66" t="str">
        <f>_xll.qlCompositeQuote(Currency&amp;"ON"&amp;A79&amp;B79&amp;"_Shifted",F79,BumpValue,"+",Permanent,Trigger,ObjectOverwrite)</f>
        <v>EURONOIS28Y_Shifted#0006</v>
      </c>
      <c r="H79" s="125"/>
      <c r="I79" s="67" t="str">
        <f>_xll.qlOISRateHelper(,C79,B79,IF(Sensitivity,G79,F79),$E79,,Permanent,Trigger,ObjectOverwrite)</f>
        <v>obj_0030e#0006</v>
      </c>
      <c r="K79" s="10" t="str">
        <f t="shared" si="6"/>
        <v>OIS</v>
      </c>
      <c r="L79" s="95" t="str">
        <f t="shared" si="7"/>
        <v>obj_002f4#0006</v>
      </c>
      <c r="M79" s="146" t="str">
        <f>IFERROR(_xll.qlRateHelperQuoteName(L79,Trigger),"--")</f>
        <v>EURONOIS30Y_Shifted</v>
      </c>
      <c r="N79" s="99">
        <f>IFERROR(_xll.qlRateHelperQuoteValue($L79,Trigger),"--")</f>
        <v>1.141E-2</v>
      </c>
      <c r="O79" s="98" t="b">
        <v>1</v>
      </c>
      <c r="P79" s="95">
        <v>50</v>
      </c>
      <c r="Q79" s="95">
        <v>1</v>
      </c>
      <c r="R79" s="100">
        <f>IFERROR(_xll.qlRateHelperEarliestDate(L79,Trigger),"--")</f>
        <v>42748</v>
      </c>
      <c r="S79" s="100">
        <f>IFERROR(_xll.qlRateHelperPillarDate(L79,Trigger),"--")</f>
        <v>53706</v>
      </c>
      <c r="U79" s="4" t="str">
        <f t="shared" si="10"/>
        <v/>
      </c>
      <c r="V79" s="4" t="e">
        <v>#N/A</v>
      </c>
      <c r="W79" s="4" t="str">
        <f>IFERROR(_xll.qlRateHelperQuoteName(V79,Trigger),"")</f>
        <v/>
      </c>
      <c r="X79" s="73" t="str">
        <f>IFERROR(_xll.qlRateHelperRate(V79,Trigger),"")</f>
        <v/>
      </c>
      <c r="Y79" s="105" t="str">
        <f>IF(ISERROR(_xll.qlSwapRateHelperSpread($V79)),IF(ISERROR(_xll.qlFuturesRateHelperConvexityAdjustment($V79)),"",_xll.qlFuturesRateHelperConvexityAdjustment($V79)),_xll.qlSwapRateHelperSpread($V79))</f>
        <v/>
      </c>
      <c r="Z79" s="5" t="str">
        <f>IFERROR(_xll.qlRateHelperEarliestDate(V79,Trigger),"")</f>
        <v/>
      </c>
      <c r="AA79" s="5" t="str">
        <f>IFERROR(_xll.qlRateHelperPillarDate(V79,Trigger),"")</f>
        <v/>
      </c>
      <c r="AB79" s="73" t="e">
        <v>#N/A</v>
      </c>
    </row>
    <row r="80" spans="1:28" ht="11.25" customHeight="1" x14ac:dyDescent="0.2">
      <c r="A80" s="62" t="s">
        <v>68</v>
      </c>
      <c r="B80" s="63" t="s">
        <v>112</v>
      </c>
      <c r="C80" s="64">
        <v>2</v>
      </c>
      <c r="D80" s="125"/>
      <c r="E80" s="65" t="str">
        <f t="shared" si="9"/>
        <v>EoniaMX#0006</v>
      </c>
      <c r="F80" s="66" t="str">
        <f>IF(ISBLANK(Quote!E103),"",Quote!E103)</f>
        <v>EURONOIS29Y=#0006</v>
      </c>
      <c r="G80" s="66" t="str">
        <f>_xll.qlCompositeQuote(Currency&amp;"ON"&amp;A80&amp;B80&amp;"_Shifted",F80,BumpValue,"+",Permanent,Trigger,ObjectOverwrite)</f>
        <v>EURONOIS29Y_Shifted#0006</v>
      </c>
      <c r="H80" s="125"/>
      <c r="I80" s="67" t="str">
        <f>_xll.qlOISRateHelper(,C80,B80,IF(Sensitivity,G80,F80),$E80,,Permanent,Trigger,ObjectOverwrite)</f>
        <v>obj_00300#0006</v>
      </c>
      <c r="K80" s="10" t="str">
        <f t="shared" si="6"/>
        <v>OIS</v>
      </c>
      <c r="L80" s="95" t="str">
        <f t="shared" si="7"/>
        <v>--</v>
      </c>
      <c r="M80" s="146" t="str">
        <f>IFERROR(_xll.qlRateHelperQuoteName(L80,Trigger),"--")</f>
        <v>--</v>
      </c>
      <c r="N80" s="99" t="str">
        <f>IFERROR(_xll.qlRateHelperQuoteValue($L80,Trigger),"--")</f>
        <v>--</v>
      </c>
      <c r="O80" s="98" t="b">
        <v>0</v>
      </c>
      <c r="P80" s="95">
        <v>50</v>
      </c>
      <c r="Q80" s="95">
        <v>1</v>
      </c>
      <c r="R80" s="100" t="str">
        <f>IFERROR(_xll.qlRateHelperEarliestDate(L80,Trigger),"--")</f>
        <v>--</v>
      </c>
      <c r="S80" s="100" t="str">
        <f>IFERROR(_xll.qlRateHelperPillarDate(L80,Trigger),"--")</f>
        <v>--</v>
      </c>
      <c r="U80" s="4" t="str">
        <f t="shared" si="10"/>
        <v/>
      </c>
      <c r="V80" s="4" t="e">
        <v>#N/A</v>
      </c>
      <c r="W80" s="4" t="str">
        <f>IFERROR(_xll.qlRateHelperQuoteName(V80,Trigger),"")</f>
        <v/>
      </c>
      <c r="X80" s="73" t="str">
        <f>IFERROR(_xll.qlRateHelperRate(V80,Trigger),"")</f>
        <v/>
      </c>
      <c r="Y80" s="105" t="str">
        <f>IF(ISERROR(_xll.qlSwapRateHelperSpread($V80)),IF(ISERROR(_xll.qlFuturesRateHelperConvexityAdjustment($V80)),"",_xll.qlFuturesRateHelperConvexityAdjustment($V80)),_xll.qlSwapRateHelperSpread($V80))</f>
        <v/>
      </c>
      <c r="Z80" s="5" t="str">
        <f>IFERROR(_xll.qlRateHelperEarliestDate(V80,Trigger),"")</f>
        <v/>
      </c>
      <c r="AA80" s="5" t="str">
        <f>IFERROR(_xll.qlRateHelperPillarDate(V80,Trigger),"")</f>
        <v/>
      </c>
      <c r="AB80" s="73" t="e">
        <v>#N/A</v>
      </c>
    </row>
    <row r="81" spans="1:28" x14ac:dyDescent="0.2">
      <c r="A81" s="62" t="s">
        <v>68</v>
      </c>
      <c r="B81" s="63" t="s">
        <v>64</v>
      </c>
      <c r="C81" s="64">
        <v>2</v>
      </c>
      <c r="D81" s="125"/>
      <c r="E81" s="65" t="str">
        <f t="shared" si="9"/>
        <v>EoniaMX#0006</v>
      </c>
      <c r="F81" s="66" t="str">
        <f>IF(ISBLANK(Quote!E104),"",Quote!E104)</f>
        <v>EURONOIS30Y=#0006</v>
      </c>
      <c r="G81" s="66" t="str">
        <f>_xll.qlCompositeQuote(Currency&amp;"ON"&amp;A81&amp;B81&amp;"_Shifted",F81,BumpValue,"+",Permanent,Trigger,ObjectOverwrite)</f>
        <v>EURONOIS30Y_Shifted#0006</v>
      </c>
      <c r="H81" s="125"/>
      <c r="I81" s="67" t="str">
        <f>_xll.qlOISRateHelper(,C81,B81,IF(Sensitivity,G81,F81),$E81,,Permanent,Trigger,ObjectOverwrite)</f>
        <v>obj_002f4#0006</v>
      </c>
      <c r="K81" s="10" t="str">
        <f t="shared" si="6"/>
        <v>OIS</v>
      </c>
      <c r="L81" s="95" t="str">
        <f t="shared" si="7"/>
        <v>--</v>
      </c>
      <c r="M81" s="146" t="str">
        <f>IFERROR(_xll.qlRateHelperQuoteName(L81,Trigger),"--")</f>
        <v>--</v>
      </c>
      <c r="N81" s="99" t="str">
        <f>IFERROR(_xll.qlRateHelperQuoteValue($L81,Trigger),"--")</f>
        <v>--</v>
      </c>
      <c r="O81" s="98" t="b">
        <v>0</v>
      </c>
      <c r="P81" s="95">
        <v>50</v>
      </c>
      <c r="Q81" s="95">
        <v>1</v>
      </c>
      <c r="R81" s="100" t="str">
        <f>IFERROR(_xll.qlRateHelperEarliestDate(L81,Trigger),"--")</f>
        <v>--</v>
      </c>
      <c r="S81" s="100" t="str">
        <f>IFERROR(_xll.qlRateHelperPillarDate(L81,Trigger),"--")</f>
        <v>--</v>
      </c>
      <c r="U81" s="4" t="str">
        <f t="shared" si="10"/>
        <v/>
      </c>
      <c r="V81" s="4" t="e">
        <v>#N/A</v>
      </c>
      <c r="W81" s="4" t="str">
        <f>IFERROR(_xll.qlRateHelperQuoteName(V81,Trigger),"")</f>
        <v/>
      </c>
      <c r="X81" s="73" t="str">
        <f>IFERROR(_xll.qlRateHelperRate(V81,Trigger),"")</f>
        <v/>
      </c>
      <c r="Y81" s="105" t="str">
        <f>IF(ISERROR(_xll.qlSwapRateHelperSpread($V81)),IF(ISERROR(_xll.qlFuturesRateHelperConvexityAdjustment($V81)),"",_xll.qlFuturesRateHelperConvexityAdjustment($V81)),_xll.qlSwapRateHelperSpread($V81))</f>
        <v/>
      </c>
      <c r="Z81" s="5" t="str">
        <f>IFERROR(_xll.qlRateHelperEarliestDate(V81,Trigger),"")</f>
        <v/>
      </c>
      <c r="AA81" s="5" t="str">
        <f>IFERROR(_xll.qlRateHelperPillarDate(V81,Trigger),"")</f>
        <v/>
      </c>
      <c r="AB81" s="73" t="e">
        <v>#N/A</v>
      </c>
    </row>
    <row r="82" spans="1:28" x14ac:dyDescent="0.2">
      <c r="A82" s="216" t="s">
        <v>68</v>
      </c>
      <c r="B82" s="284" t="s">
        <v>158</v>
      </c>
      <c r="C82" s="275"/>
      <c r="D82" s="275"/>
      <c r="E82" s="275"/>
      <c r="F82" s="335" t="str">
        <f>IF(ISBLANK(Quote!E105),"",Quote!E105)</f>
        <v/>
      </c>
      <c r="G82" s="275"/>
      <c r="H82" s="275"/>
      <c r="I82" s="275"/>
      <c r="K82" s="10" t="str">
        <f t="shared" si="6"/>
        <v>OIS</v>
      </c>
      <c r="L82" s="95" t="str">
        <f t="shared" si="7"/>
        <v>--</v>
      </c>
      <c r="M82" s="146" t="str">
        <f>IFERROR(_xll.qlRateHelperQuoteName(L82,Trigger),"--")</f>
        <v>--</v>
      </c>
      <c r="N82" s="99" t="str">
        <f>IFERROR(_xll.qlRateHelperQuoteValue($L82,Trigger),"--")</f>
        <v>--</v>
      </c>
      <c r="O82" s="98" t="b">
        <v>0</v>
      </c>
      <c r="P82" s="95">
        <v>50</v>
      </c>
      <c r="Q82" s="95">
        <v>1</v>
      </c>
      <c r="R82" s="100" t="str">
        <f>IFERROR(_xll.qlRateHelperEarliestDate(L82,Trigger),"--")</f>
        <v>--</v>
      </c>
      <c r="S82" s="100" t="str">
        <f>IFERROR(_xll.qlRateHelperPillarDate(L82,Trigger),"--")</f>
        <v>--</v>
      </c>
      <c r="U82" s="4" t="str">
        <f t="shared" si="10"/>
        <v/>
      </c>
      <c r="V82" s="4" t="e">
        <v>#N/A</v>
      </c>
      <c r="W82" s="4" t="str">
        <f>IFERROR(_xll.qlRateHelperQuoteName(V82,Trigger),"")</f>
        <v/>
      </c>
      <c r="X82" s="73" t="str">
        <f>IFERROR(_xll.qlRateHelperRate(V82,Trigger),"")</f>
        <v/>
      </c>
      <c r="Y82" s="105" t="str">
        <f>IF(ISERROR(_xll.qlSwapRateHelperSpread($V82)),IF(ISERROR(_xll.qlFuturesRateHelperConvexityAdjustment($V82)),"",_xll.qlFuturesRateHelperConvexityAdjustment($V82)),_xll.qlSwapRateHelperSpread($V82))</f>
        <v/>
      </c>
      <c r="Z82" s="5" t="str">
        <f>IFERROR(_xll.qlRateHelperEarliestDate(V82,Trigger),"")</f>
        <v/>
      </c>
      <c r="AA82" s="5" t="str">
        <f>IFERROR(_xll.qlRateHelperPillarDate(V82,Trigger),"")</f>
        <v/>
      </c>
      <c r="AB82" s="73" t="e">
        <v>#N/A</v>
      </c>
    </row>
    <row r="83" spans="1:28" x14ac:dyDescent="0.2">
      <c r="A83" s="62" t="s">
        <v>68</v>
      </c>
      <c r="B83" s="63" t="s">
        <v>159</v>
      </c>
      <c r="C83" s="125"/>
      <c r="D83" s="125"/>
      <c r="E83" s="125"/>
      <c r="F83" s="66" t="str">
        <f>IF(ISBLANK(Quote!E106),"",Quote!E106)</f>
        <v/>
      </c>
      <c r="G83" s="125"/>
      <c r="H83" s="125"/>
      <c r="I83" s="125"/>
      <c r="K83" s="10" t="str">
        <f t="shared" si="6"/>
        <v>OIS</v>
      </c>
      <c r="L83" s="95" t="str">
        <f t="shared" si="7"/>
        <v>--</v>
      </c>
      <c r="M83" s="146" t="str">
        <f>IFERROR(_xll.qlRateHelperQuoteName(L83,Trigger),"--")</f>
        <v>--</v>
      </c>
      <c r="N83" s="99" t="str">
        <f>IFERROR(_xll.qlRateHelperQuoteValue($L83,Trigger),"--")</f>
        <v>--</v>
      </c>
      <c r="O83" s="98" t="b">
        <v>0</v>
      </c>
      <c r="P83" s="95">
        <v>50</v>
      </c>
      <c r="Q83" s="95">
        <v>1</v>
      </c>
      <c r="R83" s="100" t="str">
        <f>IFERROR(_xll.qlRateHelperEarliestDate(L83,Trigger),"--")</f>
        <v>--</v>
      </c>
      <c r="S83" s="100" t="str">
        <f>IFERROR(_xll.qlRateHelperPillarDate(L83,Trigger),"--")</f>
        <v>--</v>
      </c>
      <c r="U83" s="4" t="str">
        <f t="shared" si="10"/>
        <v/>
      </c>
      <c r="V83" s="4" t="e">
        <v>#N/A</v>
      </c>
      <c r="W83" s="4" t="str">
        <f>IFERROR(_xll.qlRateHelperQuoteName(V83,Trigger),"")</f>
        <v/>
      </c>
      <c r="X83" s="73" t="str">
        <f>IFERROR(_xll.qlRateHelperRate(V83,Trigger),"")</f>
        <v/>
      </c>
      <c r="Y83" s="105" t="str">
        <f>IF(ISERROR(_xll.qlSwapRateHelperSpread($V83)),IF(ISERROR(_xll.qlFuturesRateHelperConvexityAdjustment($V83)),"",_xll.qlFuturesRateHelperConvexityAdjustment($V83)),_xll.qlSwapRateHelperSpread($V83))</f>
        <v/>
      </c>
      <c r="Z83" s="5" t="str">
        <f>IFERROR(_xll.qlRateHelperEarliestDate(V83,Trigger),"")</f>
        <v/>
      </c>
      <c r="AA83" s="5" t="str">
        <f>IFERROR(_xll.qlRateHelperPillarDate(V83,Trigger),"")</f>
        <v/>
      </c>
      <c r="AB83" s="73" t="e">
        <v>#N/A</v>
      </c>
    </row>
    <row r="84" spans="1:28" x14ac:dyDescent="0.2">
      <c r="A84" s="62" t="s">
        <v>68</v>
      </c>
      <c r="B84" s="63" t="s">
        <v>160</v>
      </c>
      <c r="C84" s="125"/>
      <c r="D84" s="125"/>
      <c r="E84" s="125"/>
      <c r="F84" s="66" t="str">
        <f>IF(ISBLANK(Quote!E107),"",Quote!E107)</f>
        <v/>
      </c>
      <c r="G84" s="125"/>
      <c r="H84" s="125"/>
      <c r="I84" s="125"/>
      <c r="K84" s="10" t="str">
        <f t="shared" si="6"/>
        <v>OIS</v>
      </c>
      <c r="L84" s="95" t="str">
        <f t="shared" si="7"/>
        <v>obj_00302#0006</v>
      </c>
      <c r="M84" s="146" t="str">
        <f>IFERROR(_xll.qlRateHelperQuoteName(L84,Trigger),"--")</f>
        <v>EURONOIS35Y_Shifted</v>
      </c>
      <c r="N84" s="99">
        <f>IFERROR(_xll.qlRateHelperQuoteValue($L84,Trigger),"--")</f>
        <v>1.161539514E-2</v>
      </c>
      <c r="O84" s="98" t="b">
        <v>1</v>
      </c>
      <c r="P84" s="95">
        <v>50</v>
      </c>
      <c r="Q84" s="95">
        <v>1</v>
      </c>
      <c r="R84" s="100">
        <f>IFERROR(_xll.qlRateHelperEarliestDate(L84,Trigger),"--")</f>
        <v>42748</v>
      </c>
      <c r="S84" s="100">
        <f>IFERROR(_xll.qlRateHelperPillarDate(L84,Trigger),"--")</f>
        <v>55533</v>
      </c>
      <c r="U84" s="4" t="str">
        <f t="shared" si="10"/>
        <v/>
      </c>
      <c r="V84" s="4" t="e">
        <v>#N/A</v>
      </c>
      <c r="W84" s="4" t="str">
        <f>IFERROR(_xll.qlRateHelperQuoteName(V84,Trigger),"")</f>
        <v/>
      </c>
      <c r="X84" s="73" t="str">
        <f>IFERROR(_xll.qlRateHelperRate(V84,Trigger),"")</f>
        <v/>
      </c>
      <c r="Y84" s="105" t="str">
        <f>IF(ISERROR(_xll.qlSwapRateHelperSpread($V84)),IF(ISERROR(_xll.qlFuturesRateHelperConvexityAdjustment($V84)),"",_xll.qlFuturesRateHelperConvexityAdjustment($V84)),_xll.qlSwapRateHelperSpread($V84))</f>
        <v/>
      </c>
      <c r="Z84" s="5" t="str">
        <f>IFERROR(_xll.qlRateHelperEarliestDate(V84,Trigger),"")</f>
        <v/>
      </c>
      <c r="AA84" s="5" t="str">
        <f>IFERROR(_xll.qlRateHelperPillarDate(V84,Trigger),"")</f>
        <v/>
      </c>
      <c r="AB84" s="73" t="e">
        <v>#N/A</v>
      </c>
    </row>
    <row r="85" spans="1:28" x14ac:dyDescent="0.2">
      <c r="A85" s="221" t="s">
        <v>68</v>
      </c>
      <c r="B85" s="280" t="s">
        <v>161</v>
      </c>
      <c r="C85" s="278"/>
      <c r="D85" s="278"/>
      <c r="E85" s="278"/>
      <c r="F85" s="282" t="str">
        <f>IF(ISBLANK(Quote!E108),"",Quote!E108)</f>
        <v/>
      </c>
      <c r="G85" s="278"/>
      <c r="H85" s="278"/>
      <c r="I85" s="278"/>
      <c r="K85" s="10" t="str">
        <f t="shared" si="6"/>
        <v>OIS</v>
      </c>
      <c r="L85" s="95" t="str">
        <f t="shared" si="7"/>
        <v>--</v>
      </c>
      <c r="M85" s="146" t="str">
        <f>IFERROR(_xll.qlRateHelperQuoteName(L85,Trigger),"--")</f>
        <v>--</v>
      </c>
      <c r="N85" s="99" t="str">
        <f>IFERROR(_xll.qlRateHelperQuoteValue($L85,Trigger),"--")</f>
        <v>--</v>
      </c>
      <c r="O85" s="98" t="b">
        <v>0</v>
      </c>
      <c r="P85" s="95">
        <v>50</v>
      </c>
      <c r="Q85" s="95">
        <v>1</v>
      </c>
      <c r="R85" s="100" t="str">
        <f>IFERROR(_xll.qlRateHelperEarliestDate(L85,Trigger),"--")</f>
        <v>--</v>
      </c>
      <c r="S85" s="100" t="str">
        <f>IFERROR(_xll.qlRateHelperPillarDate(L85,Trigger),"--")</f>
        <v>--</v>
      </c>
      <c r="U85" s="4" t="str">
        <f t="shared" si="10"/>
        <v/>
      </c>
      <c r="V85" s="4" t="e">
        <v>#N/A</v>
      </c>
      <c r="W85" s="4" t="str">
        <f>IFERROR(_xll.qlRateHelperQuoteName(V85,Trigger),"")</f>
        <v/>
      </c>
      <c r="X85" s="73" t="str">
        <f>IFERROR(_xll.qlRateHelperRate(V85,Trigger),"")</f>
        <v/>
      </c>
      <c r="Y85" s="105" t="str">
        <f>IF(ISERROR(_xll.qlSwapRateHelperSpread($V85)),IF(ISERROR(_xll.qlFuturesRateHelperConvexityAdjustment($V85)),"",_xll.qlFuturesRateHelperConvexityAdjustment($V85)),_xll.qlSwapRateHelperSpread($V85))</f>
        <v/>
      </c>
      <c r="Z85" s="5" t="str">
        <f>IFERROR(_xll.qlRateHelperEarliestDate(V85,Trigger),"")</f>
        <v/>
      </c>
      <c r="AA85" s="5" t="str">
        <f>IFERROR(_xll.qlRateHelperPillarDate(V85,Trigger),"")</f>
        <v/>
      </c>
      <c r="AB85" s="73" t="e">
        <v>#N/A</v>
      </c>
    </row>
    <row r="86" spans="1:28" x14ac:dyDescent="0.2">
      <c r="A86" s="62" t="s">
        <v>68</v>
      </c>
      <c r="B86" s="63" t="s">
        <v>65</v>
      </c>
      <c r="C86" s="64">
        <v>2</v>
      </c>
      <c r="D86" s="125"/>
      <c r="E86" s="65" t="str">
        <f t="shared" si="9"/>
        <v>EoniaMX#0006</v>
      </c>
      <c r="F86" s="66" t="str">
        <f>IF(ISBLANK(Quote!E109),"",Quote!E109)</f>
        <v>EURONOIS35Y=#0006</v>
      </c>
      <c r="G86" s="66" t="str">
        <f>_xll.qlCompositeQuote(Currency&amp;"ON"&amp;A86&amp;B86&amp;"_Shifted",F86,BumpValue,"+",Permanent,Trigger,ObjectOverwrite)</f>
        <v>EURONOIS35Y_Shifted#0006</v>
      </c>
      <c r="H86" s="125"/>
      <c r="I86" s="67" t="str">
        <f>_xll.qlOISRateHelper(,C86,B86,IF(Sensitivity,G86,F86),$E86,,Permanent,Trigger,ObjectOverwrite)</f>
        <v>obj_00302#0006</v>
      </c>
      <c r="K86" s="10" t="str">
        <f t="shared" ref="K86:K91" si="11">A88</f>
        <v>OIS</v>
      </c>
      <c r="L86" s="95" t="str">
        <f t="shared" ref="L86:L91" si="12">IF(ISBLANK(I88),"--",I88)</f>
        <v>--</v>
      </c>
      <c r="M86" s="146" t="str">
        <f>IFERROR(_xll.qlRateHelperQuoteName(L86,Trigger),"--")</f>
        <v>--</v>
      </c>
      <c r="N86" s="99" t="str">
        <f>IFERROR(_xll.qlRateHelperQuoteValue($L86,Trigger),"--")</f>
        <v>--</v>
      </c>
      <c r="O86" s="98" t="b">
        <v>0</v>
      </c>
      <c r="P86" s="95">
        <v>50</v>
      </c>
      <c r="Q86" s="95">
        <v>1</v>
      </c>
      <c r="R86" s="100" t="str">
        <f>IFERROR(_xll.qlRateHelperEarliestDate(L86,Trigger),"--")</f>
        <v>--</v>
      </c>
      <c r="S86" s="100" t="str">
        <f>IFERROR(_xll.qlRateHelperPillarDate(L86,Trigger),"--")</f>
        <v>--</v>
      </c>
      <c r="U86" s="4" t="str">
        <f t="shared" si="10"/>
        <v/>
      </c>
      <c r="V86" s="4" t="e">
        <v>#N/A</v>
      </c>
      <c r="W86" s="4" t="str">
        <f>IFERROR(_xll.qlRateHelperQuoteName(V86,Trigger),"")</f>
        <v/>
      </c>
      <c r="X86" s="73" t="str">
        <f>IFERROR(_xll.qlRateHelperRate(V86,Trigger),"")</f>
        <v/>
      </c>
      <c r="Y86" s="105" t="str">
        <f>IF(ISERROR(_xll.qlSwapRateHelperSpread($V86)),IF(ISERROR(_xll.qlFuturesRateHelperConvexityAdjustment($V86)),"",_xll.qlFuturesRateHelperConvexityAdjustment($V86)),_xll.qlSwapRateHelperSpread($V86))</f>
        <v/>
      </c>
      <c r="Z86" s="5" t="str">
        <f>IFERROR(_xll.qlRateHelperEarliestDate(V86,Trigger),"")</f>
        <v/>
      </c>
      <c r="AA86" s="5" t="str">
        <f>IFERROR(_xll.qlRateHelperPillarDate(V86,Trigger),"")</f>
        <v/>
      </c>
      <c r="AB86" s="73" t="e">
        <v>#N/A</v>
      </c>
    </row>
    <row r="87" spans="1:28" x14ac:dyDescent="0.2">
      <c r="A87" s="62" t="s">
        <v>68</v>
      </c>
      <c r="B87" s="63" t="s">
        <v>162</v>
      </c>
      <c r="C87" s="275"/>
      <c r="D87" s="275"/>
      <c r="E87" s="275"/>
      <c r="F87" s="335" t="str">
        <f>IF(ISBLANK(Quote!E110),"",Quote!E110)</f>
        <v/>
      </c>
      <c r="G87" s="275"/>
      <c r="H87" s="275"/>
      <c r="I87" s="275"/>
      <c r="K87" s="10" t="str">
        <f t="shared" si="11"/>
        <v>OIS</v>
      </c>
      <c r="L87" s="95" t="str">
        <f t="shared" si="12"/>
        <v>--</v>
      </c>
      <c r="M87" s="146" t="str">
        <f>IFERROR(_xll.qlRateHelperQuoteName(L87,Trigger),"--")</f>
        <v>--</v>
      </c>
      <c r="N87" s="99" t="str">
        <f>IFERROR(_xll.qlRateHelperQuoteValue($L87,Trigger),"--")</f>
        <v>--</v>
      </c>
      <c r="O87" s="98" t="b">
        <v>0</v>
      </c>
      <c r="P87" s="95">
        <v>50</v>
      </c>
      <c r="Q87" s="95">
        <v>1</v>
      </c>
      <c r="R87" s="100" t="str">
        <f>IFERROR(_xll.qlRateHelperEarliestDate(L87,Trigger),"--")</f>
        <v>--</v>
      </c>
      <c r="S87" s="100" t="str">
        <f>IFERROR(_xll.qlRateHelperPillarDate(L87,Trigger),"--")</f>
        <v>--</v>
      </c>
      <c r="U87" s="4" t="str">
        <f t="shared" si="10"/>
        <v/>
      </c>
      <c r="V87" s="4" t="e">
        <v>#N/A</v>
      </c>
      <c r="W87" s="4" t="str">
        <f>IFERROR(_xll.qlRateHelperQuoteName(V87,Trigger),"")</f>
        <v/>
      </c>
      <c r="X87" s="73" t="str">
        <f>IFERROR(_xll.qlRateHelperRate(V87,Trigger),"")</f>
        <v/>
      </c>
      <c r="Y87" s="105" t="str">
        <f>IF(ISERROR(_xll.qlSwapRateHelperSpread($V87)),IF(ISERROR(_xll.qlFuturesRateHelperConvexityAdjustment($V87)),"",_xll.qlFuturesRateHelperConvexityAdjustment($V87)),_xll.qlSwapRateHelperSpread($V87))</f>
        <v/>
      </c>
      <c r="Z87" s="5" t="str">
        <f>IFERROR(_xll.qlRateHelperEarliestDate(V87,Trigger),"")</f>
        <v/>
      </c>
      <c r="AA87" s="5" t="str">
        <f>IFERROR(_xll.qlRateHelperPillarDate(V87,Trigger),"")</f>
        <v/>
      </c>
      <c r="AB87" s="73" t="e">
        <v>#N/A</v>
      </c>
    </row>
    <row r="88" spans="1:28" x14ac:dyDescent="0.2">
      <c r="A88" s="62" t="s">
        <v>68</v>
      </c>
      <c r="B88" s="63" t="s">
        <v>163</v>
      </c>
      <c r="C88" s="125"/>
      <c r="D88" s="125"/>
      <c r="E88" s="125"/>
      <c r="F88" s="66" t="str">
        <f>IF(ISBLANK(Quote!E111),"",Quote!E111)</f>
        <v/>
      </c>
      <c r="G88" s="125"/>
      <c r="H88" s="125"/>
      <c r="I88" s="125"/>
      <c r="K88" s="10" t="str">
        <f t="shared" si="11"/>
        <v>OIS</v>
      </c>
      <c r="L88" s="95" t="str">
        <f t="shared" si="12"/>
        <v>--</v>
      </c>
      <c r="M88" s="146" t="str">
        <f>IFERROR(_xll.qlRateHelperQuoteName(L88,Trigger),"--")</f>
        <v>--</v>
      </c>
      <c r="N88" s="99" t="str">
        <f>IFERROR(_xll.qlRateHelperQuoteValue($L88,Trigger),"--")</f>
        <v>--</v>
      </c>
      <c r="O88" s="98" t="b">
        <v>0</v>
      </c>
      <c r="P88" s="95">
        <v>50</v>
      </c>
      <c r="Q88" s="95">
        <v>1</v>
      </c>
      <c r="R88" s="100" t="str">
        <f>IFERROR(_xll.qlRateHelperEarliestDate(L88,Trigger),"--")</f>
        <v>--</v>
      </c>
      <c r="S88" s="100" t="str">
        <f>IFERROR(_xll.qlRateHelperPillarDate(L88,Trigger),"--")</f>
        <v>--</v>
      </c>
      <c r="U88" s="4" t="str">
        <f t="shared" si="10"/>
        <v/>
      </c>
      <c r="V88" s="4" t="e">
        <v>#N/A</v>
      </c>
      <c r="W88" s="4" t="str">
        <f>IFERROR(_xll.qlRateHelperQuoteName(V88,Trigger),"")</f>
        <v/>
      </c>
      <c r="X88" s="73" t="str">
        <f>IFERROR(_xll.qlRateHelperRate(V88,Trigger),"")</f>
        <v/>
      </c>
      <c r="Y88" s="105" t="str">
        <f>IF(ISERROR(_xll.qlSwapRateHelperSpread($V88)),IF(ISERROR(_xll.qlFuturesRateHelperConvexityAdjustment($V88)),"",_xll.qlFuturesRateHelperConvexityAdjustment($V88)),_xll.qlSwapRateHelperSpread($V88))</f>
        <v/>
      </c>
      <c r="Z88" s="5" t="str">
        <f>IFERROR(_xll.qlRateHelperEarliestDate(V88,Trigger),"")</f>
        <v/>
      </c>
      <c r="AA88" s="5" t="str">
        <f>IFERROR(_xll.qlRateHelperPillarDate(V88,Trigger),"")</f>
        <v/>
      </c>
      <c r="AB88" s="73" t="e">
        <v>#N/A</v>
      </c>
    </row>
    <row r="89" spans="1:28" x14ac:dyDescent="0.2">
      <c r="A89" s="62" t="s">
        <v>68</v>
      </c>
      <c r="B89" s="63" t="s">
        <v>164</v>
      </c>
      <c r="C89" s="125"/>
      <c r="D89" s="125"/>
      <c r="E89" s="125"/>
      <c r="F89" s="66" t="str">
        <f>IF(ISBLANK(Quote!E112),"",Quote!E112)</f>
        <v/>
      </c>
      <c r="G89" s="125"/>
      <c r="H89" s="125"/>
      <c r="I89" s="125"/>
      <c r="K89" s="10" t="str">
        <f t="shared" si="11"/>
        <v>OIS</v>
      </c>
      <c r="L89" s="95" t="str">
        <f t="shared" si="12"/>
        <v>obj_002fc#0006</v>
      </c>
      <c r="M89" s="146" t="str">
        <f>IFERROR(_xll.qlRateHelperQuoteName(L89,Trigger),"--")</f>
        <v>EURONOIS40Y_Shifted</v>
      </c>
      <c r="N89" s="99">
        <f>IFERROR(_xll.qlRateHelperQuoteValue($L89,Trigger),"--")</f>
        <v>1.167E-2</v>
      </c>
      <c r="O89" s="98" t="b">
        <v>1</v>
      </c>
      <c r="P89" s="95">
        <v>50</v>
      </c>
      <c r="Q89" s="95">
        <v>1</v>
      </c>
      <c r="R89" s="100">
        <f>IFERROR(_xll.qlRateHelperEarliestDate(L89,Trigger),"--")</f>
        <v>42748</v>
      </c>
      <c r="S89" s="100">
        <f>IFERROR(_xll.qlRateHelperPillarDate(L89,Trigger),"--")</f>
        <v>57360</v>
      </c>
      <c r="U89" s="4" t="str">
        <f t="shared" si="10"/>
        <v/>
      </c>
      <c r="V89" s="4" t="e">
        <v>#N/A</v>
      </c>
      <c r="W89" s="4" t="str">
        <f>IFERROR(_xll.qlRateHelperQuoteName(V89,Trigger),"")</f>
        <v/>
      </c>
      <c r="X89" s="73" t="str">
        <f>IFERROR(_xll.qlRateHelperRate(V89,Trigger),"")</f>
        <v/>
      </c>
      <c r="Y89" s="105" t="str">
        <f>IF(ISERROR(_xll.qlSwapRateHelperSpread($V89)),IF(ISERROR(_xll.qlFuturesRateHelperConvexityAdjustment($V89)),"",_xll.qlFuturesRateHelperConvexityAdjustment($V89)),_xll.qlSwapRateHelperSpread($V89))</f>
        <v/>
      </c>
      <c r="Z89" s="5" t="str">
        <f>IFERROR(_xll.qlRateHelperEarliestDate(V89,Trigger),"")</f>
        <v/>
      </c>
      <c r="AA89" s="5" t="str">
        <f>IFERROR(_xll.qlRateHelperPillarDate(V89,Trigger),"")</f>
        <v/>
      </c>
      <c r="AB89" s="73" t="e">
        <v>#N/A</v>
      </c>
    </row>
    <row r="90" spans="1:28" x14ac:dyDescent="0.2">
      <c r="A90" s="62" t="s">
        <v>68</v>
      </c>
      <c r="B90" s="63" t="s">
        <v>165</v>
      </c>
      <c r="C90" s="278"/>
      <c r="D90" s="278"/>
      <c r="E90" s="278"/>
      <c r="F90" s="282" t="str">
        <f>IF(ISBLANK(Quote!E113),"",Quote!E113)</f>
        <v/>
      </c>
      <c r="G90" s="278"/>
      <c r="H90" s="278"/>
      <c r="I90" s="278"/>
      <c r="K90" s="10" t="str">
        <f t="shared" si="11"/>
        <v>OIS</v>
      </c>
      <c r="L90" s="95" t="str">
        <f t="shared" si="12"/>
        <v>obj_002f7#0006</v>
      </c>
      <c r="M90" s="146" t="str">
        <f>IFERROR(_xll.qlRateHelperQuoteName(L90,Trigger),"--")</f>
        <v>EURONOIS50Y_Shifted</v>
      </c>
      <c r="N90" s="99">
        <f>IFERROR(_xll.qlRateHelperQuoteValue($L90,Trigger),"--")</f>
        <v>1.1320000000000002E-2</v>
      </c>
      <c r="O90" s="98" t="b">
        <v>1</v>
      </c>
      <c r="P90" s="95">
        <v>50</v>
      </c>
      <c r="Q90" s="95">
        <v>1</v>
      </c>
      <c r="R90" s="100">
        <f>IFERROR(_xll.qlRateHelperEarliestDate(L90,Trigger),"--")</f>
        <v>42748</v>
      </c>
      <c r="S90" s="100">
        <f>IFERROR(_xll.qlRateHelperPillarDate(L90,Trigger),"--")</f>
        <v>61010</v>
      </c>
      <c r="U90" s="4" t="str">
        <f t="shared" si="10"/>
        <v/>
      </c>
      <c r="V90" s="4" t="e">
        <v>#N/A</v>
      </c>
      <c r="W90" s="4" t="str">
        <f>IFERROR(_xll.qlRateHelperQuoteName(V90,Trigger),"")</f>
        <v/>
      </c>
      <c r="X90" s="73" t="str">
        <f>IFERROR(_xll.qlRateHelperRate(V90,Trigger),"")</f>
        <v/>
      </c>
      <c r="Y90" s="105" t="str">
        <f>IF(ISERROR(_xll.qlSwapRateHelperSpread($V90)),IF(ISERROR(_xll.qlFuturesRateHelperConvexityAdjustment($V90)),"",_xll.qlFuturesRateHelperConvexityAdjustment($V90)),_xll.qlSwapRateHelperSpread($V90))</f>
        <v/>
      </c>
      <c r="Z90" s="5" t="str">
        <f>IFERROR(_xll.qlRateHelperEarliestDate(V90,Trigger),"")</f>
        <v/>
      </c>
      <c r="AA90" s="5" t="str">
        <f>IFERROR(_xll.qlRateHelperPillarDate(V90,Trigger),"")</f>
        <v/>
      </c>
      <c r="AB90" s="73" t="e">
        <v>#N/A</v>
      </c>
    </row>
    <row r="91" spans="1:28" x14ac:dyDescent="0.2">
      <c r="A91" s="62" t="s">
        <v>68</v>
      </c>
      <c r="B91" s="63" t="s">
        <v>66</v>
      </c>
      <c r="C91" s="64">
        <v>2</v>
      </c>
      <c r="D91" s="125"/>
      <c r="E91" s="65" t="str">
        <f t="shared" si="9"/>
        <v>EoniaMX#0006</v>
      </c>
      <c r="F91" s="66" t="str">
        <f>IF(ISBLANK(Quote!E114),"",Quote!E114)</f>
        <v>EURONOIS40Y=#0006</v>
      </c>
      <c r="G91" s="66" t="str">
        <f>_xll.qlCompositeQuote(Currency&amp;"ON"&amp;A91&amp;B91&amp;"_Shifted",F91,BumpValue,"+",Permanent,Trigger,ObjectOverwrite)</f>
        <v>EURONOIS40Y_Shifted#0006</v>
      </c>
      <c r="H91" s="125"/>
      <c r="I91" s="67" t="str">
        <f>_xll.qlOISRateHelper(,C91,B91,IF(Sensitivity,G91,F91),$E91,,Permanent,Trigger,ObjectOverwrite)</f>
        <v>obj_002fc#0006</v>
      </c>
      <c r="K91" s="11" t="str">
        <f t="shared" si="11"/>
        <v>OIS</v>
      </c>
      <c r="L91" s="96" t="str">
        <f t="shared" si="12"/>
        <v>obj_0030c#0006</v>
      </c>
      <c r="M91" s="147" t="str">
        <f>IFERROR(_xll.qlRateHelperQuoteName(L91,Trigger),"--")</f>
        <v>EURONOIS60Y_Shifted</v>
      </c>
      <c r="N91" s="102">
        <f>IFERROR(_xll.qlRateHelperQuoteValue($L91,Trigger),"--")</f>
        <v>1.107E-2</v>
      </c>
      <c r="O91" s="101" t="b">
        <v>1</v>
      </c>
      <c r="P91" s="96">
        <v>50</v>
      </c>
      <c r="Q91" s="96">
        <v>1</v>
      </c>
      <c r="R91" s="103">
        <f>IFERROR(_xll.qlRateHelperEarliestDate(L91,Trigger),"--")</f>
        <v>42748</v>
      </c>
      <c r="S91" s="103">
        <f>IFERROR(_xll.qlRateHelperPillarDate(L91,Trigger),"--")</f>
        <v>64663</v>
      </c>
      <c r="U91" s="6" t="str">
        <f t="shared" si="10"/>
        <v/>
      </c>
      <c r="V91" s="6" t="e">
        <v>#N/A</v>
      </c>
      <c r="W91" s="6" t="str">
        <f>IFERROR(_xll.qlRateHelperQuoteName(V91,Trigger),"")</f>
        <v/>
      </c>
      <c r="X91" s="80" t="str">
        <f>IFERROR(_xll.qlRateHelperRate(V91,Trigger),"")</f>
        <v/>
      </c>
      <c r="Y91" s="106" t="str">
        <f>IF(ISERROR(_xll.qlSwapRateHelperSpread($V91)),IF(ISERROR(_xll.qlFuturesRateHelperConvexityAdjustment($V91)),"",_xll.qlFuturesRateHelperConvexityAdjustment($V91)),_xll.qlSwapRateHelperSpread($V91))</f>
        <v/>
      </c>
      <c r="Z91" s="12" t="str">
        <f>IFERROR(_xll.qlRateHelperEarliestDate(V91,Trigger),"")</f>
        <v/>
      </c>
      <c r="AA91" s="12" t="str">
        <f>IFERROR(_xll.qlRateHelperPillarDate(V91,Trigger),"")</f>
        <v/>
      </c>
      <c r="AB91" s="80" t="e">
        <v>#N/A</v>
      </c>
    </row>
    <row r="92" spans="1:28" x14ac:dyDescent="0.2">
      <c r="A92" s="62" t="s">
        <v>68</v>
      </c>
      <c r="B92" s="63" t="s">
        <v>67</v>
      </c>
      <c r="C92" s="64">
        <v>2</v>
      </c>
      <c r="D92" s="125"/>
      <c r="E92" s="65" t="str">
        <f t="shared" si="9"/>
        <v>EoniaMX#0006</v>
      </c>
      <c r="F92" s="66" t="str">
        <f>IF(ISBLANK(Quote!E115),"",Quote!E115)</f>
        <v>EURONOIS50Y=#0006</v>
      </c>
      <c r="G92" s="66" t="str">
        <f>_xll.qlCompositeQuote(Currency&amp;"ON"&amp;A92&amp;B92&amp;"_Shifted",F92,BumpValue,"+",Permanent,Trigger,ObjectOverwrite)</f>
        <v>EURONOIS50Y_Shifted#0006</v>
      </c>
      <c r="H92" s="125"/>
      <c r="I92" s="67" t="str">
        <f>_xll.qlOISRateHelper(,C92,B92,IF(Sensitivity,G92,F92),$E92,,Permanent,Trigger,ObjectOverwrite)</f>
        <v>obj_002f7#0006</v>
      </c>
    </row>
    <row r="93" spans="1:28" x14ac:dyDescent="0.2">
      <c r="A93" s="1" t="s">
        <v>68</v>
      </c>
      <c r="B93" s="8" t="s">
        <v>113</v>
      </c>
      <c r="C93" s="7">
        <v>2</v>
      </c>
      <c r="D93" s="126"/>
      <c r="E93" s="9" t="str">
        <f t="shared" si="9"/>
        <v>EoniaMX#0006</v>
      </c>
      <c r="F93" s="2" t="str">
        <f>IF(ISBLANK(Quote!E116),"",Quote!E116)</f>
        <v>EURONOIS60Y=#0006</v>
      </c>
      <c r="G93" s="2" t="str">
        <f>_xll.qlCompositeQuote(Currency&amp;"ON"&amp;A93&amp;B93&amp;"_Shifted",F93,BumpValue,"+",Permanent,Trigger,ObjectOverwrite)</f>
        <v>EURONOIS60Y_Shifted#0006</v>
      </c>
      <c r="H93" s="126"/>
      <c r="I93" s="3" t="str">
        <f>_xll.qlOISRateHelper(,C93,B93,IF(Sensitivity,G93,F93),$E93,,Permanent,Trigger,ObjectOverwrite)</f>
        <v>obj_0030c#0006</v>
      </c>
    </row>
  </sheetData>
  <dataValidations count="2">
    <dataValidation type="list" allowBlank="1" showInputMessage="1" showErrorMessage="1" sqref="AI6">
      <formula1>"AllDepos,DeposBeforeFirstFuturesStartDate,DeposBeforeFirstFuturesStartDatePlusOne,DeposBeforeFirstFuturesExpiryDate"</formula1>
    </dataValidation>
    <dataValidation type="list" allowBlank="1" showInputMessage="1" showErrorMessage="1" sqref="AI8">
      <formula1>"true,false"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1"/>
  <sheetViews>
    <sheetView showGridLines="0" topLeftCell="L1" zoomScaleNormal="100" workbookViewId="0">
      <selection activeCell="AD1" sqref="AD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7.28515625" style="53" hidden="1" customWidth="1" outlineLevel="1"/>
    <col min="8" max="8" width="22.42578125" style="55" hidden="1" customWidth="1" outlineLevel="1"/>
    <col min="9" max="9" width="24.42578125" style="55" hidden="1" customWidth="1" outlineLevel="1"/>
    <col min="10" max="10" width="22.42578125" style="49" hidden="1" customWidth="1" outlineLevel="1"/>
    <col min="11" max="11" width="15.140625" style="49" hidden="1" customWidth="1" outlineLevel="1"/>
    <col min="12" max="12" width="2.7109375" style="49" customWidth="1" collapsed="1"/>
    <col min="13" max="13" width="6" style="49" hidden="1" customWidth="1" outlineLevel="1"/>
    <col min="14" max="14" width="15.140625" style="104" hidden="1" customWidth="1" outlineLevel="1"/>
    <col min="15" max="15" width="21.42578125" style="104" hidden="1" customWidth="1" outlineLevel="1"/>
    <col min="16" max="16" width="9.7109375" style="104" hidden="1" customWidth="1" outlineLevel="1"/>
    <col min="17" max="17" width="7.85546875" style="104" hidden="1" customWidth="1" outlineLevel="1"/>
    <col min="18" max="18" width="9" style="104" hidden="1" customWidth="1" outlineLevel="1"/>
    <col min="19" max="19" width="5.85546875" style="104" hidden="1" customWidth="1" outlineLevel="1"/>
    <col min="20" max="21" width="10.7109375" style="104" hidden="1" customWidth="1" outlineLevel="1"/>
    <col min="22" max="22" width="2.7109375" style="51" hidden="1" customWidth="1" outlineLevel="1"/>
    <col min="23" max="23" width="6" style="49" customWidth="1" collapsed="1"/>
    <col min="24" max="24" width="10.140625" style="49" hidden="1" customWidth="1" outlineLevel="1"/>
    <col min="25" max="25" width="24.7109375" style="49" customWidth="1" collapsed="1"/>
    <col min="26" max="27" width="9.7109375" style="49" customWidth="1"/>
    <col min="28" max="29" width="17.28515625" style="49" bestFit="1" customWidth="1"/>
    <col min="30" max="30" width="10" style="49" bestFit="1" customWidth="1"/>
    <col min="31" max="31" width="2.7109375" style="49" customWidth="1"/>
    <col min="32" max="32" width="3" style="49" bestFit="1" customWidth="1"/>
    <col min="33" max="33" width="24.42578125" style="49" bestFit="1" customWidth="1"/>
    <col min="34" max="34" width="24.42578125" style="49" hidden="1" customWidth="1" outlineLevel="1"/>
    <col min="35" max="35" width="7" style="49" hidden="1" customWidth="1" outlineLevel="1"/>
    <col min="36" max="36" width="11" style="49" hidden="1" customWidth="1" outlineLevel="1"/>
    <col min="37" max="37" width="9" style="49" bestFit="1" customWidth="1" collapsed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9" ht="18" customHeight="1" x14ac:dyDescent="0.2">
      <c r="G1" s="53" t="s">
        <v>0</v>
      </c>
      <c r="H1" s="53"/>
      <c r="I1" s="53"/>
      <c r="M1" s="70" t="s">
        <v>25</v>
      </c>
      <c r="N1" s="107"/>
      <c r="O1" s="107"/>
      <c r="P1" s="107"/>
      <c r="Q1" s="107"/>
      <c r="R1" s="107"/>
      <c r="S1" s="107"/>
      <c r="T1" s="107"/>
      <c r="U1" s="97"/>
      <c r="V1" s="94"/>
      <c r="W1" s="78" t="str">
        <f>Currency&amp;$G$1</f>
        <v>EUR3M</v>
      </c>
      <c r="X1" s="69"/>
      <c r="Y1" s="69"/>
      <c r="Z1" s="72"/>
      <c r="AA1" s="72"/>
      <c r="AB1" s="69"/>
      <c r="AC1" s="69"/>
      <c r="AD1" s="76" t="s">
        <v>134</v>
      </c>
    </row>
    <row r="2" spans="1:39" ht="21.75" customHeight="1" x14ac:dyDescent="0.2">
      <c r="A2" s="68" t="s">
        <v>9</v>
      </c>
      <c r="B2" s="68" t="s">
        <v>28</v>
      </c>
      <c r="C2" s="68" t="s">
        <v>92</v>
      </c>
      <c r="D2" s="68" t="s">
        <v>130</v>
      </c>
      <c r="E2" s="68" t="s">
        <v>32</v>
      </c>
      <c r="F2" s="68" t="s">
        <v>115</v>
      </c>
      <c r="G2" s="68" t="s">
        <v>4</v>
      </c>
      <c r="H2" s="68" t="s">
        <v>1</v>
      </c>
      <c r="I2" s="68" t="s">
        <v>171</v>
      </c>
      <c r="J2" s="68"/>
      <c r="K2" s="68" t="s">
        <v>25</v>
      </c>
      <c r="M2" s="77" t="s">
        <v>9</v>
      </c>
      <c r="N2" s="77" t="s">
        <v>25</v>
      </c>
      <c r="O2" s="77" t="s">
        <v>79</v>
      </c>
      <c r="P2" s="77" t="s">
        <v>82</v>
      </c>
      <c r="Q2" s="77" t="s">
        <v>80</v>
      </c>
      <c r="R2" s="77" t="s">
        <v>81</v>
      </c>
      <c r="S2" s="77" t="s">
        <v>83</v>
      </c>
      <c r="T2" s="77" t="s">
        <v>23</v>
      </c>
      <c r="U2" s="77" t="s">
        <v>76</v>
      </c>
      <c r="V2" s="94"/>
      <c r="W2" s="77" t="s">
        <v>9</v>
      </c>
      <c r="X2" s="77" t="s">
        <v>25</v>
      </c>
      <c r="Y2" s="77" t="s">
        <v>79</v>
      </c>
      <c r="Z2" s="79" t="s">
        <v>24</v>
      </c>
      <c r="AA2" s="79" t="s">
        <v>84</v>
      </c>
      <c r="AB2" s="77" t="s">
        <v>23</v>
      </c>
      <c r="AC2" s="77" t="s">
        <v>76</v>
      </c>
      <c r="AD2" s="207">
        <f t="array" ref="AD2:AD125">_xll.qlPiecewiseYieldCurveData(YieldCurve_3M,Trigger)</f>
        <v>-3.2816934767627899E-3</v>
      </c>
      <c r="AE2" s="180"/>
      <c r="AG2" s="204" t="s">
        <v>85</v>
      </c>
      <c r="AH2" s="205"/>
      <c r="AI2" s="205"/>
      <c r="AJ2" s="205"/>
      <c r="AK2" s="206"/>
    </row>
    <row r="3" spans="1:39" ht="11.25" customHeight="1" x14ac:dyDescent="0.2">
      <c r="A3" s="56" t="s">
        <v>142</v>
      </c>
      <c r="B3" s="57" t="str">
        <f>Quote!C4</f>
        <v>ON</v>
      </c>
      <c r="C3" s="59" t="s">
        <v>6</v>
      </c>
      <c r="D3" s="129"/>
      <c r="E3" s="129"/>
      <c r="F3" s="129"/>
      <c r="G3" s="129"/>
      <c r="H3" s="156" t="str">
        <f>IF(ISBLANK(Quote!Y4),"",Quote!Y4)</f>
        <v/>
      </c>
      <c r="I3" s="129"/>
      <c r="J3" s="129"/>
      <c r="K3" s="129"/>
      <c r="L3" s="52"/>
      <c r="M3" s="71" t="str">
        <f>A3</f>
        <v>DP</v>
      </c>
      <c r="N3" s="131" t="str">
        <f>IF(ISBLANK(K3),"--",K3)</f>
        <v>--</v>
      </c>
      <c r="O3" s="145" t="str">
        <f>IFERROR(_xll.qlRateHelperQuoteName(N3,Trigger),"--")</f>
        <v>--</v>
      </c>
      <c r="P3" s="133" t="str">
        <f>IFERROR(_xll.qlRateHelperQuoteValue($N3,Trigger),"--")</f>
        <v>--</v>
      </c>
      <c r="Q3" s="132" t="b">
        <v>0</v>
      </c>
      <c r="R3" s="131">
        <v>10</v>
      </c>
      <c r="S3" s="131">
        <v>1</v>
      </c>
      <c r="T3" s="134" t="str">
        <f>IFERROR(_xll.qlRateHelperEarliestDate(N3,Trigger),"--")</f>
        <v>--</v>
      </c>
      <c r="U3" s="134" t="str">
        <f>IFERROR(_xll.qlRateHelperPillarDate(N3,Trigger),"--")</f>
        <v>--</v>
      </c>
      <c r="W3" s="4" t="str">
        <f>IFERROR(INDEX($M$3:$M$125,MATCH(Y3,$O$3:$O$125,0),1),"")</f>
        <v>DP</v>
      </c>
      <c r="X3" s="4" t="str">
        <f t="array" ref="X3:X125">_xll.qlRateHelperSelection(_xll.ohFilter(RateHelpers,IncludeFlag),_xll.ohFilter(Priority,IncludeFlag),$AK$3,$AK$4,$AK$5,$AK$6,_xll.ohFilter(MinDistance,IncludeFlag),Trigger)</f>
        <v>obj_002b0</v>
      </c>
      <c r="Y3" s="4" t="str">
        <f>IFERROR(_xll.qlRateHelperQuoteName(X3,Trigger),"")</f>
        <v>EUR3MDPSN_Shifted</v>
      </c>
      <c r="Z3" s="73">
        <f>IFERROR(_xll.qlRateHelperRate(X3,Trigger),"")</f>
        <v>-3.2366951199999999E-3</v>
      </c>
      <c r="AA3" s="105" t="str">
        <f>IF(ISERROR(_xll.qlSwapRateHelperSpread($X3)),IF(ISERROR(_xll.qlFuturesRateHelperConvexityAdjustment($X3)),"",_xll.qlFuturesRateHelperConvexityAdjustment($X3)),_xll.qlSwapRateHelperSpread($X3))</f>
        <v/>
      </c>
      <c r="AB3" s="5">
        <f>IFERROR(_xll.qlRateHelperEarliestDate(X3,Trigger),"")</f>
        <v>42748</v>
      </c>
      <c r="AC3" s="5">
        <f>IFERROR(_xll.qlRateHelperPillarDate(X3,Trigger),"")</f>
        <v>42751</v>
      </c>
      <c r="AD3" s="73">
        <v>-3.2816934767627899E-3</v>
      </c>
      <c r="AE3" s="180"/>
      <c r="AG3" s="202" t="s">
        <v>86</v>
      </c>
      <c r="AK3" s="203">
        <v>10</v>
      </c>
    </row>
    <row r="4" spans="1:39" ht="11.25" customHeight="1" x14ac:dyDescent="0.2">
      <c r="A4" s="221" t="s">
        <v>142</v>
      </c>
      <c r="B4" s="280" t="str">
        <f>Quote!C5</f>
        <v>TN</v>
      </c>
      <c r="C4" s="281" t="s">
        <v>73</v>
      </c>
      <c r="D4" s="278"/>
      <c r="E4" s="278"/>
      <c r="F4" s="278"/>
      <c r="G4" s="278"/>
      <c r="H4" s="336" t="str">
        <f>IF(ISBLANK(Quote!Y5),"",Quote!Y5)</f>
        <v/>
      </c>
      <c r="I4" s="278"/>
      <c r="J4" s="278"/>
      <c r="K4" s="278"/>
      <c r="L4" s="51"/>
      <c r="M4" s="10" t="str">
        <f t="shared" ref="M4:M20" si="0">A4</f>
        <v>DP</v>
      </c>
      <c r="N4" s="95" t="str">
        <f t="shared" ref="N4:N20" si="1">IF(ISBLANK(K4),"--",K4)</f>
        <v>--</v>
      </c>
      <c r="O4" s="146" t="str">
        <f>IFERROR(_xll.qlRateHelperQuoteName(N4,Trigger),"--")</f>
        <v>--</v>
      </c>
      <c r="P4" s="99" t="str">
        <f>IFERROR(_xll.qlRateHelperQuoteValue($N4,Trigger),"--")</f>
        <v>--</v>
      </c>
      <c r="Q4" s="98" t="b">
        <v>0</v>
      </c>
      <c r="R4" s="95">
        <v>10</v>
      </c>
      <c r="S4" s="95">
        <v>1</v>
      </c>
      <c r="T4" s="100" t="str">
        <f>IFERROR(_xll.qlRateHelperEarliestDate(N4,Trigger),"--")</f>
        <v>--</v>
      </c>
      <c r="U4" s="100" t="str">
        <f>IFERROR(_xll.qlRateHelperPillarDate(N4,Trigger),"--")</f>
        <v>--</v>
      </c>
      <c r="W4" s="4" t="str">
        <f t="shared" ref="W4:W67" si="2">IFERROR(INDEX($M$3:$M$125,MATCH(Y4,$O$3:$O$125,0),1),"")</f>
        <v>DP</v>
      </c>
      <c r="X4" s="4" t="str">
        <v>obj_002bf</v>
      </c>
      <c r="Y4" s="4" t="str">
        <f>IFERROR(_xll.qlRateHelperQuoteName(X4,Trigger),"")</f>
        <v>EUR3MDPSW_Shifted</v>
      </c>
      <c r="Z4" s="73">
        <f>IFERROR(_xll.qlRateHelperRate(X4,Trigger),"")</f>
        <v>-3.23663692E-3</v>
      </c>
      <c r="AA4" s="105" t="str">
        <f>IF(ISERROR(_xll.qlSwapRateHelperSpread($X4)),IF(ISERROR(_xll.qlFuturesRateHelperConvexityAdjustment($X4)),"",_xll.qlFuturesRateHelperConvexityAdjustment($X4)),_xll.qlSwapRateHelperSpread($X4))</f>
        <v/>
      </c>
      <c r="AB4" s="5">
        <f>IFERROR(_xll.qlRateHelperEarliestDate(X4,Trigger),"")</f>
        <v>42748</v>
      </c>
      <c r="AC4" s="5">
        <f>IFERROR(_xll.qlRateHelperPillarDate(X4,Trigger),"")</f>
        <v>42755</v>
      </c>
      <c r="AD4" s="73">
        <v>-3.2816934774696519E-3</v>
      </c>
      <c r="AE4" s="180"/>
      <c r="AG4" s="108" t="s">
        <v>87</v>
      </c>
      <c r="AK4" s="109">
        <v>0</v>
      </c>
    </row>
    <row r="5" spans="1:39" ht="11.25" customHeight="1" x14ac:dyDescent="0.2">
      <c r="A5" s="172" t="s">
        <v>142</v>
      </c>
      <c r="B5" s="173" t="str">
        <f>Quote!C6</f>
        <v>SN</v>
      </c>
      <c r="C5" s="174" t="s">
        <v>74</v>
      </c>
      <c r="D5" s="175"/>
      <c r="E5" s="175"/>
      <c r="F5" s="175"/>
      <c r="G5" s="176" t="str">
        <f>Euribor!E4</f>
        <v>EoniaMX#0006</v>
      </c>
      <c r="H5" s="177" t="str">
        <f>IF(ISBLANK(Quote!Y6),"",Quote!Y6)</f>
        <v>EUR3MDPSN=#0006</v>
      </c>
      <c r="I5" s="177" t="str">
        <f>_xll.qlCompositeQuote(Currency&amp;"3M"&amp;A5&amp;B5&amp;"_Shifted",H5,BumpValue,"+",Permanent,Trigger,ObjectOverwrite)</f>
        <v>EUR3MDPSN_Shifted#0006</v>
      </c>
      <c r="J5" s="175"/>
      <c r="K5" s="178" t="str">
        <f>_xll.qlFraRateHelper(,IF(Sensitivity,I5,H5),C5,G5,PillarDate,,Permanent,Trigger,ObjectOverwrite)</f>
        <v>obj_002b0#0006</v>
      </c>
      <c r="L5" s="51"/>
      <c r="M5" s="10" t="str">
        <f t="shared" si="0"/>
        <v>DP</v>
      </c>
      <c r="N5" s="95" t="str">
        <f t="shared" si="1"/>
        <v>obj_002b0#0006</v>
      </c>
      <c r="O5" s="146" t="str">
        <f>IFERROR(_xll.qlRateHelperQuoteName(N5,Trigger),"--")</f>
        <v>EUR3MDPSN_Shifted</v>
      </c>
      <c r="P5" s="99">
        <f>IFERROR(_xll.qlRateHelperQuoteValue($N5,Trigger),"--")</f>
        <v>-3.2366951199999999E-3</v>
      </c>
      <c r="Q5" s="98" t="b">
        <v>1</v>
      </c>
      <c r="R5" s="95">
        <v>10</v>
      </c>
      <c r="S5" s="95">
        <v>1</v>
      </c>
      <c r="T5" s="100">
        <f>IFERROR(_xll.qlRateHelperEarliestDate(N5,Trigger),"--")</f>
        <v>42748</v>
      </c>
      <c r="U5" s="100">
        <f>IFERROR(_xll.qlRateHelperPillarDate(N5,Trigger),"--")</f>
        <v>42751</v>
      </c>
      <c r="W5" s="4" t="str">
        <f t="shared" si="2"/>
        <v>DP</v>
      </c>
      <c r="X5" s="4" t="str">
        <v>obj_002c0</v>
      </c>
      <c r="Y5" s="4" t="str">
        <f>IFERROR(_xll.qlRateHelperQuoteName(X5,Trigger),"")</f>
        <v>EUR3MDP2W_Shifted</v>
      </c>
      <c r="Z5" s="73">
        <f>IFERROR(_xll.qlRateHelperRate(X5,Trigger),"")</f>
        <v>-3.2365350700000002E-3</v>
      </c>
      <c r="AA5" s="105" t="str">
        <f>IF(ISERROR(_xll.qlSwapRateHelperSpread($X5)),IF(ISERROR(_xll.qlFuturesRateHelperConvexityAdjustment($X5)),"",_xll.qlFuturesRateHelperConvexityAdjustment($X5)),_xll.qlSwapRateHelperSpread($X5))</f>
        <v/>
      </c>
      <c r="AB5" s="5">
        <f>IFERROR(_xll.qlRateHelperEarliestDate(X5,Trigger),"")</f>
        <v>42748</v>
      </c>
      <c r="AC5" s="5">
        <f>IFERROR(_xll.qlRateHelperPillarDate(X5,Trigger),"")</f>
        <v>42762</v>
      </c>
      <c r="AD5" s="73">
        <v>-3.2816934760170123E-3</v>
      </c>
      <c r="AE5" s="180"/>
      <c r="AF5" s="81"/>
      <c r="AG5" s="108" t="s">
        <v>88</v>
      </c>
      <c r="AK5" s="109">
        <v>4</v>
      </c>
    </row>
    <row r="6" spans="1:39" ht="11.25" customHeight="1" x14ac:dyDescent="0.2">
      <c r="A6" s="62" t="s">
        <v>142</v>
      </c>
      <c r="B6" s="63" t="str">
        <f>Quote!C7</f>
        <v>SW</v>
      </c>
      <c r="C6" s="65" t="s">
        <v>173</v>
      </c>
      <c r="D6" s="125"/>
      <c r="E6" s="125"/>
      <c r="F6" s="125"/>
      <c r="G6" s="64" t="str">
        <f>Euribor!E5</f>
        <v>EuriborSWMX#0006</v>
      </c>
      <c r="H6" s="122" t="str">
        <f>IF(ISBLANK(Quote!Y7),"",Quote!Y7)</f>
        <v>EUR3MDPSW=#0006</v>
      </c>
      <c r="I6" s="122" t="str">
        <f>_xll.qlCompositeQuote(Currency&amp;"3M"&amp;A6&amp;B6&amp;"_Shifted",H6,BumpValue,"+",Permanent,Trigger,ObjectOverwrite)</f>
        <v>EUR3MDPSW_Shifted#0006</v>
      </c>
      <c r="J6" s="125"/>
      <c r="K6" s="67" t="str">
        <f>_xll.qlDepositRateHelper(,IF(Sensitivity,I6,H6),G6,Permanent,Trigger,ObjectOverwrite)</f>
        <v>obj_002bf#0006</v>
      </c>
      <c r="L6" s="51"/>
      <c r="M6" s="10" t="str">
        <f t="shared" si="0"/>
        <v>DP</v>
      </c>
      <c r="N6" s="95" t="str">
        <f t="shared" si="1"/>
        <v>obj_002bf#0006</v>
      </c>
      <c r="O6" s="146" t="str">
        <f>IFERROR(_xll.qlRateHelperQuoteName(N6,Trigger),"--")</f>
        <v>EUR3MDPSW_Shifted</v>
      </c>
      <c r="P6" s="99">
        <f>IFERROR(_xll.qlRateHelperQuoteValue($N6,Trigger),"--")</f>
        <v>-3.23663692E-3</v>
      </c>
      <c r="Q6" s="98" t="b">
        <v>1</v>
      </c>
      <c r="R6" s="95">
        <v>10</v>
      </c>
      <c r="S6" s="95">
        <v>1</v>
      </c>
      <c r="T6" s="100">
        <f>IFERROR(_xll.qlRateHelperEarliestDate(N6,Trigger),"--")</f>
        <v>42748</v>
      </c>
      <c r="U6" s="100">
        <f>IFERROR(_xll.qlRateHelperPillarDate(N6,Trigger),"--")</f>
        <v>42755</v>
      </c>
      <c r="W6" s="4" t="str">
        <f t="shared" si="2"/>
        <v>DP</v>
      </c>
      <c r="X6" s="4" t="str">
        <v>obj_0029e</v>
      </c>
      <c r="Y6" s="4" t="str">
        <f>IFERROR(_xll.qlRateHelperQuoteName(X6,Trigger),"")</f>
        <v>EUR3MDP3W_Shifted</v>
      </c>
      <c r="Z6" s="73">
        <f>IFERROR(_xll.qlRateHelperRate(X6,Trigger),"")</f>
        <v>-3.2227215200000005E-3</v>
      </c>
      <c r="AA6" s="105" t="str">
        <f>IF(ISERROR(_xll.qlSwapRateHelperSpread($X6)),IF(ISERROR(_xll.qlFuturesRateHelperConvexityAdjustment($X6)),"",_xll.qlFuturesRateHelperConvexityAdjustment($X6)),_xll.qlSwapRateHelperSpread($X6))</f>
        <v/>
      </c>
      <c r="AB6" s="5">
        <f>IFERROR(_xll.qlRateHelperEarliestDate(X6,Trigger),"")</f>
        <v>42748</v>
      </c>
      <c r="AC6" s="5">
        <f>IFERROR(_xll.qlRateHelperPillarDate(X6,Trigger),"")</f>
        <v>42769</v>
      </c>
      <c r="AD6" s="73">
        <v>-3.2689978200957366E-3</v>
      </c>
      <c r="AE6" s="180"/>
      <c r="AG6" s="108" t="s">
        <v>89</v>
      </c>
      <c r="AK6" s="110" t="s">
        <v>90</v>
      </c>
    </row>
    <row r="7" spans="1:39" ht="11.25" customHeight="1" x14ac:dyDescent="0.2">
      <c r="A7" s="62" t="s">
        <v>142</v>
      </c>
      <c r="B7" s="63" t="str">
        <f>Quote!C8</f>
        <v>2W</v>
      </c>
      <c r="C7" s="65" t="s">
        <v>37</v>
      </c>
      <c r="D7" s="125"/>
      <c r="E7" s="125"/>
      <c r="F7" s="125"/>
      <c r="G7" s="64" t="str">
        <f>Euribor!E6</f>
        <v>Euribor2WMX#0006</v>
      </c>
      <c r="H7" s="122" t="str">
        <f>IF(ISBLANK(Quote!Y8),"",Quote!Y8)</f>
        <v>EUR3MDP2W=#0006</v>
      </c>
      <c r="I7" s="122" t="str">
        <f>_xll.qlCompositeQuote(Currency&amp;"3M"&amp;A7&amp;B7&amp;"_Shifted",H7,BumpValue,"+",Permanent,Trigger,ObjectOverwrite)</f>
        <v>EUR3MDP2W_Shifted#0006</v>
      </c>
      <c r="J7" s="125"/>
      <c r="K7" s="67" t="str">
        <f>_xll.qlDepositRateHelper(,IF(Sensitivity,I7,H7),G7,Permanent,Trigger,ObjectOverwrite)</f>
        <v>obj_002c0#0006</v>
      </c>
      <c r="L7" s="51"/>
      <c r="M7" s="10" t="str">
        <f t="shared" si="0"/>
        <v>DP</v>
      </c>
      <c r="N7" s="95" t="str">
        <f t="shared" si="1"/>
        <v>obj_002c0#0006</v>
      </c>
      <c r="O7" s="146" t="str">
        <f>IFERROR(_xll.qlRateHelperQuoteName(N7,Trigger),"--")</f>
        <v>EUR3MDP2W_Shifted</v>
      </c>
      <c r="P7" s="99">
        <f>IFERROR(_xll.qlRateHelperQuoteValue($N7,Trigger),"--")</f>
        <v>-3.2365350700000002E-3</v>
      </c>
      <c r="Q7" s="98" t="b">
        <v>1</v>
      </c>
      <c r="R7" s="95">
        <v>10</v>
      </c>
      <c r="S7" s="95">
        <v>1</v>
      </c>
      <c r="T7" s="100">
        <f>IFERROR(_xll.qlRateHelperEarliestDate(N7,Trigger),"--")</f>
        <v>42748</v>
      </c>
      <c r="U7" s="100">
        <f>IFERROR(_xll.qlRateHelperPillarDate(N7,Trigger),"--")</f>
        <v>42762</v>
      </c>
      <c r="W7" s="4" t="str">
        <f t="shared" si="2"/>
        <v>DP</v>
      </c>
      <c r="X7" s="4" t="str">
        <v>obj_002d2</v>
      </c>
      <c r="Y7" s="4" t="str">
        <f>IFERROR(_xll.qlRateHelperQuoteName(X7,Trigger),"")</f>
        <v>EUR3MDP1M_Shifted</v>
      </c>
      <c r="Z7" s="73">
        <f>IFERROR(_xll.qlRateHelperRate(X7,Trigger),"")</f>
        <v>-3.2270000000000003E-3</v>
      </c>
      <c r="AA7" s="105" t="str">
        <f>IF(ISERROR(_xll.qlSwapRateHelperSpread($X7)),IF(ISERROR(_xll.qlFuturesRateHelperConvexityAdjustment($X7)),"",_xll.qlFuturesRateHelperConvexityAdjustment($X7)),_xll.qlSwapRateHelperSpread($X7))</f>
        <v/>
      </c>
      <c r="AB7" s="5">
        <f>IFERROR(_xll.qlRateHelperEarliestDate(X7,Trigger),"")</f>
        <v>42748</v>
      </c>
      <c r="AC7" s="5">
        <f>IFERROR(_xll.qlRateHelperPillarDate(X7,Trigger),"")</f>
        <v>42779</v>
      </c>
      <c r="AD7" s="73">
        <v>-3.2728449863378456E-3</v>
      </c>
      <c r="AE7" s="180"/>
    </row>
    <row r="8" spans="1:39" ht="11.25" customHeight="1" x14ac:dyDescent="0.2">
      <c r="A8" s="62" t="s">
        <v>142</v>
      </c>
      <c r="B8" s="63" t="str">
        <f>Quote!C9</f>
        <v>3W</v>
      </c>
      <c r="C8" s="65" t="s">
        <v>38</v>
      </c>
      <c r="D8" s="125"/>
      <c r="E8" s="125"/>
      <c r="F8" s="125"/>
      <c r="G8" s="64" t="str">
        <f>_xll.qlEuribor(,C8,,,Trigger)</f>
        <v>obj_00023#0006</v>
      </c>
      <c r="H8" s="122" t="str">
        <f>IF(ISBLANK(Quote!Y9),"",Quote!Y9)</f>
        <v>EUR3MDP3W=#0006</v>
      </c>
      <c r="I8" s="122" t="str">
        <f>_xll.qlCompositeQuote(Currency&amp;"3M"&amp;A8&amp;B8&amp;"_Shifted",H8,BumpValue,"+",Permanent,Trigger,ObjectOverwrite)</f>
        <v>EUR3MDP3W_Shifted#0006</v>
      </c>
      <c r="J8" s="125"/>
      <c r="K8" s="67" t="str">
        <f>_xll.qlDepositRateHelper(,IF(Sensitivity,I8,H8),G8,Permanent,Trigger,ObjectOverwrite)</f>
        <v>obj_0029e#0006</v>
      </c>
      <c r="L8" s="51"/>
      <c r="M8" s="10" t="str">
        <f t="shared" si="0"/>
        <v>DP</v>
      </c>
      <c r="N8" s="95" t="str">
        <f t="shared" si="1"/>
        <v>obj_0029e#0006</v>
      </c>
      <c r="O8" s="146" t="str">
        <f>IFERROR(_xll.qlRateHelperQuoteName(N8,Trigger),"--")</f>
        <v>EUR3MDP3W_Shifted</v>
      </c>
      <c r="P8" s="99">
        <f>IFERROR(_xll.qlRateHelperQuoteValue($N8,Trigger),"--")</f>
        <v>-3.2227215200000005E-3</v>
      </c>
      <c r="Q8" s="98" t="b">
        <v>1</v>
      </c>
      <c r="R8" s="95">
        <v>10</v>
      </c>
      <c r="S8" s="95">
        <v>1</v>
      </c>
      <c r="T8" s="100">
        <f>IFERROR(_xll.qlRateHelperEarliestDate(N8,Trigger),"--")</f>
        <v>42748</v>
      </c>
      <c r="U8" s="100">
        <f>IFERROR(_xll.qlRateHelperPillarDate(N8,Trigger),"--")</f>
        <v>42769</v>
      </c>
      <c r="W8" s="4" t="str">
        <f t="shared" si="2"/>
        <v>DP</v>
      </c>
      <c r="X8" s="4" t="str">
        <v>obj_002e6</v>
      </c>
      <c r="Y8" s="4" t="str">
        <f>IFERROR(_xll.qlRateHelperQuoteName(X8,Trigger),"")</f>
        <v>EUR3MDP2M_Shifted</v>
      </c>
      <c r="Z8" s="73">
        <f>IFERROR(_xll.qlRateHelperRate(X8,Trigger),"")</f>
        <v>-3.2260000000000001E-3</v>
      </c>
      <c r="AA8" s="105" t="str">
        <f>IF(ISERROR(_xll.qlSwapRateHelperSpread($X8)),IF(ISERROR(_xll.qlFuturesRateHelperConvexityAdjustment($X8)),"",_xll.qlFuturesRateHelperConvexityAdjustment($X8)),_xll.qlSwapRateHelperSpread($X8))</f>
        <v/>
      </c>
      <c r="AB8" s="5">
        <f>IFERROR(_xll.qlRateHelperEarliestDate(X8,Trigger),"")</f>
        <v>42748</v>
      </c>
      <c r="AC8" s="5">
        <f>IFERROR(_xll.qlRateHelperPillarDate(X8,Trigger),"")</f>
        <v>42807</v>
      </c>
      <c r="AD8" s="73">
        <v>-3.2719991289318789E-3</v>
      </c>
      <c r="AE8" s="180"/>
      <c r="AG8" s="108" t="s">
        <v>188</v>
      </c>
      <c r="AK8" s="384" t="b">
        <v>1</v>
      </c>
    </row>
    <row r="9" spans="1:39" ht="11.25" customHeight="1" x14ac:dyDescent="0.2">
      <c r="A9" s="62" t="s">
        <v>142</v>
      </c>
      <c r="B9" s="63" t="str">
        <f>Quote!C10</f>
        <v>1M</v>
      </c>
      <c r="C9" s="65" t="s">
        <v>2</v>
      </c>
      <c r="D9" s="125"/>
      <c r="E9" s="125"/>
      <c r="F9" s="125"/>
      <c r="G9" s="64" t="str">
        <f>Euribor!E7</f>
        <v>Euribor1MMX#0006</v>
      </c>
      <c r="H9" s="122" t="str">
        <f>IF(ISBLANK(Quote!Y10),"",Quote!Y10)</f>
        <v>EUR3MDP1M=#0006</v>
      </c>
      <c r="I9" s="122" t="str">
        <f>_xll.qlCompositeQuote(Currency&amp;"3M"&amp;A9&amp;B9&amp;"_Shifted",H9,BumpValue,"+",Permanent,Trigger,ObjectOverwrite)</f>
        <v>EUR3MDP1M_Shifted#0006</v>
      </c>
      <c r="J9" s="125"/>
      <c r="K9" s="67" t="str">
        <f>_xll.qlDepositRateHelper(,IF(Sensitivity,I9,H9),G9,Permanent,Trigger,ObjectOverwrite)</f>
        <v>obj_002d2#0006</v>
      </c>
      <c r="L9" s="51"/>
      <c r="M9" s="10" t="str">
        <f t="shared" si="0"/>
        <v>DP</v>
      </c>
      <c r="N9" s="95" t="str">
        <f t="shared" si="1"/>
        <v>obj_002d2#0006</v>
      </c>
      <c r="O9" s="146" t="str">
        <f>IFERROR(_xll.qlRateHelperQuoteName(N9,Trigger),"--")</f>
        <v>EUR3MDP1M_Shifted</v>
      </c>
      <c r="P9" s="99">
        <f>IFERROR(_xll.qlRateHelperQuoteValue($N9,Trigger),"--")</f>
        <v>-3.2270000000000003E-3</v>
      </c>
      <c r="Q9" s="98" t="b">
        <v>1</v>
      </c>
      <c r="R9" s="95">
        <v>10</v>
      </c>
      <c r="S9" s="95">
        <v>1</v>
      </c>
      <c r="T9" s="100">
        <f>IFERROR(_xll.qlRateHelperEarliestDate(N9,Trigger),"--")</f>
        <v>42748</v>
      </c>
      <c r="U9" s="100">
        <f>IFERROR(_xll.qlRateHelperPillarDate(N9,Trigger),"--")</f>
        <v>42779</v>
      </c>
      <c r="W9" s="4" t="str">
        <f t="shared" si="2"/>
        <v>DP</v>
      </c>
      <c r="X9" s="4" t="str">
        <v>obj_002a3</v>
      </c>
      <c r="Y9" s="4" t="str">
        <f>IFERROR(_xll.qlRateHelperQuoteName(X9,Trigger),"")</f>
        <v>EUR3MDP3M_Shifted</v>
      </c>
      <c r="Z9" s="73">
        <f>IFERROR(_xll.qlRateHelperRate(X9,Trigger),"")</f>
        <v>-3.2390000000000001E-3</v>
      </c>
      <c r="AA9" s="105" t="str">
        <f>IF(ISERROR(_xll.qlSwapRateHelperSpread($X9)),IF(ISERROR(_xll.qlFuturesRateHelperConvexityAdjustment($X9)),"",_xll.qlFuturesRateHelperConvexityAdjustment($X9)),_xll.qlSwapRateHelperSpread($X9))</f>
        <v/>
      </c>
      <c r="AB9" s="5">
        <f>IFERROR(_xll.qlRateHelperEarliestDate(X9,Trigger),"")</f>
        <v>42748</v>
      </c>
      <c r="AC9" s="5">
        <f>IFERROR(_xll.qlRateHelperPillarDate(X9,Trigger),"")</f>
        <v>42838</v>
      </c>
      <c r="AD9" s="73">
        <v>-3.2852376732652828E-3</v>
      </c>
      <c r="AE9" s="180"/>
      <c r="AH9" s="49" t="s">
        <v>127</v>
      </c>
    </row>
    <row r="10" spans="1:39" ht="11.25" customHeight="1" x14ac:dyDescent="0.2">
      <c r="A10" s="62" t="s">
        <v>142</v>
      </c>
      <c r="B10" s="63" t="str">
        <f>Quote!C11</f>
        <v>2M</v>
      </c>
      <c r="C10" s="65" t="s">
        <v>39</v>
      </c>
      <c r="D10" s="125"/>
      <c r="E10" s="125"/>
      <c r="F10" s="125"/>
      <c r="G10" s="64" t="str">
        <f>Euribor!E8</f>
        <v>Euribor2MMX#0006</v>
      </c>
      <c r="H10" s="122" t="str">
        <f>IF(ISBLANK(Quote!Y11),"",Quote!Y11)</f>
        <v>EUR3MDP2M=#0006</v>
      </c>
      <c r="I10" s="122" t="str">
        <f>_xll.qlCompositeQuote(Currency&amp;"3M"&amp;A10&amp;B10&amp;"_Shifted",H10,BumpValue,"+",Permanent,Trigger,ObjectOverwrite)</f>
        <v>EUR3MDP2M_Shifted#0006</v>
      </c>
      <c r="J10" s="125"/>
      <c r="K10" s="67" t="str">
        <f>_xll.qlDepositRateHelper(,IF(Sensitivity,I10,H10),G10,Permanent,Trigger,ObjectOverwrite)</f>
        <v>obj_002e6#0006</v>
      </c>
      <c r="L10" s="51"/>
      <c r="M10" s="10" t="str">
        <f t="shared" si="0"/>
        <v>DP</v>
      </c>
      <c r="N10" s="95" t="str">
        <f t="shared" si="1"/>
        <v>obj_002e6#0006</v>
      </c>
      <c r="O10" s="146" t="str">
        <f>IFERROR(_xll.qlRateHelperQuoteName(N10,Trigger),"--")</f>
        <v>EUR3MDP2M_Shifted</v>
      </c>
      <c r="P10" s="99">
        <f>IFERROR(_xll.qlRateHelperQuoteValue($N10,Trigger),"--")</f>
        <v>-3.2260000000000001E-3</v>
      </c>
      <c r="Q10" s="98" t="b">
        <v>1</v>
      </c>
      <c r="R10" s="95">
        <v>20</v>
      </c>
      <c r="S10" s="95">
        <v>1</v>
      </c>
      <c r="T10" s="100">
        <f>IFERROR(_xll.qlRateHelperEarliestDate(N10,Trigger),"--")</f>
        <v>42748</v>
      </c>
      <c r="U10" s="100">
        <f>IFERROR(_xll.qlRateHelperPillarDate(N10,Trigger),"--")</f>
        <v>42807</v>
      </c>
      <c r="W10" s="4" t="str">
        <f t="shared" si="2"/>
        <v>FRA</v>
      </c>
      <c r="X10" s="4" t="str">
        <v>obj_001ad</v>
      </c>
      <c r="Y10" s="4" t="str">
        <f>IFERROR(_xll.qlRateHelperQuoteName(X10,Trigger),"")</f>
        <v>EUR3MFRA1X4F=</v>
      </c>
      <c r="Z10" s="73">
        <f>IFERROR(_xll.qlRateHelperRate(X10,Trigger),"")</f>
        <v>-3.2700000000000003E-3</v>
      </c>
      <c r="AA10" s="105" t="str">
        <f>IF(ISERROR(_xll.qlSwapRateHelperSpread($X10)),IF(ISERROR(_xll.qlFuturesRateHelperConvexityAdjustment($X10)),"",_xll.qlFuturesRateHelperConvexityAdjustment($X10)),_xll.qlSwapRateHelperSpread($X10))</f>
        <v/>
      </c>
      <c r="AB10" s="5">
        <f>IFERROR(_xll.qlRateHelperEarliestDate(X10,Trigger),"")</f>
        <v>42779</v>
      </c>
      <c r="AC10" s="5">
        <f>IFERROR(_xll.qlRateHelperPillarDate(X10,Trigger),"")</f>
        <v>42870</v>
      </c>
      <c r="AD10" s="73">
        <v>-3.3050932358539686E-3</v>
      </c>
      <c r="AE10" s="180"/>
      <c r="AF10" s="77" t="s">
        <v>121</v>
      </c>
      <c r="AG10" s="77" t="s">
        <v>122</v>
      </c>
      <c r="AH10" s="77" t="s">
        <v>123</v>
      </c>
      <c r="AI10" s="77" t="s">
        <v>136</v>
      </c>
      <c r="AJ10" s="77" t="s">
        <v>124</v>
      </c>
      <c r="AK10" s="77" t="s">
        <v>137</v>
      </c>
      <c r="AL10" s="77" t="s">
        <v>125</v>
      </c>
      <c r="AM10" s="77" t="s">
        <v>126</v>
      </c>
    </row>
    <row r="11" spans="1:39" ht="11.25" customHeight="1" x14ac:dyDescent="0.2">
      <c r="A11" s="221" t="s">
        <v>142</v>
      </c>
      <c r="B11" s="280" t="str">
        <f>Quote!C12</f>
        <v>3M</v>
      </c>
      <c r="C11" s="281" t="s">
        <v>0</v>
      </c>
      <c r="D11" s="278"/>
      <c r="E11" s="278"/>
      <c r="F11" s="278"/>
      <c r="G11" s="223" t="str">
        <f>Euribor!E9</f>
        <v>Euribor3MMX#0006</v>
      </c>
      <c r="H11" s="336" t="str">
        <f>IF(ISBLANK(Quote!Y12),"",Quote!Y12)</f>
        <v>EUR3MDP3M=#0006</v>
      </c>
      <c r="I11" s="336" t="str">
        <f>_xll.qlCompositeQuote(Currency&amp;"3M"&amp;A11&amp;B11&amp;"_Shifted",H11,BumpValue,"+",Permanent,Trigger,ObjectOverwrite)</f>
        <v>EUR3MDP3M_Shifted#0006</v>
      </c>
      <c r="J11" s="278"/>
      <c r="K11" s="225" t="str">
        <f>_xll.qlDepositRateHelper(,IF(Sensitivity,I11,H11),G11,Permanent,Trigger,ObjectOverwrite)</f>
        <v>obj_002a3#0006</v>
      </c>
      <c r="L11" s="51"/>
      <c r="M11" s="10" t="str">
        <f t="shared" si="0"/>
        <v>DP</v>
      </c>
      <c r="N11" s="95" t="str">
        <f t="shared" si="1"/>
        <v>obj_002a3#0006</v>
      </c>
      <c r="O11" s="146" t="str">
        <f>IFERROR(_xll.qlRateHelperQuoteName(N11,Trigger),"--")</f>
        <v>EUR3MDP3M_Shifted</v>
      </c>
      <c r="P11" s="99">
        <f>IFERROR(_xll.qlRateHelperQuoteValue($N11,Trigger),"--")</f>
        <v>-3.2390000000000001E-3</v>
      </c>
      <c r="Q11" s="98" t="b">
        <v>1</v>
      </c>
      <c r="R11" s="95">
        <v>20</v>
      </c>
      <c r="S11" s="95">
        <v>1</v>
      </c>
      <c r="T11" s="100">
        <f>IFERROR(_xll.qlRateHelperEarliestDate(N11,Trigger),"--")</f>
        <v>42748</v>
      </c>
      <c r="U11" s="100">
        <f>IFERROR(_xll.qlRateHelperPillarDate(N11,Trigger),"--")</f>
        <v>42838</v>
      </c>
      <c r="W11" s="4" t="str">
        <f t="shared" si="2"/>
        <v>FRA</v>
      </c>
      <c r="X11" s="4" t="str">
        <v>obj_00237</v>
      </c>
      <c r="Y11" s="4" t="str">
        <f>IFERROR(_xll.qlRateHelperQuoteName(X11,Trigger),"")</f>
        <v>EUR3MFRA2X5F=</v>
      </c>
      <c r="Z11" s="73">
        <f>IFERROR(_xll.qlRateHelperRate(X11,Trigger),"")</f>
        <v>-3.29E-3</v>
      </c>
      <c r="AA11" s="105" t="str">
        <f>IF(ISERROR(_xll.qlSwapRateHelperSpread($X11)),IF(ISERROR(_xll.qlFuturesRateHelperConvexityAdjustment($X11)),"",_xll.qlFuturesRateHelperConvexityAdjustment($X11)),_xll.qlSwapRateHelperSpread($X11))</f>
        <v/>
      </c>
      <c r="AB11" s="5">
        <f>IFERROR(_xll.qlRateHelperEarliestDate(X11,Trigger),"")</f>
        <v>42807</v>
      </c>
      <c r="AC11" s="5">
        <f>IFERROR(_xll.qlRateHelperPillarDate(X11,Trigger),"")</f>
        <v>42899</v>
      </c>
      <c r="AD11" s="73">
        <v>-3.3111432594068704E-3</v>
      </c>
      <c r="AE11" s="180"/>
      <c r="AF11" s="159">
        <v>1</v>
      </c>
      <c r="AG11" s="160">
        <f>_xll.qlCalendarEndOfMonth(Calendar,Settlementdate,Trigger)</f>
        <v>42766</v>
      </c>
      <c r="AH11" s="159" t="str">
        <f t="shared" ref="AH11:AH23" si="3">Currency&amp;$AH$9&amp;AF11&amp;JumpSuffix&amp;QuoteSuffix</f>
        <v>EURJump1_SYNTHON_Quote</v>
      </c>
      <c r="AI11" s="189">
        <f>_xll.qlDayCounterYearFraction("actual/360",AG11,_xll.qlCalendarAdvance(Calendar,AG11,"1D",,,Trigger))</f>
        <v>2.7777777777777779E-3</v>
      </c>
      <c r="AJ11" s="161" t="e">
        <f>IF(_xll.qlQuoteIsValid(AH11,Trigger),_xll.qlQuoteValue(AH11,Trigger),1)</f>
        <v>#NUM!</v>
      </c>
      <c r="AK11" s="192" t="e">
        <f>-LN(AJ11)/AI11</f>
        <v>#NUM!</v>
      </c>
      <c r="AL11" s="195">
        <v>0</v>
      </c>
      <c r="AM11" s="161">
        <f>IF(ISBLANK(AL11),AH11,EXP(-AL11*AI11))</f>
        <v>1</v>
      </c>
    </row>
    <row r="12" spans="1:39" ht="11.25" customHeight="1" x14ac:dyDescent="0.2">
      <c r="A12" s="216" t="s">
        <v>142</v>
      </c>
      <c r="B12" s="284" t="str">
        <f>Quote!C13</f>
        <v>4M</v>
      </c>
      <c r="C12" s="333" t="s">
        <v>40</v>
      </c>
      <c r="D12" s="275"/>
      <c r="E12" s="275"/>
      <c r="F12" s="275"/>
      <c r="G12" s="125"/>
      <c r="H12" s="334" t="str">
        <f>IF(ISBLANK(Quote!Y13),"",Quote!Y13)</f>
        <v/>
      </c>
      <c r="I12" s="275"/>
      <c r="J12" s="275"/>
      <c r="K12" s="275"/>
      <c r="L12" s="51" t="s">
        <v>34</v>
      </c>
      <c r="M12" s="10" t="str">
        <f t="shared" si="0"/>
        <v>DP</v>
      </c>
      <c r="N12" s="95" t="str">
        <f t="shared" si="1"/>
        <v>--</v>
      </c>
      <c r="O12" s="146" t="str">
        <f>IFERROR(_xll.qlRateHelperQuoteName(N12,Trigger),"--")</f>
        <v>--</v>
      </c>
      <c r="P12" s="99" t="str">
        <f>IFERROR(_xll.qlRateHelperQuoteValue($N12,Trigger),"--")</f>
        <v>--</v>
      </c>
      <c r="Q12" s="98" t="b">
        <v>0</v>
      </c>
      <c r="R12" s="95">
        <v>20</v>
      </c>
      <c r="S12" s="95">
        <v>1</v>
      </c>
      <c r="T12" s="100" t="str">
        <f>IFERROR(_xll.qlRateHelperEarliestDate(N12,Trigger),"--")</f>
        <v>--</v>
      </c>
      <c r="U12" s="100" t="str">
        <f>IFERROR(_xll.qlRateHelperPillarDate(N12,Trigger),"--")</f>
        <v>--</v>
      </c>
      <c r="W12" s="4" t="str">
        <f t="shared" si="2"/>
        <v>FRA</v>
      </c>
      <c r="X12" s="4" t="str">
        <v>obj_00255</v>
      </c>
      <c r="Y12" s="4" t="str">
        <f>IFERROR(_xll.qlRateHelperQuoteName(X12,Trigger),"")</f>
        <v>EUR3MFRA3X6F=</v>
      </c>
      <c r="Z12" s="73">
        <f>IFERROR(_xll.qlRateHelperRate(X12,Trigger),"")</f>
        <v>-3.2600000000000003E-3</v>
      </c>
      <c r="AA12" s="105" t="str">
        <f>IF(ISERROR(_xll.qlSwapRateHelperSpread($X12)),IF(ISERROR(_xll.qlFuturesRateHelperConvexityAdjustment($X12)),"",_xll.qlFuturesRateHelperConvexityAdjustment($X12)),_xll.qlSwapRateHelperSpread($X12))</f>
        <v/>
      </c>
      <c r="AB12" s="5">
        <f>IFERROR(_xll.qlRateHelperEarliestDate(X12,Trigger),"")</f>
        <v>42838</v>
      </c>
      <c r="AC12" s="5">
        <f>IFERROR(_xll.qlRateHelperPillarDate(X12,Trigger),"")</f>
        <v>42929</v>
      </c>
      <c r="AD12" s="73">
        <v>-3.2958805553709091E-3</v>
      </c>
      <c r="AE12" s="180"/>
      <c r="AF12" s="162">
        <v>2</v>
      </c>
      <c r="AG12" s="163">
        <f>_xll.qlCalendarEndOfMonth(Calendar,_xll.qlCalendarAdvance(Calendar,AG11,"1m","mf",TRUE),Trigger)</f>
        <v>42794</v>
      </c>
      <c r="AH12" s="162" t="str">
        <f t="shared" si="3"/>
        <v>EURJump2_SYNTHON_Quote</v>
      </c>
      <c r="AI12" s="190">
        <f>_xll.qlDayCounterYearFraction("actual/360",AG12,_xll.qlCalendarAdvance(Calendar,AG12,"1D",,,Trigger))</f>
        <v>2.7777777777777779E-3</v>
      </c>
      <c r="AJ12" s="164" t="e">
        <f>IF(_xll.qlQuoteIsValid(AH12,Trigger),_xll.qlQuoteValue(AH12,Trigger),1)</f>
        <v>#NUM!</v>
      </c>
      <c r="AK12" s="193" t="e">
        <f t="shared" ref="AK12:AK23" si="4">-LN(AJ12)/AI12</f>
        <v>#NUM!</v>
      </c>
      <c r="AL12" s="196">
        <v>0</v>
      </c>
      <c r="AM12" s="164">
        <f t="shared" ref="AM12:AM23" si="5">IF(ISBLANK(AL12),AH12,EXP(-AL12*AI12))</f>
        <v>1</v>
      </c>
    </row>
    <row r="13" spans="1:39" ht="11.25" customHeight="1" x14ac:dyDescent="0.2">
      <c r="A13" s="62" t="s">
        <v>142</v>
      </c>
      <c r="B13" s="63" t="str">
        <f>Quote!C14</f>
        <v>5M</v>
      </c>
      <c r="C13" s="65" t="s">
        <v>41</v>
      </c>
      <c r="D13" s="125"/>
      <c r="E13" s="125"/>
      <c r="F13" s="125"/>
      <c r="G13" s="125"/>
      <c r="H13" s="122" t="str">
        <f>IF(ISBLANK(Quote!Y14),"",Quote!Y14)</f>
        <v/>
      </c>
      <c r="I13" s="125"/>
      <c r="J13" s="125"/>
      <c r="K13" s="125"/>
      <c r="L13" s="51"/>
      <c r="M13" s="10" t="str">
        <f t="shared" si="0"/>
        <v>DP</v>
      </c>
      <c r="N13" s="95" t="str">
        <f t="shared" si="1"/>
        <v>--</v>
      </c>
      <c r="O13" s="146" t="str">
        <f>IFERROR(_xll.qlRateHelperQuoteName(N13,Trigger),"--")</f>
        <v>--</v>
      </c>
      <c r="P13" s="99" t="str">
        <f>IFERROR(_xll.qlRateHelperQuoteValue($N13,Trigger),"--")</f>
        <v>--</v>
      </c>
      <c r="Q13" s="98" t="b">
        <v>0</v>
      </c>
      <c r="R13" s="95">
        <v>20</v>
      </c>
      <c r="S13" s="95">
        <v>1</v>
      </c>
      <c r="T13" s="100" t="str">
        <f>IFERROR(_xll.qlRateHelperEarliestDate(N13,Trigger),"--")</f>
        <v>--</v>
      </c>
      <c r="U13" s="100" t="str">
        <f>IFERROR(_xll.qlRateHelperPillarDate(N13,Trigger),"--")</f>
        <v>--</v>
      </c>
      <c r="W13" s="4" t="str">
        <f t="shared" si="2"/>
        <v>FRA</v>
      </c>
      <c r="X13" s="4" t="str">
        <v>obj_00295</v>
      </c>
      <c r="Y13" s="4" t="str">
        <f>IFERROR(_xll.qlRateHelperQuoteName(X13,Trigger),"")</f>
        <v>EUR3MFRA4X7F=</v>
      </c>
      <c r="Z13" s="73">
        <f>IFERROR(_xll.qlRateHelperRate(X13,Trigger),"")</f>
        <v>-3.2200000000000002E-3</v>
      </c>
      <c r="AA13" s="105" t="str">
        <f>IF(ISERROR(_xll.qlSwapRateHelperSpread($X13)),IF(ISERROR(_xll.qlFuturesRateHelperConvexityAdjustment($X13)),"",_xll.qlFuturesRateHelperConvexityAdjustment($X13)),_xll.qlSwapRateHelperSpread($X13))</f>
        <v/>
      </c>
      <c r="AB13" s="5">
        <f>IFERROR(_xll.qlRateHelperEarliestDate(X13,Trigger),"")</f>
        <v>42870</v>
      </c>
      <c r="AC13" s="5">
        <f>IFERROR(_xll.qlRateHelperPillarDate(X13,Trigger),"")</f>
        <v>42961</v>
      </c>
      <c r="AD13" s="73">
        <v>-3.2886755197204789E-3</v>
      </c>
      <c r="AE13" s="180"/>
      <c r="AF13" s="162">
        <v>3</v>
      </c>
      <c r="AG13" s="163">
        <f>_xll.qlCalendarEndOfMonth(Calendar,_xll.qlCalendarAdvance(Calendar,AG12,"1m","mf",TRUE),Trigger)</f>
        <v>42825</v>
      </c>
      <c r="AH13" s="162" t="str">
        <f t="shared" si="3"/>
        <v>EURJump3_SYNTHON_Quote</v>
      </c>
      <c r="AI13" s="190">
        <f>_xll.qlDayCounterYearFraction("actual/360",AG13,_xll.qlCalendarAdvance(Calendar,AG13,"1D",,,Trigger))</f>
        <v>8.3333333333333332E-3</v>
      </c>
      <c r="AJ13" s="164" t="e">
        <f>IF(_xll.qlQuoteIsValid(AH13,Trigger),_xll.qlQuoteValue(AH13,Trigger),1)</f>
        <v>#NUM!</v>
      </c>
      <c r="AK13" s="193" t="e">
        <f t="shared" si="4"/>
        <v>#NUM!</v>
      </c>
      <c r="AL13" s="196">
        <v>0</v>
      </c>
      <c r="AM13" s="164">
        <f t="shared" si="5"/>
        <v>1</v>
      </c>
    </row>
    <row r="14" spans="1:39" ht="11.25" customHeight="1" x14ac:dyDescent="0.2">
      <c r="A14" s="62" t="s">
        <v>142</v>
      </c>
      <c r="B14" s="63" t="str">
        <f>Quote!C15</f>
        <v>6M</v>
      </c>
      <c r="C14" s="65" t="s">
        <v>3</v>
      </c>
      <c r="D14" s="125"/>
      <c r="E14" s="125"/>
      <c r="F14" s="125"/>
      <c r="G14" s="125"/>
      <c r="H14" s="122" t="str">
        <f>IF(ISBLANK(Quote!Y15),"",Quote!Y15)</f>
        <v/>
      </c>
      <c r="I14" s="125"/>
      <c r="J14" s="125"/>
      <c r="K14" s="125"/>
      <c r="L14" s="51"/>
      <c r="M14" s="10" t="str">
        <f t="shared" si="0"/>
        <v>DP</v>
      </c>
      <c r="N14" s="95" t="str">
        <f t="shared" si="1"/>
        <v>--</v>
      </c>
      <c r="O14" s="146" t="str">
        <f>IFERROR(_xll.qlRateHelperQuoteName(N14,Trigger),"--")</f>
        <v>--</v>
      </c>
      <c r="P14" s="99" t="str">
        <f>IFERROR(_xll.qlRateHelperQuoteValue($N14,Trigger),"--")</f>
        <v>--</v>
      </c>
      <c r="Q14" s="98" t="b">
        <v>0</v>
      </c>
      <c r="R14" s="95">
        <v>20</v>
      </c>
      <c r="S14" s="95">
        <v>1</v>
      </c>
      <c r="T14" s="100" t="str">
        <f>IFERROR(_xll.qlRateHelperEarliestDate(N14,Trigger),"--")</f>
        <v>--</v>
      </c>
      <c r="U14" s="100" t="str">
        <f>IFERROR(_xll.qlRateHelperPillarDate(N14,Trigger),"--")</f>
        <v>--</v>
      </c>
      <c r="W14" s="4" t="str">
        <f t="shared" si="2"/>
        <v>FRA</v>
      </c>
      <c r="X14" s="4" t="str">
        <v>obj_00297</v>
      </c>
      <c r="Y14" s="4" t="str">
        <f>IFERROR(_xll.qlRateHelperQuoteName(X14,Trigger),"")</f>
        <v>EUR3MFRA5X8F=</v>
      </c>
      <c r="Z14" s="73">
        <f>IFERROR(_xll.qlRateHelperRate(X14,Trigger),"")</f>
        <v>-3.1900000000000001E-3</v>
      </c>
      <c r="AA14" s="105" t="str">
        <f>IF(ISERROR(_xll.qlSwapRateHelperSpread($X14)),IF(ISERROR(_xll.qlFuturesRateHelperConvexityAdjustment($X14)),"",_xll.qlFuturesRateHelperConvexityAdjustment($X14)),_xll.qlSwapRateHelperSpread($X14))</f>
        <v/>
      </c>
      <c r="AB14" s="5">
        <f>IFERROR(_xll.qlRateHelperEarliestDate(X14,Trigger),"")</f>
        <v>42899</v>
      </c>
      <c r="AC14" s="5">
        <f>IFERROR(_xll.qlRateHelperPillarDate(X14,Trigger),"")</f>
        <v>42991</v>
      </c>
      <c r="AD14" s="73">
        <v>-3.2827852364699503E-3</v>
      </c>
      <c r="AE14" s="180"/>
      <c r="AF14" s="162">
        <v>4</v>
      </c>
      <c r="AG14" s="163">
        <f>_xll.qlCalendarEndOfMonth(Calendar,_xll.qlCalendarAdvance(Calendar,AG13,"1m","mf",TRUE),Trigger)</f>
        <v>42853</v>
      </c>
      <c r="AH14" s="162" t="str">
        <f t="shared" si="3"/>
        <v>EURJump4_SYNTHON_Quote</v>
      </c>
      <c r="AI14" s="190">
        <f>_xll.qlDayCounterYearFraction("actual/360",AG14,_xll.qlCalendarAdvance(Calendar,AG14,"1D",,,Trigger))</f>
        <v>1.1111111111111112E-2</v>
      </c>
      <c r="AJ14" s="164" t="e">
        <f>IF(_xll.qlQuoteIsValid(AH14,Trigger),_xll.qlQuoteValue(AH14,Trigger),1)</f>
        <v>#NUM!</v>
      </c>
      <c r="AK14" s="193" t="e">
        <f t="shared" si="4"/>
        <v>#NUM!</v>
      </c>
      <c r="AL14" s="196">
        <v>0</v>
      </c>
      <c r="AM14" s="164">
        <f t="shared" si="5"/>
        <v>1</v>
      </c>
    </row>
    <row r="15" spans="1:39" ht="11.25" customHeight="1" x14ac:dyDescent="0.2">
      <c r="A15" s="62" t="s">
        <v>142</v>
      </c>
      <c r="B15" s="63" t="str">
        <f>Quote!C16</f>
        <v>7M</v>
      </c>
      <c r="C15" s="65" t="s">
        <v>42</v>
      </c>
      <c r="D15" s="125"/>
      <c r="E15" s="125"/>
      <c r="F15" s="125"/>
      <c r="G15" s="125"/>
      <c r="H15" s="122" t="str">
        <f>IF(ISBLANK(Quote!Y16),"",Quote!Y16)</f>
        <v/>
      </c>
      <c r="I15" s="125"/>
      <c r="J15" s="125"/>
      <c r="K15" s="125"/>
      <c r="L15" s="51"/>
      <c r="M15" s="10" t="str">
        <f t="shared" si="0"/>
        <v>DP</v>
      </c>
      <c r="N15" s="95" t="str">
        <f t="shared" si="1"/>
        <v>--</v>
      </c>
      <c r="O15" s="146" t="str">
        <f>IFERROR(_xll.qlRateHelperQuoteName(N15,Trigger),"--")</f>
        <v>--</v>
      </c>
      <c r="P15" s="99" t="str">
        <f>IFERROR(_xll.qlRateHelperQuoteValue($N15,Trigger),"--")</f>
        <v>--</v>
      </c>
      <c r="Q15" s="98" t="b">
        <v>0</v>
      </c>
      <c r="R15" s="95">
        <v>20</v>
      </c>
      <c r="S15" s="95">
        <v>1</v>
      </c>
      <c r="T15" s="100" t="str">
        <f>IFERROR(_xll.qlRateHelperEarliestDate(N15,Trigger),"--")</f>
        <v>--</v>
      </c>
      <c r="U15" s="100" t="str">
        <f>IFERROR(_xll.qlRateHelperPillarDate(N15,Trigger),"--")</f>
        <v>--</v>
      </c>
      <c r="W15" s="4" t="str">
        <f t="shared" si="2"/>
        <v>FRA</v>
      </c>
      <c r="X15" s="4" t="str">
        <v>obj_0017e</v>
      </c>
      <c r="Y15" s="4" t="str">
        <f>IFERROR(_xll.qlRateHelperQuoteName(X15,Trigger),"")</f>
        <v>EUR3MFRA6X9F=</v>
      </c>
      <c r="Z15" s="73">
        <f>IFERROR(_xll.qlRateHelperRate(X15,Trigger),"")</f>
        <v>-3.14E-3</v>
      </c>
      <c r="AA15" s="105" t="str">
        <f>IF(ISERROR(_xll.qlSwapRateHelperSpread($X15)),IF(ISERROR(_xll.qlFuturesRateHelperConvexityAdjustment($X15)),"",_xll.qlFuturesRateHelperConvexityAdjustment($X15)),_xll.qlSwapRateHelperSpread($X15))</f>
        <v/>
      </c>
      <c r="AB15" s="5">
        <f>IFERROR(_xll.qlRateHelperEarliestDate(X15,Trigger),"")</f>
        <v>42929</v>
      </c>
      <c r="AC15" s="5">
        <f>IFERROR(_xll.qlRateHelperPillarDate(X15,Trigger),"")</f>
        <v>43021</v>
      </c>
      <c r="AD15" s="73">
        <v>-3.2587488786448575E-3</v>
      </c>
      <c r="AE15" s="180"/>
      <c r="AF15" s="162">
        <v>5</v>
      </c>
      <c r="AG15" s="163">
        <f>_xll.qlCalendarEndOfMonth(Calendar,_xll.qlCalendarAdvance(Calendar,AG14,"1m","mf",TRUE),Trigger)</f>
        <v>42886</v>
      </c>
      <c r="AH15" s="162" t="str">
        <f t="shared" si="3"/>
        <v>EURJump5_SYNTHON_Quote</v>
      </c>
      <c r="AI15" s="190">
        <f>_xll.qlDayCounterYearFraction("actual/360",AG15,_xll.qlCalendarAdvance(Calendar,AG15,"1D",,,Trigger))</f>
        <v>2.7777777777777779E-3</v>
      </c>
      <c r="AJ15" s="164" t="e">
        <f>IF(_xll.qlQuoteIsValid(AH15,Trigger),_xll.qlQuoteValue(AH15,Trigger),1)</f>
        <v>#NUM!</v>
      </c>
      <c r="AK15" s="193" t="e">
        <f t="shared" si="4"/>
        <v>#NUM!</v>
      </c>
      <c r="AL15" s="196">
        <v>0</v>
      </c>
      <c r="AM15" s="164">
        <f t="shared" si="5"/>
        <v>1</v>
      </c>
    </row>
    <row r="16" spans="1:39" ht="11.25" customHeight="1" x14ac:dyDescent="0.2">
      <c r="A16" s="62" t="s">
        <v>142</v>
      </c>
      <c r="B16" s="63" t="str">
        <f>Quote!C17</f>
        <v>8M</v>
      </c>
      <c r="C16" s="65" t="s">
        <v>43</v>
      </c>
      <c r="D16" s="125"/>
      <c r="E16" s="125"/>
      <c r="F16" s="125"/>
      <c r="G16" s="125"/>
      <c r="H16" s="122" t="str">
        <f>IF(ISBLANK(Quote!Y17),"",Quote!Y17)</f>
        <v/>
      </c>
      <c r="I16" s="125"/>
      <c r="J16" s="125"/>
      <c r="K16" s="125"/>
      <c r="L16" s="51"/>
      <c r="M16" s="10" t="str">
        <f t="shared" si="0"/>
        <v>DP</v>
      </c>
      <c r="N16" s="95" t="str">
        <f t="shared" si="1"/>
        <v>--</v>
      </c>
      <c r="O16" s="146" t="str">
        <f>IFERROR(_xll.qlRateHelperQuoteName(N16,Trigger),"--")</f>
        <v>--</v>
      </c>
      <c r="P16" s="99" t="str">
        <f>IFERROR(_xll.qlRateHelperQuoteValue($N16,Trigger),"--")</f>
        <v>--</v>
      </c>
      <c r="Q16" s="98" t="b">
        <v>0</v>
      </c>
      <c r="R16" s="95">
        <v>20</v>
      </c>
      <c r="S16" s="95">
        <v>1</v>
      </c>
      <c r="T16" s="100" t="str">
        <f>IFERROR(_xll.qlRateHelperEarliestDate(N16,Trigger),"--")</f>
        <v>--</v>
      </c>
      <c r="U16" s="100" t="str">
        <f>IFERROR(_xll.qlRateHelperPillarDate(N16,Trigger),"--")</f>
        <v>--</v>
      </c>
      <c r="W16" s="4" t="str">
        <f t="shared" si="2"/>
        <v>FRA</v>
      </c>
      <c r="X16" s="4" t="str">
        <v>obj_001f6</v>
      </c>
      <c r="Y16" s="4" t="str">
        <f>IFERROR(_xll.qlRateHelperQuoteName(X16,Trigger),"")</f>
        <v>EUR3MFRA7X10F=</v>
      </c>
      <c r="Z16" s="73">
        <f>IFERROR(_xll.qlRateHelperRate(X16,Trigger),"")</f>
        <v>-3.0899999999999999E-3</v>
      </c>
      <c r="AA16" s="105" t="str">
        <f>IF(ISERROR(_xll.qlSwapRateHelperSpread($X16)),IF(ISERROR(_xll.qlFuturesRateHelperConvexityAdjustment($X16)),"",_xll.qlFuturesRateHelperConvexityAdjustment($X16)),_xll.qlSwapRateHelperSpread($X16))</f>
        <v/>
      </c>
      <c r="AB16" s="5">
        <f>IFERROR(_xll.qlRateHelperEarliestDate(X16,Trigger),"")</f>
        <v>42961</v>
      </c>
      <c r="AC16" s="5">
        <f>IFERROR(_xll.qlRateHelperPillarDate(X16,Trigger),"")</f>
        <v>43052</v>
      </c>
      <c r="AD16" s="73">
        <v>-3.242853065978385E-3</v>
      </c>
      <c r="AE16" s="180"/>
      <c r="AF16" s="162">
        <v>6</v>
      </c>
      <c r="AG16" s="163">
        <f>_xll.qlCalendarEndOfMonth(Calendar,_xll.qlCalendarAdvance(Calendar,AG15,"1m","mf",TRUE),Trigger)</f>
        <v>42916</v>
      </c>
      <c r="AH16" s="162" t="str">
        <f t="shared" si="3"/>
        <v>EURJump6_SYNTHON_Quote</v>
      </c>
      <c r="AI16" s="190">
        <f>_xll.qlDayCounterYearFraction("actual/360",AG16,_xll.qlCalendarAdvance(Calendar,AG16,"1D",,,Trigger))</f>
        <v>8.3333333333333332E-3</v>
      </c>
      <c r="AJ16" s="164" t="e">
        <f>IF(_xll.qlQuoteIsValid(AH16,Trigger),_xll.qlQuoteValue(AH16,Trigger),1)</f>
        <v>#NUM!</v>
      </c>
      <c r="AK16" s="193" t="e">
        <f t="shared" si="4"/>
        <v>#NUM!</v>
      </c>
      <c r="AL16" s="196">
        <v>0</v>
      </c>
      <c r="AM16" s="164">
        <f t="shared" si="5"/>
        <v>1</v>
      </c>
    </row>
    <row r="17" spans="1:39" ht="11.25" customHeight="1" x14ac:dyDescent="0.2">
      <c r="A17" s="62" t="s">
        <v>142</v>
      </c>
      <c r="B17" s="63" t="str">
        <f>Quote!C18</f>
        <v>9M</v>
      </c>
      <c r="C17" s="65" t="s">
        <v>44</v>
      </c>
      <c r="D17" s="125"/>
      <c r="E17" s="125"/>
      <c r="F17" s="125"/>
      <c r="G17" s="125"/>
      <c r="H17" s="122" t="str">
        <f>IF(ISBLANK(Quote!Y18),"",Quote!Y18)</f>
        <v/>
      </c>
      <c r="I17" s="125"/>
      <c r="J17" s="125"/>
      <c r="K17" s="125"/>
      <c r="L17" s="51"/>
      <c r="M17" s="10" t="str">
        <f t="shared" si="0"/>
        <v>DP</v>
      </c>
      <c r="N17" s="95" t="str">
        <f t="shared" si="1"/>
        <v>--</v>
      </c>
      <c r="O17" s="146" t="str">
        <f>IFERROR(_xll.qlRateHelperQuoteName(N17,Trigger),"--")</f>
        <v>--</v>
      </c>
      <c r="P17" s="99" t="str">
        <f>IFERROR(_xll.qlRateHelperQuoteValue($N17,Trigger),"--")</f>
        <v>--</v>
      </c>
      <c r="Q17" s="98" t="b">
        <v>0</v>
      </c>
      <c r="R17" s="95">
        <v>20</v>
      </c>
      <c r="S17" s="95">
        <v>1</v>
      </c>
      <c r="T17" s="100" t="str">
        <f>IFERROR(_xll.qlRateHelperEarliestDate(N17,Trigger),"--")</f>
        <v>--</v>
      </c>
      <c r="U17" s="100" t="str">
        <f>IFERROR(_xll.qlRateHelperPillarDate(N17,Trigger),"--")</f>
        <v>--</v>
      </c>
      <c r="W17" s="4" t="str">
        <f t="shared" si="2"/>
        <v>FRA</v>
      </c>
      <c r="X17" s="4" t="str">
        <v>obj_001d2</v>
      </c>
      <c r="Y17" s="4" t="str">
        <f>IFERROR(_xll.qlRateHelperQuoteName(X17,Trigger),"")</f>
        <v>EUR3MFRA8X11F=</v>
      </c>
      <c r="Z17" s="73">
        <f>IFERROR(_xll.qlRateHelperRate(X17,Trigger),"")</f>
        <v>-3.0399999999999997E-3</v>
      </c>
      <c r="AA17" s="105" t="str">
        <f>IF(ISERROR(_xll.qlSwapRateHelperSpread($X17)),IF(ISERROR(_xll.qlFuturesRateHelperConvexityAdjustment($X17)),"",_xll.qlFuturesRateHelperConvexityAdjustment($X17)),_xll.qlSwapRateHelperSpread($X17))</f>
        <v/>
      </c>
      <c r="AB17" s="5">
        <f>IFERROR(_xll.qlRateHelperEarliestDate(X17,Trigger),"")</f>
        <v>42991</v>
      </c>
      <c r="AC17" s="5">
        <f>IFERROR(_xll.qlRateHelperPillarDate(X17,Trigger),"")</f>
        <v>43082</v>
      </c>
      <c r="AD17" s="73">
        <v>-3.2287869877998887E-3</v>
      </c>
      <c r="AE17" s="180"/>
      <c r="AF17" s="162">
        <v>7</v>
      </c>
      <c r="AG17" s="163">
        <f>_xll.qlCalendarEndOfMonth(Calendar,_xll.qlCalendarAdvance(Calendar,AG16,"1m","mf",TRUE),Trigger)</f>
        <v>42947</v>
      </c>
      <c r="AH17" s="162" t="str">
        <f t="shared" si="3"/>
        <v>EURJump7_SYNTHON_Quote</v>
      </c>
      <c r="AI17" s="190">
        <f>_xll.qlDayCounterYearFraction("actual/360",AG17,_xll.qlCalendarAdvance(Calendar,AG17,"1D",,,Trigger))</f>
        <v>2.7777777777777779E-3</v>
      </c>
      <c r="AJ17" s="164" t="e">
        <f>IF(_xll.qlQuoteIsValid(AH17,Trigger),_xll.qlQuoteValue(AH17,Trigger),1)</f>
        <v>#NUM!</v>
      </c>
      <c r="AK17" s="193" t="e">
        <f t="shared" si="4"/>
        <v>#NUM!</v>
      </c>
      <c r="AL17" s="196">
        <v>0</v>
      </c>
      <c r="AM17" s="164">
        <f t="shared" si="5"/>
        <v>1</v>
      </c>
    </row>
    <row r="18" spans="1:39" ht="11.25" customHeight="1" x14ac:dyDescent="0.2">
      <c r="A18" s="62" t="s">
        <v>142</v>
      </c>
      <c r="B18" s="63" t="str">
        <f>Quote!C19</f>
        <v>10M</v>
      </c>
      <c r="C18" s="65" t="s">
        <v>45</v>
      </c>
      <c r="D18" s="125"/>
      <c r="E18" s="125"/>
      <c r="F18" s="125"/>
      <c r="G18" s="125"/>
      <c r="H18" s="122" t="str">
        <f>IF(ISBLANK(Quote!Y19),"",Quote!Y19)</f>
        <v/>
      </c>
      <c r="I18" s="125"/>
      <c r="J18" s="125"/>
      <c r="K18" s="125"/>
      <c r="L18" s="51"/>
      <c r="M18" s="10" t="str">
        <f t="shared" si="0"/>
        <v>DP</v>
      </c>
      <c r="N18" s="95" t="str">
        <f t="shared" si="1"/>
        <v>--</v>
      </c>
      <c r="O18" s="146" t="str">
        <f>IFERROR(_xll.qlRateHelperQuoteName(N18,Trigger),"--")</f>
        <v>--</v>
      </c>
      <c r="P18" s="99" t="str">
        <f>IFERROR(_xll.qlRateHelperQuoteValue($N18,Trigger),"--")</f>
        <v>--</v>
      </c>
      <c r="Q18" s="98" t="b">
        <v>0</v>
      </c>
      <c r="R18" s="95">
        <v>20</v>
      </c>
      <c r="S18" s="95">
        <v>1</v>
      </c>
      <c r="T18" s="100" t="str">
        <f>IFERROR(_xll.qlRateHelperEarliestDate(N18,Trigger),"--")</f>
        <v>--</v>
      </c>
      <c r="U18" s="100" t="str">
        <f>IFERROR(_xll.qlRateHelperPillarDate(N18,Trigger),"--")</f>
        <v>--</v>
      </c>
      <c r="W18" s="4" t="str">
        <f t="shared" si="2"/>
        <v>FRA</v>
      </c>
      <c r="X18" s="4" t="str">
        <v>obj_0019a</v>
      </c>
      <c r="Y18" s="4" t="str">
        <f>IFERROR(_xll.qlRateHelperQuoteName(X18,Trigger),"")</f>
        <v>EUR3MFRA9X12F=</v>
      </c>
      <c r="Z18" s="73">
        <f>IFERROR(_xll.qlRateHelperRate(X18,Trigger),"")</f>
        <v>-2.98E-3</v>
      </c>
      <c r="AA18" s="105" t="str">
        <f>IF(ISERROR(_xll.qlSwapRateHelperSpread($X18)),IF(ISERROR(_xll.qlFuturesRateHelperConvexityAdjustment($X18)),"",_xll.qlFuturesRateHelperConvexityAdjustment($X18)),_xll.qlSwapRateHelperSpread($X18))</f>
        <v/>
      </c>
      <c r="AB18" s="5">
        <f>IFERROR(_xll.qlRateHelperEarliestDate(X18,Trigger),"")</f>
        <v>43021</v>
      </c>
      <c r="AC18" s="5">
        <f>IFERROR(_xll.qlRateHelperPillarDate(X18,Trigger),"")</f>
        <v>43115</v>
      </c>
      <c r="AD18" s="73">
        <v>-3.1985827924649831E-3</v>
      </c>
      <c r="AE18" s="180"/>
      <c r="AF18" s="162">
        <v>8</v>
      </c>
      <c r="AG18" s="163">
        <f>_xll.qlCalendarEndOfMonth(Calendar,_xll.qlCalendarAdvance(Calendar,AG17,"1m","mf",TRUE),Trigger)</f>
        <v>42978</v>
      </c>
      <c r="AH18" s="162" t="str">
        <f t="shared" si="3"/>
        <v>EURJump8_SYNTHON_Quote</v>
      </c>
      <c r="AI18" s="190">
        <f>_xll.qlDayCounterYearFraction("actual/360",AG18,_xll.qlCalendarAdvance(Calendar,AG18,"1D",,,Trigger))</f>
        <v>2.7777777777777779E-3</v>
      </c>
      <c r="AJ18" s="164" t="e">
        <f>IF(_xll.qlQuoteIsValid(AH18,Trigger),_xll.qlQuoteValue(AH18,Trigger),1)</f>
        <v>#NUM!</v>
      </c>
      <c r="AK18" s="193" t="e">
        <f t="shared" si="4"/>
        <v>#NUM!</v>
      </c>
      <c r="AL18" s="196">
        <v>0</v>
      </c>
      <c r="AM18" s="164">
        <f t="shared" si="5"/>
        <v>1</v>
      </c>
    </row>
    <row r="19" spans="1:39" ht="11.25" customHeight="1" x14ac:dyDescent="0.2">
      <c r="A19" s="62" t="s">
        <v>142</v>
      </c>
      <c r="B19" s="63" t="str">
        <f>Quote!C20</f>
        <v>11M</v>
      </c>
      <c r="C19" s="65" t="s">
        <v>46</v>
      </c>
      <c r="D19" s="125"/>
      <c r="E19" s="125"/>
      <c r="F19" s="125"/>
      <c r="G19" s="125"/>
      <c r="H19" s="122" t="str">
        <f>IF(ISBLANK(Quote!Y20),"",Quote!Y20)</f>
        <v/>
      </c>
      <c r="I19" s="125"/>
      <c r="J19" s="125"/>
      <c r="K19" s="125"/>
      <c r="L19" s="51"/>
      <c r="M19" s="10" t="str">
        <f t="shared" si="0"/>
        <v>DP</v>
      </c>
      <c r="N19" s="95" t="str">
        <f t="shared" si="1"/>
        <v>--</v>
      </c>
      <c r="O19" s="146" t="str">
        <f>IFERROR(_xll.qlRateHelperQuoteName(N19,Trigger),"--")</f>
        <v>--</v>
      </c>
      <c r="P19" s="99" t="str">
        <f>IFERROR(_xll.qlRateHelperQuoteValue($N19,Trigger),"--")</f>
        <v>--</v>
      </c>
      <c r="Q19" s="98" t="b">
        <v>0</v>
      </c>
      <c r="R19" s="95">
        <v>20</v>
      </c>
      <c r="S19" s="95">
        <v>1</v>
      </c>
      <c r="T19" s="100" t="str">
        <f>IFERROR(_xll.qlRateHelperEarliestDate(N19,Trigger),"--")</f>
        <v>--</v>
      </c>
      <c r="U19" s="100" t="str">
        <f>IFERROR(_xll.qlRateHelperPillarDate(N19,Trigger),"--")</f>
        <v>--</v>
      </c>
      <c r="W19" s="4" t="str">
        <f t="shared" si="2"/>
        <v>FRA</v>
      </c>
      <c r="X19" s="4" t="str">
        <v>obj_001b6</v>
      </c>
      <c r="Y19" s="4" t="str">
        <f>IFERROR(_xll.qlRateHelperQuoteName(X19,Trigger),"")</f>
        <v>EUR3MFRA10X13F=</v>
      </c>
      <c r="Z19" s="73">
        <f>IFERROR(_xll.qlRateHelperRate(X19,Trigger),"")</f>
        <v>-2.9299999999999999E-3</v>
      </c>
      <c r="AA19" s="105" t="str">
        <f>IF(ISERROR(_xll.qlSwapRateHelperSpread($X19)),IF(ISERROR(_xll.qlFuturesRateHelperConvexityAdjustment($X19)),"",_xll.qlFuturesRateHelperConvexityAdjustment($X19)),_xll.qlSwapRateHelperSpread($X19))</f>
        <v/>
      </c>
      <c r="AB19" s="5">
        <f>IFERROR(_xll.qlRateHelperEarliestDate(X19,Trigger),"")</f>
        <v>43052</v>
      </c>
      <c r="AC19" s="5">
        <f>IFERROR(_xll.qlRateHelperPillarDate(X19,Trigger),"")</f>
        <v>43144</v>
      </c>
      <c r="AD19" s="73">
        <v>-3.1801992465425879E-3</v>
      </c>
      <c r="AE19" s="180"/>
      <c r="AF19" s="162">
        <v>9</v>
      </c>
      <c r="AG19" s="163">
        <f>_xll.qlCalendarEndOfMonth(Calendar,_xll.qlCalendarAdvance(Calendar,AG18,"1m","mf",TRUE),Trigger)</f>
        <v>43007</v>
      </c>
      <c r="AH19" s="162" t="str">
        <f t="shared" si="3"/>
        <v>EURJump9_SYNTHON_Quote</v>
      </c>
      <c r="AI19" s="190">
        <f>_xll.qlDayCounterYearFraction("actual/360",AG19,_xll.qlCalendarAdvance(Calendar,AG19,"1D",,,Trigger))</f>
        <v>8.3333333333333332E-3</v>
      </c>
      <c r="AJ19" s="164" t="e">
        <f>IF(_xll.qlQuoteIsValid(AH19,Trigger),_xll.qlQuoteValue(AH19,Trigger),1)</f>
        <v>#NUM!</v>
      </c>
      <c r="AK19" s="193" t="e">
        <f t="shared" si="4"/>
        <v>#NUM!</v>
      </c>
      <c r="AL19" s="196">
        <v>0</v>
      </c>
      <c r="AM19" s="164">
        <f t="shared" si="5"/>
        <v>1</v>
      </c>
    </row>
    <row r="20" spans="1:39" ht="11.25" customHeight="1" x14ac:dyDescent="0.2">
      <c r="A20" s="1" t="s">
        <v>142</v>
      </c>
      <c r="B20" s="8" t="str">
        <f>Quote!C21</f>
        <v>12M</v>
      </c>
      <c r="C20" s="9" t="s">
        <v>116</v>
      </c>
      <c r="D20" s="126"/>
      <c r="E20" s="126"/>
      <c r="F20" s="126"/>
      <c r="G20" s="126"/>
      <c r="H20" s="123" t="str">
        <f>IF(ISBLANK(Quote!Y21),"",Quote!Y21)</f>
        <v/>
      </c>
      <c r="I20" s="126"/>
      <c r="J20" s="126"/>
      <c r="K20" s="126"/>
      <c r="L20" s="51"/>
      <c r="M20" s="11" t="str">
        <f t="shared" si="0"/>
        <v>DP</v>
      </c>
      <c r="N20" s="96" t="str">
        <f t="shared" si="1"/>
        <v>--</v>
      </c>
      <c r="O20" s="147" t="str">
        <f>IFERROR(_xll.qlRateHelperQuoteName(N20,Trigger),"--")</f>
        <v>--</v>
      </c>
      <c r="P20" s="102" t="str">
        <f>IFERROR(_xll.qlRateHelperQuoteValue($N20,Trigger),"--")</f>
        <v>--</v>
      </c>
      <c r="Q20" s="101" t="b">
        <v>0</v>
      </c>
      <c r="R20" s="96">
        <v>20</v>
      </c>
      <c r="S20" s="96">
        <v>1</v>
      </c>
      <c r="T20" s="103" t="str">
        <f>IFERROR(_xll.qlRateHelperEarliestDate(N20,Trigger),"--")</f>
        <v>--</v>
      </c>
      <c r="U20" s="103" t="str">
        <f>IFERROR(_xll.qlRateHelperPillarDate(N20,Trigger),"--")</f>
        <v>--</v>
      </c>
      <c r="W20" s="4" t="str">
        <f t="shared" si="2"/>
        <v>FRA</v>
      </c>
      <c r="X20" s="4" t="str">
        <v>obj_00176</v>
      </c>
      <c r="Y20" s="4" t="str">
        <f>IFERROR(_xll.qlRateHelperQuoteName(X20,Trigger),"")</f>
        <v>EUR3MFRA11X14F=</v>
      </c>
      <c r="Z20" s="73">
        <f>IFERROR(_xll.qlRateHelperRate(X20,Trigger),"")</f>
        <v>-2.8899999999999998E-3</v>
      </c>
      <c r="AA20" s="105" t="str">
        <f>IF(ISERROR(_xll.qlSwapRateHelperSpread($X20)),IF(ISERROR(_xll.qlFuturesRateHelperConvexityAdjustment($X20)),"",_xll.qlFuturesRateHelperConvexityAdjustment($X20)),_xll.qlSwapRateHelperSpread($X20))</f>
        <v/>
      </c>
      <c r="AB20" s="5">
        <f>IFERROR(_xll.qlRateHelperEarliestDate(X20,Trigger),"")</f>
        <v>43082</v>
      </c>
      <c r="AC20" s="5">
        <f>IFERROR(_xll.qlRateHelperPillarDate(X20,Trigger),"")</f>
        <v>43172</v>
      </c>
      <c r="AD20" s="73">
        <v>-3.1659160562271024E-3</v>
      </c>
      <c r="AE20" s="180"/>
      <c r="AF20" s="162">
        <v>10</v>
      </c>
      <c r="AG20" s="163">
        <f>_xll.qlCalendarEndOfMonth(Calendar,_xll.qlCalendarAdvance(Calendar,AG19,"1m","mf",TRUE),Trigger)</f>
        <v>43039</v>
      </c>
      <c r="AH20" s="162" t="str">
        <f t="shared" si="3"/>
        <v>EURJump10_SYNTHON_Quote</v>
      </c>
      <c r="AI20" s="190">
        <f>_xll.qlDayCounterYearFraction("actual/360",AG20,_xll.qlCalendarAdvance(Calendar,AG20,"1D",,,Trigger))</f>
        <v>2.7777777777777779E-3</v>
      </c>
      <c r="AJ20" s="164" t="e">
        <f>IF(_xll.qlQuoteIsValid(AH20,Trigger),_xll.qlQuoteValue(AH20,Trigger),1)</f>
        <v>#NUM!</v>
      </c>
      <c r="AK20" s="193" t="e">
        <f t="shared" si="4"/>
        <v>#NUM!</v>
      </c>
      <c r="AL20" s="196">
        <v>0</v>
      </c>
      <c r="AM20" s="164">
        <f t="shared" si="5"/>
        <v>1</v>
      </c>
    </row>
    <row r="21" spans="1:39" ht="11.25" customHeight="1" x14ac:dyDescent="0.2">
      <c r="B21" s="49"/>
      <c r="D21" s="49"/>
      <c r="E21" s="49"/>
      <c r="F21" s="49"/>
      <c r="G21" s="49"/>
      <c r="H21" s="104"/>
      <c r="I21" s="104"/>
      <c r="L21" s="51"/>
      <c r="M21" s="10" t="str">
        <f>A23</f>
        <v>FRA</v>
      </c>
      <c r="N21" s="95" t="str">
        <f>IF(ISBLANK(K23),"--",K23)</f>
        <v>obj_001ad#0006</v>
      </c>
      <c r="O21" s="146" t="str">
        <f>IFERROR(_xll.qlRateHelperQuoteName(N21,Trigger),"--")</f>
        <v>EUR3MFRA1X4F=</v>
      </c>
      <c r="P21" s="99">
        <f>IFERROR(_xll.qlRateHelperQuoteValue($N21,Trigger),"--")</f>
        <v>-3.2700000000000003E-3</v>
      </c>
      <c r="Q21" s="98" t="b">
        <v>1</v>
      </c>
      <c r="R21" s="95">
        <v>70</v>
      </c>
      <c r="S21" s="95">
        <v>20</v>
      </c>
      <c r="T21" s="100">
        <f>IFERROR(_xll.qlRateHelperEarliestDate(N21,Trigger),"--")</f>
        <v>42779</v>
      </c>
      <c r="U21" s="100">
        <f>IFERROR(_xll.qlRateHelperPillarDate(N21,Trigger),"--")</f>
        <v>42870</v>
      </c>
      <c r="W21" s="4" t="str">
        <f t="shared" si="2"/>
        <v>FRA</v>
      </c>
      <c r="X21" s="4" t="str">
        <v>obj_001b8</v>
      </c>
      <c r="Y21" s="4" t="str">
        <f>IFERROR(_xll.qlRateHelperQuoteName(X21,Trigger),"")</f>
        <v>EUR3MFRA12X15F=</v>
      </c>
      <c r="Z21" s="73">
        <f>IFERROR(_xll.qlRateHelperRate(X21,Trigger),"")</f>
        <v>-2.8100000000000004E-3</v>
      </c>
      <c r="AA21" s="105" t="str">
        <f>IF(ISERROR(_xll.qlSwapRateHelperSpread($X21)),IF(ISERROR(_xll.qlFuturesRateHelperConvexityAdjustment($X21)),"",_xll.qlFuturesRateHelperConvexityAdjustment($X21)),_xll.qlSwapRateHelperSpread($X21))</f>
        <v/>
      </c>
      <c r="AB21" s="5">
        <f>IFERROR(_xll.qlRateHelperEarliestDate(X21,Trigger),"")</f>
        <v>43115</v>
      </c>
      <c r="AC21" s="5">
        <f>IFERROR(_xll.qlRateHelperPillarDate(X21,Trigger),"")</f>
        <v>43203</v>
      </c>
      <c r="AD21" s="73">
        <v>-3.1322953210073121E-3</v>
      </c>
      <c r="AE21" s="180"/>
      <c r="AF21" s="162">
        <v>11</v>
      </c>
      <c r="AG21" s="163">
        <f>_xll.qlCalendarEndOfMonth(Calendar,_xll.qlCalendarAdvance(Calendar,AG20,"1m","mf",TRUE),Trigger)</f>
        <v>43069</v>
      </c>
      <c r="AH21" s="162" t="str">
        <f t="shared" si="3"/>
        <v>EURJump11_SYNTHON_Quote</v>
      </c>
      <c r="AI21" s="190">
        <f>_xll.qlDayCounterYearFraction("actual/360",AG21,_xll.qlCalendarAdvance(Calendar,AG21,"1D",,,Trigger))</f>
        <v>2.7777777777777779E-3</v>
      </c>
      <c r="AJ21" s="164" t="e">
        <f>IF(_xll.qlQuoteIsValid(AH21,Trigger),_xll.qlQuoteValue(AH21,Trigger),1)</f>
        <v>#NUM!</v>
      </c>
      <c r="AK21" s="193" t="e">
        <f t="shared" si="4"/>
        <v>#NUM!</v>
      </c>
      <c r="AL21" s="196">
        <v>0</v>
      </c>
      <c r="AM21" s="164">
        <f t="shared" si="5"/>
        <v>1</v>
      </c>
    </row>
    <row r="22" spans="1:39" ht="11.25" customHeight="1" x14ac:dyDescent="0.2">
      <c r="A22" s="68" t="s">
        <v>9</v>
      </c>
      <c r="B22" s="68" t="s">
        <v>93</v>
      </c>
      <c r="C22" s="68" t="s">
        <v>94</v>
      </c>
      <c r="D22" s="68"/>
      <c r="E22" s="68"/>
      <c r="F22" s="68"/>
      <c r="G22" s="68" t="s">
        <v>4</v>
      </c>
      <c r="H22" s="68" t="s">
        <v>1</v>
      </c>
      <c r="I22" s="68"/>
      <c r="J22" s="68"/>
      <c r="K22" s="68" t="s">
        <v>25</v>
      </c>
      <c r="L22" s="51"/>
      <c r="M22" s="10" t="str">
        <f t="shared" ref="M22:M32" si="6">A24</f>
        <v>FRA</v>
      </c>
      <c r="N22" s="95" t="str">
        <f t="shared" ref="N22:N32" si="7">IF(ISBLANK(K24),"--",K24)</f>
        <v>obj_00237#0006</v>
      </c>
      <c r="O22" s="146" t="str">
        <f>IFERROR(_xll.qlRateHelperQuoteName(N22,Trigger),"--")</f>
        <v>EUR3MFRA2X5F=</v>
      </c>
      <c r="P22" s="99">
        <f>IFERROR(_xll.qlRateHelperQuoteValue($N22,Trigger),"--")</f>
        <v>-3.29E-3</v>
      </c>
      <c r="Q22" s="98" t="b">
        <v>1</v>
      </c>
      <c r="R22" s="95">
        <v>70</v>
      </c>
      <c r="S22" s="95">
        <v>20</v>
      </c>
      <c r="T22" s="100">
        <f>IFERROR(_xll.qlRateHelperEarliestDate(N22,Trigger),"--")</f>
        <v>42807</v>
      </c>
      <c r="U22" s="100">
        <f>IFERROR(_xll.qlRateHelperPillarDate(N22,Trigger),"--")</f>
        <v>42899</v>
      </c>
      <c r="W22" s="4" t="str">
        <f t="shared" si="2"/>
        <v>FUT</v>
      </c>
      <c r="X22" s="4" t="str">
        <v>obj_003ee</v>
      </c>
      <c r="Y22" s="4" t="str">
        <f>IFERROR(_xll.qlRateHelperQuoteName(X22,Trigger),"")</f>
        <v>EUR3MFUTH8_Shifted</v>
      </c>
      <c r="Z22" s="73">
        <f>IFERROR(_xll.qlRateHelperRate(X22,Trigger),"")</f>
        <v>-2.6749999999999829E-3</v>
      </c>
      <c r="AA22" s="105">
        <f>IF(ISERROR(_xll.qlSwapRateHelperSpread($X22)),IF(ISERROR(_xll.qlFuturesRateHelperConvexityAdjustment($X22)),"",_xll.qlFuturesRateHelperConvexityAdjustment($X22)),_xll.qlSwapRateHelperSpread($X22))</f>
        <v>0</v>
      </c>
      <c r="AB22" s="5">
        <f>IFERROR(_xll.qlRateHelperEarliestDate(X22,Trigger),"")</f>
        <v>43180</v>
      </c>
      <c r="AC22" s="5">
        <f>IFERROR(_xll.qlRateHelperPillarDate(X22,Trigger),"")</f>
        <v>43272</v>
      </c>
      <c r="AD22" s="73">
        <v>-3.080762850909774E-3</v>
      </c>
      <c r="AE22" s="180"/>
      <c r="AF22" s="162">
        <v>12</v>
      </c>
      <c r="AG22" s="163">
        <f>_xll.qlCalendarEndOfMonth(Calendar,_xll.qlCalendarAdvance(Calendar,AG21,"1m","mf",TRUE),Trigger)</f>
        <v>43098</v>
      </c>
      <c r="AH22" s="162" t="str">
        <f t="shared" si="3"/>
        <v>EURJump12_SYNTHON_Quote</v>
      </c>
      <c r="AI22" s="190">
        <f>_xll.qlDayCounterYearFraction("actual/360",AG22,_xll.qlCalendarAdvance(Calendar,AG22,"1D",,,Trigger))</f>
        <v>1.1111111111111112E-2</v>
      </c>
      <c r="AJ22" s="164" t="e">
        <f>IF(_xll.qlQuoteIsValid(AH22,Trigger),_xll.qlQuoteValue(AH22,Trigger),1)</f>
        <v>#NUM!</v>
      </c>
      <c r="AK22" s="193" t="e">
        <f t="shared" si="4"/>
        <v>#NUM!</v>
      </c>
      <c r="AL22" s="196">
        <v>0</v>
      </c>
      <c r="AM22" s="164">
        <f t="shared" si="5"/>
        <v>1</v>
      </c>
    </row>
    <row r="23" spans="1:39" ht="11.25" customHeight="1" x14ac:dyDescent="0.2">
      <c r="A23" s="56" t="s">
        <v>95</v>
      </c>
      <c r="B23" s="115">
        <v>1</v>
      </c>
      <c r="C23" s="386" t="str">
        <f>"X"&amp;B23+3</f>
        <v>X4</v>
      </c>
      <c r="D23" s="125"/>
      <c r="E23" s="125"/>
      <c r="F23" s="125"/>
      <c r="G23" s="58" t="str">
        <f t="shared" ref="G23:G34" si="8">$G$11</f>
        <v>Euribor3MMX#0006</v>
      </c>
      <c r="H23" s="118" t="str">
        <f>IF(ISBLANK(Quote!Y22),"",Quote!Y22)</f>
        <v>EUR3MFRA1X4F=#0006</v>
      </c>
      <c r="I23" s="125"/>
      <c r="J23" s="61"/>
      <c r="K23" s="61" t="str">
        <f>_xll.qlFraRateHelper(,H23,B23&amp;"M",G23,PillarDate,,Permanent,Trigger,ObjectOverwrite)</f>
        <v>obj_001ad#0006</v>
      </c>
      <c r="L23" s="51"/>
      <c r="M23" s="10" t="str">
        <f t="shared" si="6"/>
        <v>FRA</v>
      </c>
      <c r="N23" s="95" t="str">
        <f t="shared" si="7"/>
        <v>obj_00255#0006</v>
      </c>
      <c r="O23" s="146" t="str">
        <f>IFERROR(_xll.qlRateHelperQuoteName(N23,Trigger),"--")</f>
        <v>EUR3MFRA3X6F=</v>
      </c>
      <c r="P23" s="99">
        <f>IFERROR(_xll.qlRateHelperQuoteValue($N23,Trigger),"--")</f>
        <v>-3.2600000000000003E-3</v>
      </c>
      <c r="Q23" s="98" t="b">
        <v>1</v>
      </c>
      <c r="R23" s="95">
        <v>70</v>
      </c>
      <c r="S23" s="95">
        <v>20</v>
      </c>
      <c r="T23" s="100">
        <f>IFERROR(_xll.qlRateHelperEarliestDate(N23,Trigger),"--")</f>
        <v>42838</v>
      </c>
      <c r="U23" s="100">
        <f>IFERROR(_xll.qlRateHelperPillarDate(N23,Trigger),"--")</f>
        <v>42929</v>
      </c>
      <c r="W23" s="4" t="str">
        <f t="shared" si="2"/>
        <v>FUT</v>
      </c>
      <c r="X23" s="4" t="str">
        <v>obj_003f1</v>
      </c>
      <c r="Y23" s="4" t="str">
        <f>IFERROR(_xll.qlRateHelperQuoteName(X23,Trigger),"")</f>
        <v>EUR3MFUTM8_Shifted</v>
      </c>
      <c r="Z23" s="73">
        <f>IFERROR(_xll.qlRateHelperRate(X23,Trigger),"")</f>
        <v>-2.4250000000001215E-3</v>
      </c>
      <c r="AA23" s="105">
        <f>IF(ISERROR(_xll.qlSwapRateHelperSpread($X23)),IF(ISERROR(_xll.qlFuturesRateHelperConvexityAdjustment($X23)),"",_xll.qlFuturesRateHelperConvexityAdjustment($X23)),_xll.qlSwapRateHelperSpread($X23))</f>
        <v>0</v>
      </c>
      <c r="AB23" s="5">
        <f>IFERROR(_xll.qlRateHelperEarliestDate(X23,Trigger),"")</f>
        <v>43271</v>
      </c>
      <c r="AC23" s="5">
        <f>IFERROR(_xll.qlRateHelperPillarDate(X23,Trigger),"")</f>
        <v>43363</v>
      </c>
      <c r="AD23" s="73">
        <v>-2.9888398873117498E-3</v>
      </c>
      <c r="AE23" s="180"/>
      <c r="AF23" s="165">
        <v>13</v>
      </c>
      <c r="AG23" s="166">
        <f>_xll.qlCalendarAdjust(Calendar,DATE(YEAR(AG11)+1,12,31),"preceding",Trigger)</f>
        <v>43465</v>
      </c>
      <c r="AH23" s="165" t="str">
        <f t="shared" si="3"/>
        <v>EURJump13_SYNTHON_Quote</v>
      </c>
      <c r="AI23" s="191">
        <f>_xll.qlDayCounterYearFraction("actual/360",AG23,_xll.qlCalendarAdvance(Calendar,AG23,"1D",,,Trigger))</f>
        <v>5.5555555555555558E-3</v>
      </c>
      <c r="AJ23" s="167" t="e">
        <f>IF(_xll.qlQuoteIsValid(AH23,Trigger),_xll.qlQuoteValue(AH23,Trigger),1)</f>
        <v>#NUM!</v>
      </c>
      <c r="AK23" s="194" t="e">
        <f t="shared" si="4"/>
        <v>#NUM!</v>
      </c>
      <c r="AL23" s="197">
        <v>0</v>
      </c>
      <c r="AM23" s="167">
        <f t="shared" si="5"/>
        <v>1</v>
      </c>
    </row>
    <row r="24" spans="1:39" ht="11.25" customHeight="1" x14ac:dyDescent="0.2">
      <c r="A24" s="62" t="s">
        <v>95</v>
      </c>
      <c r="B24" s="116">
        <v>2</v>
      </c>
      <c r="C24" s="387" t="str">
        <f t="shared" ref="C24:C34" si="9">"X"&amp;B24+3</f>
        <v>X5</v>
      </c>
      <c r="D24" s="125"/>
      <c r="E24" s="125"/>
      <c r="F24" s="125"/>
      <c r="G24" s="64" t="str">
        <f t="shared" si="8"/>
        <v>Euribor3MMX#0006</v>
      </c>
      <c r="H24" s="119" t="str">
        <f>IF(ISBLANK(Quote!Y23),"",Quote!Y23)</f>
        <v>EUR3MFRA2X5F=#0006</v>
      </c>
      <c r="I24" s="125"/>
      <c r="J24" s="67"/>
      <c r="K24" s="67" t="str">
        <f>_xll.qlFraRateHelper(,H24,B24&amp;"M",G24,PillarDate,,Permanent,Trigger,ObjectOverwrite)</f>
        <v>obj_00237#0006</v>
      </c>
      <c r="L24" s="51"/>
      <c r="M24" s="10" t="str">
        <f t="shared" si="6"/>
        <v>FRA</v>
      </c>
      <c r="N24" s="95" t="str">
        <f t="shared" si="7"/>
        <v>obj_00295#0006</v>
      </c>
      <c r="O24" s="146" t="str">
        <f>IFERROR(_xll.qlRateHelperQuoteName(N24,Trigger),"--")</f>
        <v>EUR3MFRA4X7F=</v>
      </c>
      <c r="P24" s="99">
        <f>IFERROR(_xll.qlRateHelperQuoteValue($N24,Trigger),"--")</f>
        <v>-3.2200000000000002E-3</v>
      </c>
      <c r="Q24" s="98" t="b">
        <v>1</v>
      </c>
      <c r="R24" s="95">
        <v>70</v>
      </c>
      <c r="S24" s="95">
        <v>20</v>
      </c>
      <c r="T24" s="100">
        <f>IFERROR(_xll.qlRateHelperEarliestDate(N24,Trigger),"--")</f>
        <v>42870</v>
      </c>
      <c r="U24" s="100">
        <f>IFERROR(_xll.qlRateHelperPillarDate(N24,Trigger),"--")</f>
        <v>42961</v>
      </c>
      <c r="W24" s="4" t="str">
        <f t="shared" si="2"/>
        <v>FUT</v>
      </c>
      <c r="X24" s="4" t="str">
        <v>obj_003f3</v>
      </c>
      <c r="Y24" s="4" t="str">
        <f>IFERROR(_xll.qlRateHelperQuoteName(X24,Trigger),"")</f>
        <v>EUR3MFUTU8_Shifted</v>
      </c>
      <c r="Z24" s="73">
        <f>IFERROR(_xll.qlRateHelperRate(X24,Trigger),"")</f>
        <v>-2.1250000000001545E-3</v>
      </c>
      <c r="AA24" s="105">
        <f>IF(ISERROR(_xll.qlSwapRateHelperSpread($X24)),IF(ISERROR(_xll.qlFuturesRateHelperConvexityAdjustment($X24)),"",_xll.qlFuturesRateHelperConvexityAdjustment($X24)),_xll.qlSwapRateHelperSpread($X24))</f>
        <v>0</v>
      </c>
      <c r="AB24" s="5">
        <f>IFERROR(_xll.qlRateHelperEarliestDate(X24,Trigger),"")</f>
        <v>43362</v>
      </c>
      <c r="AC24" s="5">
        <f>IFERROR(_xll.qlRateHelperPillarDate(X24,Trigger),"")</f>
        <v>43453</v>
      </c>
      <c r="AD24" s="73">
        <v>-2.8824750759085926E-3</v>
      </c>
      <c r="AE24" s="180"/>
    </row>
    <row r="25" spans="1:39" ht="11.25" customHeight="1" x14ac:dyDescent="0.2">
      <c r="A25" s="62" t="s">
        <v>95</v>
      </c>
      <c r="B25" s="116">
        <v>3</v>
      </c>
      <c r="C25" s="387" t="str">
        <f t="shared" si="9"/>
        <v>X6</v>
      </c>
      <c r="D25" s="125"/>
      <c r="E25" s="125"/>
      <c r="F25" s="125"/>
      <c r="G25" s="64" t="str">
        <f t="shared" si="8"/>
        <v>Euribor3MMX#0006</v>
      </c>
      <c r="H25" s="119" t="str">
        <f>IF(ISBLANK(Quote!Y24),"",Quote!Y24)</f>
        <v>EUR3MFRA3X6F=#0006</v>
      </c>
      <c r="I25" s="125"/>
      <c r="J25" s="67"/>
      <c r="K25" s="67" t="str">
        <f>_xll.qlFraRateHelper(,H25,B25&amp;"M",G25,PillarDate,,Permanent,Trigger,ObjectOverwrite)</f>
        <v>obj_00255#0006</v>
      </c>
      <c r="L25" s="51"/>
      <c r="M25" s="10" t="str">
        <f t="shared" si="6"/>
        <v>FRA</v>
      </c>
      <c r="N25" s="95" t="str">
        <f t="shared" si="7"/>
        <v>obj_00297#0006</v>
      </c>
      <c r="O25" s="146" t="str">
        <f>IFERROR(_xll.qlRateHelperQuoteName(N25,Trigger),"--")</f>
        <v>EUR3MFRA5X8F=</v>
      </c>
      <c r="P25" s="99">
        <f>IFERROR(_xll.qlRateHelperQuoteValue($N25,Trigger),"--")</f>
        <v>-3.1900000000000001E-3</v>
      </c>
      <c r="Q25" s="98" t="b">
        <v>1</v>
      </c>
      <c r="R25" s="95">
        <v>70</v>
      </c>
      <c r="S25" s="95">
        <v>20</v>
      </c>
      <c r="T25" s="100">
        <f>IFERROR(_xll.qlRateHelperEarliestDate(N25,Trigger),"--")</f>
        <v>42899</v>
      </c>
      <c r="U25" s="100">
        <f>IFERROR(_xll.qlRateHelperPillarDate(N25,Trigger),"--")</f>
        <v>42991</v>
      </c>
      <c r="W25" s="4" t="str">
        <f t="shared" si="2"/>
        <v>FUT</v>
      </c>
      <c r="X25" s="4" t="str">
        <v>obj_003f6</v>
      </c>
      <c r="Y25" s="4" t="str">
        <f>IFERROR(_xll.qlRateHelperQuoteName(X25,Trigger),"")</f>
        <v>EUR3MFUTZ8_Shifted</v>
      </c>
      <c r="Z25" s="73">
        <f>IFERROR(_xll.qlRateHelperRate(X25,Trigger),"")</f>
        <v>-1.7750000000000821E-3</v>
      </c>
      <c r="AA25" s="105">
        <f>IF(ISERROR(_xll.qlSwapRateHelperSpread($X25)),IF(ISERROR(_xll.qlFuturesRateHelperConvexityAdjustment($X25)),"",_xll.qlFuturesRateHelperConvexityAdjustment($X25)),_xll.qlSwapRateHelperSpread($X25))</f>
        <v>0</v>
      </c>
      <c r="AB25" s="5">
        <f>IFERROR(_xll.qlRateHelperEarliestDate(X25,Trigger),"")</f>
        <v>43453</v>
      </c>
      <c r="AC25" s="5">
        <f>IFERROR(_xll.qlRateHelperPillarDate(X25,Trigger),"")</f>
        <v>43543</v>
      </c>
      <c r="AD25" s="73">
        <v>-2.7602441356425517E-3</v>
      </c>
      <c r="AE25" s="180"/>
    </row>
    <row r="26" spans="1:39" ht="11.25" customHeight="1" x14ac:dyDescent="0.2">
      <c r="A26" s="62" t="s">
        <v>95</v>
      </c>
      <c r="B26" s="116">
        <v>4</v>
      </c>
      <c r="C26" s="387" t="str">
        <f t="shared" si="9"/>
        <v>X7</v>
      </c>
      <c r="D26" s="125"/>
      <c r="E26" s="125"/>
      <c r="F26" s="125"/>
      <c r="G26" s="64" t="str">
        <f t="shared" si="8"/>
        <v>Euribor3MMX#0006</v>
      </c>
      <c r="H26" s="119" t="str">
        <f>IF(ISBLANK(Quote!Y25),"",Quote!Y25)</f>
        <v>EUR3MFRA4X7F=#0006</v>
      </c>
      <c r="I26" s="125"/>
      <c r="J26" s="67"/>
      <c r="K26" s="67" t="str">
        <f>_xll.qlFraRateHelper(,H26,B26&amp;"M",G26,PillarDate,,Permanent,Trigger,ObjectOverwrite)</f>
        <v>obj_00295#0006</v>
      </c>
      <c r="L26" s="51"/>
      <c r="M26" s="10" t="str">
        <f t="shared" si="6"/>
        <v>FRA</v>
      </c>
      <c r="N26" s="95" t="str">
        <f t="shared" si="7"/>
        <v>obj_0017e#0006</v>
      </c>
      <c r="O26" s="146" t="str">
        <f>IFERROR(_xll.qlRateHelperQuoteName(N26,Trigger),"--")</f>
        <v>EUR3MFRA6X9F=</v>
      </c>
      <c r="P26" s="99">
        <f>IFERROR(_xll.qlRateHelperQuoteValue($N26,Trigger),"--")</f>
        <v>-3.14E-3</v>
      </c>
      <c r="Q26" s="98" t="b">
        <v>1</v>
      </c>
      <c r="R26" s="95">
        <v>70</v>
      </c>
      <c r="S26" s="95">
        <v>20</v>
      </c>
      <c r="T26" s="100">
        <f>IFERROR(_xll.qlRateHelperEarliestDate(N26,Trigger),"--")</f>
        <v>42929</v>
      </c>
      <c r="U26" s="100">
        <f>IFERROR(_xll.qlRateHelperPillarDate(N26,Trigger),"--")</f>
        <v>43021</v>
      </c>
      <c r="W26" s="4" t="str">
        <f t="shared" si="2"/>
        <v>FUT</v>
      </c>
      <c r="X26" s="4" t="str">
        <v>obj_003fd</v>
      </c>
      <c r="Y26" s="4" t="str">
        <f>IFERROR(_xll.qlRateHelperQuoteName(X26,Trigger),"")</f>
        <v>EUR3MFUTH9_Shifted</v>
      </c>
      <c r="Z26" s="73">
        <f>IFERROR(_xll.qlRateHelperRate(X26,Trigger),"")</f>
        <v>-1.3250000000000206E-3</v>
      </c>
      <c r="AA26" s="105">
        <f>IF(ISERROR(_xll.qlSwapRateHelperSpread($X26)),IF(ISERROR(_xll.qlFuturesRateHelperConvexityAdjustment($X26)),"",_xll.qlFuturesRateHelperConvexityAdjustment($X26)),_xll.qlSwapRateHelperSpread($X26))</f>
        <v>0</v>
      </c>
      <c r="AB26" s="5">
        <f>IFERROR(_xll.qlRateHelperEarliestDate(X26,Trigger),"")</f>
        <v>43544</v>
      </c>
      <c r="AC26" s="5">
        <f>IFERROR(_xll.qlRateHelperPillarDate(X26,Trigger),"")</f>
        <v>43636</v>
      </c>
      <c r="AD26" s="73">
        <v>-2.6124934613033315E-3</v>
      </c>
      <c r="AE26" s="180"/>
    </row>
    <row r="27" spans="1:39" ht="11.25" customHeight="1" x14ac:dyDescent="0.2">
      <c r="A27" s="62" t="s">
        <v>95</v>
      </c>
      <c r="B27" s="116">
        <v>5</v>
      </c>
      <c r="C27" s="387" t="str">
        <f t="shared" si="9"/>
        <v>X8</v>
      </c>
      <c r="D27" s="125"/>
      <c r="E27" s="125"/>
      <c r="F27" s="125"/>
      <c r="G27" s="64" t="str">
        <f t="shared" si="8"/>
        <v>Euribor3MMX#0006</v>
      </c>
      <c r="H27" s="119" t="str">
        <f>IF(ISBLANK(Quote!Y26),"",Quote!Y26)</f>
        <v>EUR3MFRA5X8F=#0006</v>
      </c>
      <c r="I27" s="125"/>
      <c r="J27" s="67"/>
      <c r="K27" s="67" t="str">
        <f>_xll.qlFraRateHelper(,H27,B27&amp;"M",G27,PillarDate,,Permanent,Trigger,ObjectOverwrite)</f>
        <v>obj_00297#0006</v>
      </c>
      <c r="L27" s="51"/>
      <c r="M27" s="10" t="str">
        <f t="shared" si="6"/>
        <v>FRA</v>
      </c>
      <c r="N27" s="95" t="str">
        <f t="shared" si="7"/>
        <v>obj_001f6#0006</v>
      </c>
      <c r="O27" s="146" t="str">
        <f>IFERROR(_xll.qlRateHelperQuoteName(N27,Trigger),"--")</f>
        <v>EUR3MFRA7X10F=</v>
      </c>
      <c r="P27" s="99">
        <f>IFERROR(_xll.qlRateHelperQuoteValue($N27,Trigger),"--")</f>
        <v>-3.0899999999999999E-3</v>
      </c>
      <c r="Q27" s="98" t="b">
        <v>1</v>
      </c>
      <c r="R27" s="95">
        <v>70</v>
      </c>
      <c r="S27" s="95">
        <v>20</v>
      </c>
      <c r="T27" s="100">
        <f>IFERROR(_xll.qlRateHelperEarliestDate(N27,Trigger),"--")</f>
        <v>42961</v>
      </c>
      <c r="U27" s="100">
        <f>IFERROR(_xll.qlRateHelperPillarDate(N27,Trigger),"--")</f>
        <v>43052</v>
      </c>
      <c r="W27" s="4" t="str">
        <f t="shared" si="2"/>
        <v>FUT</v>
      </c>
      <c r="X27" s="4" t="str">
        <v>obj_003fc</v>
      </c>
      <c r="Y27" s="4" t="str">
        <f>IFERROR(_xll.qlRateHelperQuoteName(X27,Trigger),"")</f>
        <v>EUR3MFUTM9_Shifted</v>
      </c>
      <c r="Z27" s="73">
        <f>IFERROR(_xll.qlRateHelperRate(X27,Trigger),"")</f>
        <v>-9.0000000000012292E-4</v>
      </c>
      <c r="AA27" s="105">
        <f>IF(ISERROR(_xll.qlSwapRateHelperSpread($X27)),IF(ISERROR(_xll.qlFuturesRateHelperConvexityAdjustment($X27)),"",_xll.qlFuturesRateHelperConvexityAdjustment($X27)),_xll.qlSwapRateHelperSpread($X27))</f>
        <v>0</v>
      </c>
      <c r="AB27" s="5">
        <f>IFERROR(_xll.qlRateHelperEarliestDate(X27,Trigger),"")</f>
        <v>43635</v>
      </c>
      <c r="AC27" s="5">
        <f>IFERROR(_xll.qlRateHelperPillarDate(X27,Trigger),"")</f>
        <v>43727</v>
      </c>
      <c r="AD27" s="73">
        <v>-2.4545780718915828E-3</v>
      </c>
      <c r="AE27" s="180"/>
    </row>
    <row r="28" spans="1:39" ht="11.25" customHeight="1" x14ac:dyDescent="0.2">
      <c r="A28" s="62" t="s">
        <v>95</v>
      </c>
      <c r="B28" s="116">
        <v>6</v>
      </c>
      <c r="C28" s="387" t="str">
        <f t="shared" si="9"/>
        <v>X9</v>
      </c>
      <c r="D28" s="125"/>
      <c r="E28" s="125"/>
      <c r="F28" s="125"/>
      <c r="G28" s="64" t="str">
        <f t="shared" si="8"/>
        <v>Euribor3MMX#0006</v>
      </c>
      <c r="H28" s="119" t="str">
        <f>IF(ISBLANK(Quote!Y27),"",Quote!Y27)</f>
        <v>EUR3MFRA6X9F=#0006</v>
      </c>
      <c r="I28" s="125"/>
      <c r="J28" s="67"/>
      <c r="K28" s="67" t="str">
        <f>_xll.qlFraRateHelper(,H28,B28&amp;"M",G28,PillarDate,,Permanent,Trigger,ObjectOverwrite)</f>
        <v>obj_0017e#0006</v>
      </c>
      <c r="L28" s="51"/>
      <c r="M28" s="10" t="str">
        <f t="shared" si="6"/>
        <v>FRA</v>
      </c>
      <c r="N28" s="95" t="str">
        <f t="shared" si="7"/>
        <v>obj_001d2#0006</v>
      </c>
      <c r="O28" s="146" t="str">
        <f>IFERROR(_xll.qlRateHelperQuoteName(N28,Trigger),"--")</f>
        <v>EUR3MFRA8X11F=</v>
      </c>
      <c r="P28" s="99">
        <f>IFERROR(_xll.qlRateHelperQuoteValue($N28,Trigger),"--")</f>
        <v>-3.0399999999999997E-3</v>
      </c>
      <c r="Q28" s="98" t="b">
        <v>1</v>
      </c>
      <c r="R28" s="95">
        <v>70</v>
      </c>
      <c r="S28" s="95">
        <v>20</v>
      </c>
      <c r="T28" s="100">
        <f>IFERROR(_xll.qlRateHelperEarliestDate(N28,Trigger),"--")</f>
        <v>42991</v>
      </c>
      <c r="U28" s="100">
        <f>IFERROR(_xll.qlRateHelperPillarDate(N28,Trigger),"--")</f>
        <v>43082</v>
      </c>
      <c r="W28" s="4" t="str">
        <f t="shared" si="2"/>
        <v>SW</v>
      </c>
      <c r="X28" s="4" t="str">
        <v>obj_00362</v>
      </c>
      <c r="Y28" s="4" t="str">
        <f>IFERROR(_xll.qlRateHelperQuoteName(X28,Trigger),"")</f>
        <v>EUR3MSW3Y_Shifted</v>
      </c>
      <c r="Z28" s="73">
        <f>IFERROR(_xll.qlRateHelperRate(X28,Trigger),"")</f>
        <v>-2.2200000000000002E-3</v>
      </c>
      <c r="AA28" s="105">
        <f>IF(ISERROR(_xll.qlSwapRateHelperSpread($X28)),IF(ISERROR(_xll.qlFuturesRateHelperConvexityAdjustment($X28)),"",_xll.qlFuturesRateHelperConvexityAdjustment($X28)),_xll.qlSwapRateHelperSpread($X28))</f>
        <v>0</v>
      </c>
      <c r="AB28" s="5">
        <f>IFERROR(_xll.qlRateHelperEarliestDate(X28,Trigger),"")</f>
        <v>42748</v>
      </c>
      <c r="AC28" s="5">
        <f>IFERROR(_xll.qlRateHelperPillarDate(X28,Trigger),"")</f>
        <v>43843</v>
      </c>
      <c r="AD28" s="73">
        <v>-2.2255989477233148E-3</v>
      </c>
      <c r="AE28" s="180"/>
    </row>
    <row r="29" spans="1:39" ht="11.25" customHeight="1" x14ac:dyDescent="0.2">
      <c r="A29" s="62" t="s">
        <v>95</v>
      </c>
      <c r="B29" s="116">
        <v>7</v>
      </c>
      <c r="C29" s="387" t="str">
        <f t="shared" si="9"/>
        <v>X10</v>
      </c>
      <c r="D29" s="125"/>
      <c r="E29" s="125"/>
      <c r="F29" s="125"/>
      <c r="G29" s="64" t="str">
        <f t="shared" si="8"/>
        <v>Euribor3MMX#0006</v>
      </c>
      <c r="H29" s="119" t="str">
        <f>IF(ISBLANK(Quote!Y28),"",Quote!Y28)</f>
        <v>EUR3MFRA7X10F=#0006</v>
      </c>
      <c r="I29" s="125"/>
      <c r="J29" s="67"/>
      <c r="K29" s="67" t="str">
        <f>_xll.qlFraRateHelper(,H29,B29&amp;"M",G29,PillarDate,,Permanent,Trigger,ObjectOverwrite)</f>
        <v>obj_001f6#0006</v>
      </c>
      <c r="L29" s="51"/>
      <c r="M29" s="10" t="str">
        <f t="shared" si="6"/>
        <v>FRA</v>
      </c>
      <c r="N29" s="95" t="str">
        <f t="shared" si="7"/>
        <v>obj_0019a#0006</v>
      </c>
      <c r="O29" s="146" t="str">
        <f>IFERROR(_xll.qlRateHelperQuoteName(N29,Trigger),"--")</f>
        <v>EUR3MFRA9X12F=</v>
      </c>
      <c r="P29" s="99">
        <f>IFERROR(_xll.qlRateHelperQuoteValue($N29,Trigger),"--")</f>
        <v>-2.98E-3</v>
      </c>
      <c r="Q29" s="98" t="b">
        <v>1</v>
      </c>
      <c r="R29" s="95">
        <v>70</v>
      </c>
      <c r="S29" s="95">
        <v>20</v>
      </c>
      <c r="T29" s="100">
        <f>IFERROR(_xll.qlRateHelperEarliestDate(N29,Trigger),"--")</f>
        <v>43021</v>
      </c>
      <c r="U29" s="100">
        <f>IFERROR(_xll.qlRateHelperPillarDate(N29,Trigger),"--")</f>
        <v>43115</v>
      </c>
      <c r="W29" s="4" t="str">
        <f t="shared" si="2"/>
        <v>SW</v>
      </c>
      <c r="X29" s="4" t="str">
        <v>obj_0033c</v>
      </c>
      <c r="Y29" s="4" t="str">
        <f>IFERROR(_xll.qlRateHelperQuoteName(X29,Trigger),"")</f>
        <v>EUR3MSW4Y_Shifted</v>
      </c>
      <c r="Z29" s="73">
        <f>IFERROR(_xll.qlRateHelperRate(X29,Trigger),"")</f>
        <v>-1.4200000000000003E-3</v>
      </c>
      <c r="AA29" s="105">
        <f>IF(ISERROR(_xll.qlSwapRateHelperSpread($X29)),IF(ISERROR(_xll.qlFuturesRateHelperConvexityAdjustment($X29)),"",_xll.qlFuturesRateHelperConvexityAdjustment($X29)),_xll.qlSwapRateHelperSpread($X29))</f>
        <v>0</v>
      </c>
      <c r="AB29" s="5">
        <f>IFERROR(_xll.qlRateHelperEarliestDate(X29,Trigger),"")</f>
        <v>42748</v>
      </c>
      <c r="AC29" s="5">
        <f>IFERROR(_xll.qlRateHelperPillarDate(X29,Trigger),"")</f>
        <v>44209</v>
      </c>
      <c r="AD29" s="73">
        <v>-1.4259708788158176E-3</v>
      </c>
      <c r="AE29" s="180"/>
    </row>
    <row r="30" spans="1:39" ht="11.25" customHeight="1" x14ac:dyDescent="0.2">
      <c r="A30" s="62" t="s">
        <v>95</v>
      </c>
      <c r="B30" s="116">
        <v>8</v>
      </c>
      <c r="C30" s="387" t="str">
        <f t="shared" si="9"/>
        <v>X11</v>
      </c>
      <c r="D30" s="125"/>
      <c r="E30" s="125"/>
      <c r="F30" s="125"/>
      <c r="G30" s="64" t="str">
        <f t="shared" si="8"/>
        <v>Euribor3MMX#0006</v>
      </c>
      <c r="H30" s="119" t="str">
        <f>IF(ISBLANK(Quote!Y29),"",Quote!Y29)</f>
        <v>EUR3MFRA8X11F=#0006</v>
      </c>
      <c r="I30" s="125"/>
      <c r="J30" s="67"/>
      <c r="K30" s="67" t="str">
        <f>_xll.qlFraRateHelper(,H30,B30&amp;"M",G30,PillarDate,,Permanent,Trigger,ObjectOverwrite)</f>
        <v>obj_001d2#0006</v>
      </c>
      <c r="L30" s="51"/>
      <c r="M30" s="10" t="str">
        <f t="shared" si="6"/>
        <v>FRA</v>
      </c>
      <c r="N30" s="95" t="str">
        <f t="shared" si="7"/>
        <v>obj_001b6#0006</v>
      </c>
      <c r="O30" s="146" t="str">
        <f>IFERROR(_xll.qlRateHelperQuoteName(N30,Trigger),"--")</f>
        <v>EUR3MFRA10X13F=</v>
      </c>
      <c r="P30" s="99">
        <f>IFERROR(_xll.qlRateHelperQuoteValue($N30,Trigger),"--")</f>
        <v>-2.9299999999999999E-3</v>
      </c>
      <c r="Q30" s="98" t="b">
        <v>1</v>
      </c>
      <c r="R30" s="95">
        <v>70</v>
      </c>
      <c r="S30" s="95">
        <v>20</v>
      </c>
      <c r="T30" s="100">
        <f>IFERROR(_xll.qlRateHelperEarliestDate(N30,Trigger),"--")</f>
        <v>43052</v>
      </c>
      <c r="U30" s="100">
        <f>IFERROR(_xll.qlRateHelperPillarDate(N30,Trigger),"--")</f>
        <v>43144</v>
      </c>
      <c r="W30" s="4" t="str">
        <f t="shared" si="2"/>
        <v>SW</v>
      </c>
      <c r="X30" s="4" t="str">
        <v>obj_0032e</v>
      </c>
      <c r="Y30" s="4" t="str">
        <f>IFERROR(_xll.qlRateHelperQuoteName(X30,Trigger),"")</f>
        <v>EUR3MSW5Y_Shifted</v>
      </c>
      <c r="Z30" s="73">
        <f>IFERROR(_xll.qlRateHelperRate(X30,Trigger),"")</f>
        <v>-4.3000000000000004E-4</v>
      </c>
      <c r="AA30" s="105">
        <f>IF(ISERROR(_xll.qlSwapRateHelperSpread($X30)),IF(ISERROR(_xll.qlFuturesRateHelperConvexityAdjustment($X30)),"",_xll.qlFuturesRateHelperConvexityAdjustment($X30)),_xll.qlSwapRateHelperSpread($X30))</f>
        <v>0</v>
      </c>
      <c r="AB30" s="5">
        <f>IFERROR(_xll.qlRateHelperEarliestDate(X30,Trigger),"")</f>
        <v>42748</v>
      </c>
      <c r="AC30" s="5">
        <f>IFERROR(_xll.qlRateHelperPillarDate(X30,Trigger),"")</f>
        <v>44574</v>
      </c>
      <c r="AD30" s="73">
        <v>-4.3717115297559105E-4</v>
      </c>
    </row>
    <row r="31" spans="1:39" ht="11.25" customHeight="1" x14ac:dyDescent="0.2">
      <c r="A31" s="62" t="s">
        <v>95</v>
      </c>
      <c r="B31" s="116">
        <v>9</v>
      </c>
      <c r="C31" s="387" t="str">
        <f t="shared" si="9"/>
        <v>X12</v>
      </c>
      <c r="D31" s="125"/>
      <c r="E31" s="125"/>
      <c r="F31" s="125"/>
      <c r="G31" s="64" t="str">
        <f t="shared" si="8"/>
        <v>Euribor3MMX#0006</v>
      </c>
      <c r="H31" s="119" t="str">
        <f>IF(ISBLANK(Quote!Y30),"",Quote!Y30)</f>
        <v>EUR3MFRA9X12F=#0006</v>
      </c>
      <c r="I31" s="125"/>
      <c r="J31" s="67"/>
      <c r="K31" s="67" t="str">
        <f>_xll.qlFraRateHelper(,H31,B31&amp;"M",G31,PillarDate,,Permanent,Trigger,ObjectOverwrite)</f>
        <v>obj_0019a#0006</v>
      </c>
      <c r="L31" s="51"/>
      <c r="M31" s="10" t="str">
        <f t="shared" si="6"/>
        <v>FRA</v>
      </c>
      <c r="N31" s="95" t="str">
        <f t="shared" si="7"/>
        <v>obj_00176#0006</v>
      </c>
      <c r="O31" s="146" t="str">
        <f>IFERROR(_xll.qlRateHelperQuoteName(N31,Trigger),"--")</f>
        <v>EUR3MFRA11X14F=</v>
      </c>
      <c r="P31" s="99">
        <f>IFERROR(_xll.qlRateHelperQuoteValue($N31,Trigger),"--")</f>
        <v>-2.8899999999999998E-3</v>
      </c>
      <c r="Q31" s="98" t="b">
        <v>1</v>
      </c>
      <c r="R31" s="95">
        <v>70</v>
      </c>
      <c r="S31" s="95">
        <v>20</v>
      </c>
      <c r="T31" s="100">
        <f>IFERROR(_xll.qlRateHelperEarliestDate(N31,Trigger),"--")</f>
        <v>43082</v>
      </c>
      <c r="U31" s="100">
        <f>IFERROR(_xll.qlRateHelperPillarDate(N31,Trigger),"--")</f>
        <v>43172</v>
      </c>
      <c r="W31" s="4" t="str">
        <f t="shared" si="2"/>
        <v>SW</v>
      </c>
      <c r="X31" s="4" t="str">
        <v>obj_00365</v>
      </c>
      <c r="Y31" s="4" t="str">
        <f>IFERROR(_xll.qlRateHelperQuoteName(X31,Trigger),"")</f>
        <v>EUR3MSW6Y_Shifted</v>
      </c>
      <c r="Z31" s="73">
        <f>IFERROR(_xll.qlRateHelperRate(X31,Trigger),"")</f>
        <v>7.2000000000000005E-4</v>
      </c>
      <c r="AA31" s="105">
        <f>IF(ISERROR(_xll.qlSwapRateHelperSpread($X31)),IF(ISERROR(_xll.qlFuturesRateHelperConvexityAdjustment($X31)),"",_xll.qlFuturesRateHelperConvexityAdjustment($X31)),_xll.qlSwapRateHelperSpread($X31))</f>
        <v>0</v>
      </c>
      <c r="AB31" s="5">
        <f>IFERROR(_xll.qlRateHelperEarliestDate(X31,Trigger),"")</f>
        <v>42748</v>
      </c>
      <c r="AC31" s="5">
        <f>IFERROR(_xll.qlRateHelperPillarDate(X31,Trigger),"")</f>
        <v>44939</v>
      </c>
      <c r="AD31" s="73">
        <v>7.1467281285115744E-4</v>
      </c>
    </row>
    <row r="32" spans="1:39" ht="11.25" customHeight="1" x14ac:dyDescent="0.2">
      <c r="A32" s="62" t="s">
        <v>95</v>
      </c>
      <c r="B32" s="116">
        <v>10</v>
      </c>
      <c r="C32" s="387" t="str">
        <f t="shared" si="9"/>
        <v>X13</v>
      </c>
      <c r="D32" s="125"/>
      <c r="E32" s="125"/>
      <c r="F32" s="125"/>
      <c r="G32" s="64" t="str">
        <f t="shared" si="8"/>
        <v>Euribor3MMX#0006</v>
      </c>
      <c r="H32" s="119" t="str">
        <f>IF(ISBLANK(Quote!Y31),"",Quote!Y31)</f>
        <v>EUR3MFRA10X13F=#0006</v>
      </c>
      <c r="I32" s="125"/>
      <c r="J32" s="67"/>
      <c r="K32" s="67" t="str">
        <f>_xll.qlFraRateHelper(,H32,B32&amp;"M",G32,PillarDate,,Permanent,Trigger,ObjectOverwrite)</f>
        <v>obj_001b6#0006</v>
      </c>
      <c r="L32" s="51"/>
      <c r="M32" s="10" t="str">
        <f t="shared" si="6"/>
        <v>FRA</v>
      </c>
      <c r="N32" s="95" t="str">
        <f t="shared" si="7"/>
        <v>obj_001b8#0006</v>
      </c>
      <c r="O32" s="146" t="str">
        <f>IFERROR(_xll.qlRateHelperQuoteName(N32,Trigger),"--")</f>
        <v>EUR3MFRA12X15F=</v>
      </c>
      <c r="P32" s="99">
        <f>IFERROR(_xll.qlRateHelperQuoteValue($N32,Trigger),"--")</f>
        <v>-2.8100000000000004E-3</v>
      </c>
      <c r="Q32" s="98" t="b">
        <v>1</v>
      </c>
      <c r="R32" s="95">
        <v>70</v>
      </c>
      <c r="S32" s="95">
        <v>20</v>
      </c>
      <c r="T32" s="100">
        <f>IFERROR(_xll.qlRateHelperEarliestDate(N32,Trigger),"--")</f>
        <v>43115</v>
      </c>
      <c r="U32" s="100">
        <f>IFERROR(_xll.qlRateHelperPillarDate(N32,Trigger),"--")</f>
        <v>43203</v>
      </c>
      <c r="W32" s="4" t="str">
        <f t="shared" si="2"/>
        <v>SW</v>
      </c>
      <c r="X32" s="4" t="str">
        <v>obj_0037b</v>
      </c>
      <c r="Y32" s="4" t="str">
        <f>IFERROR(_xll.qlRateHelperQuoteName(X32,Trigger),"")</f>
        <v>EUR3MSW7Y_Shifted</v>
      </c>
      <c r="Z32" s="73">
        <f>IFERROR(_xll.qlRateHelperRate(X32,Trigger),"")</f>
        <v>1.9599999999999999E-3</v>
      </c>
      <c r="AA32" s="105">
        <f>IF(ISERROR(_xll.qlSwapRateHelperSpread($X32)),IF(ISERROR(_xll.qlFuturesRateHelperConvexityAdjustment($X32)),"",_xll.qlFuturesRateHelperConvexityAdjustment($X32)),_xll.qlSwapRateHelperSpread($X32))</f>
        <v>0</v>
      </c>
      <c r="AB32" s="5">
        <f>IFERROR(_xll.qlRateHelperEarliestDate(X32,Trigger),"")</f>
        <v>42748</v>
      </c>
      <c r="AC32" s="5">
        <f>IFERROR(_xll.qlRateHelperPillarDate(X32,Trigger),"")</f>
        <v>45306</v>
      </c>
      <c r="AD32" s="73">
        <v>1.9620521079398499E-3</v>
      </c>
    </row>
    <row r="33" spans="1:30" ht="11.25" customHeight="1" x14ac:dyDescent="0.2">
      <c r="A33" s="62" t="s">
        <v>95</v>
      </c>
      <c r="B33" s="116">
        <v>11</v>
      </c>
      <c r="C33" s="387" t="str">
        <f t="shared" si="9"/>
        <v>X14</v>
      </c>
      <c r="D33" s="125"/>
      <c r="E33" s="125"/>
      <c r="F33" s="125"/>
      <c r="G33" s="64" t="str">
        <f t="shared" si="8"/>
        <v>Euribor3MMX#0006</v>
      </c>
      <c r="H33" s="119" t="str">
        <f>IF(ISBLANK(Quote!Y32),"",Quote!Y32)</f>
        <v>EUR3MFRA11X14F=#0006</v>
      </c>
      <c r="I33" s="125"/>
      <c r="J33" s="67"/>
      <c r="K33" s="67" t="str">
        <f>_xll.qlFraRateHelper(,H33,B33&amp;"M",G33,PillarDate,,Permanent,Trigger,ObjectOverwrite)</f>
        <v>obj_00176#0006</v>
      </c>
      <c r="L33" s="51"/>
      <c r="M33" s="71" t="str">
        <f t="shared" ref="M33:M54" si="10">A37</f>
        <v>FUT</v>
      </c>
      <c r="N33" s="131" t="str">
        <f t="shared" ref="N33:N54" si="11">IF(ISBLANK(K37),"--",K37)</f>
        <v>obj_003e7#0006</v>
      </c>
      <c r="O33" s="145" t="str">
        <f>IFERROR(_xll.qlRateHelperQuoteName(N33,Trigger),"--")</f>
        <v>EUR3MFUTH7_Shifted</v>
      </c>
      <c r="P33" s="150">
        <f>IFERROR(_xll.qlRateHelperQuoteValue($N33,Trigger),"--")</f>
        <v>100.3275</v>
      </c>
      <c r="Q33" s="132" t="b">
        <v>1</v>
      </c>
      <c r="R33" s="131">
        <v>60</v>
      </c>
      <c r="S33" s="131">
        <v>3</v>
      </c>
      <c r="T33" s="134">
        <f>IFERROR(_xll.qlRateHelperEarliestDate(N33,Trigger),"--")</f>
        <v>42809</v>
      </c>
      <c r="U33" s="134">
        <f>IFERROR(_xll.qlRateHelperPillarDate(N33,Trigger),"--")</f>
        <v>42901</v>
      </c>
      <c r="W33" s="4" t="str">
        <f t="shared" si="2"/>
        <v>SW</v>
      </c>
      <c r="X33" s="4" t="str">
        <v>obj_00357</v>
      </c>
      <c r="Y33" s="4" t="str">
        <f>IFERROR(_xll.qlRateHelperQuoteName(X33,Trigger),"")</f>
        <v>EUR3MSW8Y_Shifted</v>
      </c>
      <c r="Z33" s="73">
        <f>IFERROR(_xll.qlRateHelperRate(X33,Trigger),"")</f>
        <v>3.2200000000000002E-3</v>
      </c>
      <c r="AA33" s="105">
        <f>IF(ISERROR(_xll.qlSwapRateHelperSpread($X33)),IF(ISERROR(_xll.qlFuturesRateHelperConvexityAdjustment($X33)),"",_xll.qlFuturesRateHelperConvexityAdjustment($X33)),_xll.qlSwapRateHelperSpread($X33))</f>
        <v>0</v>
      </c>
      <c r="AB33" s="5">
        <f>IFERROR(_xll.qlRateHelperEarliestDate(X33,Trigger),"")</f>
        <v>42748</v>
      </c>
      <c r="AC33" s="5">
        <f>IFERROR(_xll.qlRateHelperPillarDate(X33,Trigger),"")</f>
        <v>45670</v>
      </c>
      <c r="AD33" s="73">
        <v>3.235680662705606E-3</v>
      </c>
    </row>
    <row r="34" spans="1:30" ht="11.25" customHeight="1" x14ac:dyDescent="0.2">
      <c r="A34" s="1" t="s">
        <v>95</v>
      </c>
      <c r="B34" s="117">
        <v>12</v>
      </c>
      <c r="C34" s="388" t="str">
        <f t="shared" si="9"/>
        <v>X15</v>
      </c>
      <c r="D34" s="126"/>
      <c r="E34" s="126"/>
      <c r="F34" s="126"/>
      <c r="G34" s="7" t="str">
        <f t="shared" si="8"/>
        <v>Euribor3MMX#0006</v>
      </c>
      <c r="H34" s="120" t="str">
        <f>IF(ISBLANK(Quote!Y33),"",Quote!Y33)</f>
        <v>EUR3MFRA12X15F=#0006</v>
      </c>
      <c r="I34" s="126"/>
      <c r="J34" s="3"/>
      <c r="K34" s="3" t="str">
        <f>_xll.qlFraRateHelper(,H34,B34&amp;"M",G34,PillarDate,,Permanent,Trigger,ObjectOverwrite)</f>
        <v>obj_001b8#0006</v>
      </c>
      <c r="L34" s="51"/>
      <c r="M34" s="10" t="str">
        <f t="shared" si="10"/>
        <v>FUT</v>
      </c>
      <c r="N34" s="95" t="str">
        <f t="shared" si="11"/>
        <v>obj_003e3#0006</v>
      </c>
      <c r="O34" s="146" t="str">
        <f>IFERROR(_xll.qlRateHelperQuoteName(N34,Trigger),"--")</f>
        <v>EUR3MFUTM7_Shifted</v>
      </c>
      <c r="P34" s="151">
        <f>IFERROR(_xll.qlRateHelperQuoteValue($N34,Trigger),"--")</f>
        <v>100.31750000000001</v>
      </c>
      <c r="Q34" s="98" t="b">
        <v>1</v>
      </c>
      <c r="R34" s="95">
        <v>60</v>
      </c>
      <c r="S34" s="95">
        <v>3</v>
      </c>
      <c r="T34" s="100">
        <f>IFERROR(_xll.qlRateHelperEarliestDate(N34,Trigger),"--")</f>
        <v>42907</v>
      </c>
      <c r="U34" s="100">
        <f>IFERROR(_xll.qlRateHelperPillarDate(N34,Trigger),"--")</f>
        <v>42999</v>
      </c>
      <c r="W34" s="4" t="str">
        <f t="shared" si="2"/>
        <v>SW</v>
      </c>
      <c r="X34" s="4" t="str">
        <v>obj_00331</v>
      </c>
      <c r="Y34" s="4" t="str">
        <f>IFERROR(_xll.qlRateHelperQuoteName(X34,Trigger),"")</f>
        <v>EUR3MSW9Y_Shifted</v>
      </c>
      <c r="Z34" s="73">
        <f>IFERROR(_xll.qlRateHelperRate(X34,Trigger),"")</f>
        <v>4.47E-3</v>
      </c>
      <c r="AA34" s="105">
        <f>IF(ISERROR(_xll.qlSwapRateHelperSpread($X34)),IF(ISERROR(_xll.qlFuturesRateHelperConvexityAdjustment($X34)),"",_xll.qlFuturesRateHelperConvexityAdjustment($X34)),_xll.qlSwapRateHelperSpread($X34))</f>
        <v>0</v>
      </c>
      <c r="AB34" s="5">
        <f>IFERROR(_xll.qlRateHelperEarliestDate(X34,Trigger),"")</f>
        <v>42748</v>
      </c>
      <c r="AC34" s="5">
        <f>IFERROR(_xll.qlRateHelperPillarDate(X34,Trigger),"")</f>
        <v>46035</v>
      </c>
      <c r="AD34" s="73">
        <v>4.5088650683953006E-3</v>
      </c>
    </row>
    <row r="35" spans="1:30" ht="11.25" customHeight="1" x14ac:dyDescent="0.2">
      <c r="B35" s="49"/>
      <c r="D35" s="49"/>
      <c r="E35" s="49"/>
      <c r="F35" s="49"/>
      <c r="G35" s="49"/>
      <c r="H35" s="104" t="s">
        <v>97</v>
      </c>
      <c r="I35" s="104"/>
      <c r="L35" s="51"/>
      <c r="M35" s="10" t="str">
        <f t="shared" si="10"/>
        <v>FUT</v>
      </c>
      <c r="N35" s="95" t="str">
        <f t="shared" si="11"/>
        <v>obj_003e9#0006</v>
      </c>
      <c r="O35" s="146" t="str">
        <f>IFERROR(_xll.qlRateHelperQuoteName(N35,Trigger),"--")</f>
        <v>EUR3MFUTU7_Shifted</v>
      </c>
      <c r="P35" s="151">
        <f>IFERROR(_xll.qlRateHelperQuoteValue($N35,Trigger),"--")</f>
        <v>100.30250000000001</v>
      </c>
      <c r="Q35" s="98" t="b">
        <v>1</v>
      </c>
      <c r="R35" s="95">
        <v>60</v>
      </c>
      <c r="S35" s="95">
        <v>3</v>
      </c>
      <c r="T35" s="100">
        <f>IFERROR(_xll.qlRateHelperEarliestDate(N35,Trigger),"--")</f>
        <v>42998</v>
      </c>
      <c r="U35" s="100">
        <f>IFERROR(_xll.qlRateHelperPillarDate(N35,Trigger),"--")</f>
        <v>43089</v>
      </c>
      <c r="W35" s="4" t="str">
        <f t="shared" si="2"/>
        <v>SW</v>
      </c>
      <c r="X35" s="4" t="str">
        <v>obj_003cb</v>
      </c>
      <c r="Y35" s="4" t="str">
        <f>IFERROR(_xll.qlRateHelperQuoteName(X35,Trigger),"")</f>
        <v>EUR3MSW10Y_Shifted</v>
      </c>
      <c r="Z35" s="73">
        <f>IFERROR(_xll.qlRateHelperRate(X35,Trigger),"")</f>
        <v>5.6200000000000009E-3</v>
      </c>
      <c r="AA35" s="105">
        <f>IF(ISERROR(_xll.qlSwapRateHelperSpread($X35)),IF(ISERROR(_xll.qlFuturesRateHelperConvexityAdjustment($X35)),"",_xll.qlFuturesRateHelperConvexityAdjustment($X35)),_xll.qlSwapRateHelperSpread($X35))</f>
        <v>0</v>
      </c>
      <c r="AB35" s="5">
        <f>IFERROR(_xll.qlRateHelperEarliestDate(X35,Trigger),"")</f>
        <v>42748</v>
      </c>
      <c r="AC35" s="5">
        <f>IFERROR(_xll.qlRateHelperPillarDate(X35,Trigger),"")</f>
        <v>46400</v>
      </c>
      <c r="AD35" s="73">
        <v>5.6891291633172003E-3</v>
      </c>
    </row>
    <row r="36" spans="1:30" ht="11.25" customHeight="1" x14ac:dyDescent="0.2">
      <c r="A36" s="68" t="s">
        <v>9</v>
      </c>
      <c r="B36" s="68" t="s">
        <v>31</v>
      </c>
      <c r="C36" s="68"/>
      <c r="D36" s="68"/>
      <c r="E36" s="68"/>
      <c r="F36" s="68"/>
      <c r="G36" s="68" t="s">
        <v>4</v>
      </c>
      <c r="H36" s="68" t="s">
        <v>1</v>
      </c>
      <c r="I36" s="68" t="s">
        <v>171</v>
      </c>
      <c r="J36" s="68" t="s">
        <v>98</v>
      </c>
      <c r="K36" s="68" t="s">
        <v>25</v>
      </c>
      <c r="L36" s="51"/>
      <c r="M36" s="10" t="str">
        <f t="shared" si="10"/>
        <v>FUT</v>
      </c>
      <c r="N36" s="95" t="str">
        <f t="shared" si="11"/>
        <v>obj_003ec#0006</v>
      </c>
      <c r="O36" s="146" t="str">
        <f>IFERROR(_xll.qlRateHelperQuoteName(N36,Trigger),"--")</f>
        <v>EUR3MFUTZ7_Shifted</v>
      </c>
      <c r="P36" s="151">
        <f>IFERROR(_xll.qlRateHelperQuoteValue($N36,Trigger),"--")</f>
        <v>100.28750000000001</v>
      </c>
      <c r="Q36" s="98" t="b">
        <v>1</v>
      </c>
      <c r="R36" s="95">
        <v>60</v>
      </c>
      <c r="S36" s="95">
        <v>21</v>
      </c>
      <c r="T36" s="100">
        <f>IFERROR(_xll.qlRateHelperEarliestDate(N36,Trigger),"--")</f>
        <v>43089</v>
      </c>
      <c r="U36" s="100">
        <f>IFERROR(_xll.qlRateHelperPillarDate(N36,Trigger),"--")</f>
        <v>43179</v>
      </c>
      <c r="W36" s="4" t="str">
        <f t="shared" si="2"/>
        <v>SW</v>
      </c>
      <c r="X36" s="4" t="str">
        <v>obj_00355</v>
      </c>
      <c r="Y36" s="4" t="str">
        <f>IFERROR(_xll.qlRateHelperQuoteName(X36,Trigger),"")</f>
        <v>EUR3MSW11Y_Shifted</v>
      </c>
      <c r="Z36" s="73">
        <f>IFERROR(_xll.qlRateHelperRate(X36,Trigger),"")</f>
        <v>6.6468254800000001E-3</v>
      </c>
      <c r="AA36" s="105">
        <f>IF(ISERROR(_xll.qlSwapRateHelperSpread($X36)),IF(ISERROR(_xll.qlFuturesRateHelperConvexityAdjustment($X36)),"",_xll.qlFuturesRateHelperConvexityAdjustment($X36)),_xll.qlSwapRateHelperSpread($X36))</f>
        <v>0</v>
      </c>
      <c r="AB36" s="5">
        <f>IFERROR(_xll.qlRateHelperEarliestDate(X36,Trigger),"")</f>
        <v>42748</v>
      </c>
      <c r="AC36" s="5">
        <f>IFERROR(_xll.qlRateHelperPillarDate(X36,Trigger),"")</f>
        <v>46765</v>
      </c>
      <c r="AD36" s="73">
        <v>6.7509083350318138E-3</v>
      </c>
    </row>
    <row r="37" spans="1:30" ht="11.25" customHeight="1" x14ac:dyDescent="0.2">
      <c r="A37" s="56" t="s">
        <v>96</v>
      </c>
      <c r="B37" s="115" t="str">
        <f>Quote!W34</f>
        <v>H7</v>
      </c>
      <c r="C37" s="129"/>
      <c r="D37" s="129"/>
      <c r="E37" s="129"/>
      <c r="F37" s="129"/>
      <c r="G37" s="58" t="str">
        <f>$G$11</f>
        <v>Euribor3MMX#0006</v>
      </c>
      <c r="H37" s="118" t="str">
        <f>IF(ISBLANK(Quote!Y34),"",Quote!Y34)</f>
        <v>EUR3MFUTH7#0006</v>
      </c>
      <c r="I37" s="118" t="str">
        <f>_xll.qlCompositeQuote(Currency&amp;"3M"&amp;A37&amp;B37&amp;"_Shifted",H37,BumpValue,"+",Permanent,Trigger,ObjectOverwrite)</f>
        <v>EUR3MFUTH7_Shifted#0006</v>
      </c>
      <c r="J37" s="118">
        <v>0</v>
      </c>
      <c r="K37" s="61" t="str">
        <f>_xll.qlFuturesRateHelper(,IF(Sensitivity,I37,H37),FuturesType,B37,G37,J37,Permanent,Trigger,ObjectOverwrite)</f>
        <v>obj_003e7#0006</v>
      </c>
      <c r="L37" s="51"/>
      <c r="M37" s="10" t="str">
        <f t="shared" si="10"/>
        <v>FUT</v>
      </c>
      <c r="N37" s="95" t="str">
        <f t="shared" si="11"/>
        <v>obj_003ee#0006</v>
      </c>
      <c r="O37" s="146" t="str">
        <f>IFERROR(_xll.qlRateHelperQuoteName(N37,Trigger),"--")</f>
        <v>EUR3MFUTH8_Shifted</v>
      </c>
      <c r="P37" s="151">
        <f>IFERROR(_xll.qlRateHelperQuoteValue($N37,Trigger),"--")</f>
        <v>100.2675</v>
      </c>
      <c r="Q37" s="98" t="b">
        <v>1</v>
      </c>
      <c r="R37" s="95">
        <v>60</v>
      </c>
      <c r="S37" s="95">
        <v>21</v>
      </c>
      <c r="T37" s="100">
        <f>IFERROR(_xll.qlRateHelperEarliestDate(N37,Trigger),"--")</f>
        <v>43180</v>
      </c>
      <c r="U37" s="100">
        <f>IFERROR(_xll.qlRateHelperPillarDate(N37,Trigger),"--")</f>
        <v>43272</v>
      </c>
      <c r="W37" s="4" t="str">
        <f t="shared" si="2"/>
        <v>SW</v>
      </c>
      <c r="X37" s="4" t="str">
        <v>obj_0039c</v>
      </c>
      <c r="Y37" s="4" t="str">
        <f>IFERROR(_xll.qlRateHelperQuoteName(X37,Trigger),"")</f>
        <v>EUR3MSW12Y_Shifted</v>
      </c>
      <c r="Z37" s="73">
        <f>IFERROR(_xll.qlRateHelperRate(X37,Trigger),"")</f>
        <v>7.5599999999999999E-3</v>
      </c>
      <c r="AA37" s="105">
        <f>IF(ISERROR(_xll.qlSwapRateHelperSpread($X37)),IF(ISERROR(_xll.qlFuturesRateHelperConvexityAdjustment($X37)),"",_xll.qlFuturesRateHelperConvexityAdjustment($X37)),_xll.qlSwapRateHelperSpread($X37))</f>
        <v>0</v>
      </c>
      <c r="AB37" s="5">
        <f>IFERROR(_xll.qlRateHelperEarliestDate(X37,Trigger),"")</f>
        <v>42748</v>
      </c>
      <c r="AC37" s="5">
        <f>IFERROR(_xll.qlRateHelperPillarDate(X37,Trigger),"")</f>
        <v>47133</v>
      </c>
      <c r="AD37" s="73">
        <v>7.7002826075519256E-3</v>
      </c>
    </row>
    <row r="38" spans="1:30" ht="11.25" customHeight="1" x14ac:dyDescent="0.2">
      <c r="A38" s="62" t="s">
        <v>96</v>
      </c>
      <c r="B38" s="116" t="str">
        <f>Quote!W35</f>
        <v>M7</v>
      </c>
      <c r="C38" s="125"/>
      <c r="D38" s="125"/>
      <c r="E38" s="125"/>
      <c r="F38" s="125"/>
      <c r="G38" s="64" t="str">
        <f t="shared" ref="G38:G58" si="12">$G$11</f>
        <v>Euribor3MMX#0006</v>
      </c>
      <c r="H38" s="119" t="str">
        <f>IF(ISBLANK(Quote!Y35),"",Quote!Y35)</f>
        <v>EUR3MFUTM7#0006</v>
      </c>
      <c r="I38" s="119" t="str">
        <f>_xll.qlCompositeQuote(Currency&amp;"3M"&amp;A38&amp;B38&amp;"_Shifted",H38,BumpValue,"+",Permanent,Trigger,ObjectOverwrite)</f>
        <v>EUR3MFUTM7_Shifted#0006</v>
      </c>
      <c r="J38" s="119">
        <v>0</v>
      </c>
      <c r="K38" s="67" t="str">
        <f>_xll.qlFuturesRateHelper(,IF(Sensitivity,I38,H38),FuturesType,B38,G38,J38,Permanent,Trigger,ObjectOverwrite)</f>
        <v>obj_003e3#0006</v>
      </c>
      <c r="L38" s="51"/>
      <c r="M38" s="10" t="str">
        <f t="shared" si="10"/>
        <v>FUT</v>
      </c>
      <c r="N38" s="95" t="str">
        <f t="shared" si="11"/>
        <v>obj_003f1#0006</v>
      </c>
      <c r="O38" s="146" t="str">
        <f>IFERROR(_xll.qlRateHelperQuoteName(N38,Trigger),"--")</f>
        <v>EUR3MFUTM8_Shifted</v>
      </c>
      <c r="P38" s="151">
        <f>IFERROR(_xll.qlRateHelperQuoteValue($N38,Trigger),"--")</f>
        <v>100.24250000000001</v>
      </c>
      <c r="Q38" s="98" t="b">
        <v>1</v>
      </c>
      <c r="R38" s="95">
        <v>60</v>
      </c>
      <c r="S38" s="95">
        <v>21</v>
      </c>
      <c r="T38" s="100">
        <f>IFERROR(_xll.qlRateHelperEarliestDate(N38,Trigger),"--")</f>
        <v>43271</v>
      </c>
      <c r="U38" s="100">
        <f>IFERROR(_xll.qlRateHelperPillarDate(N38,Trigger),"--")</f>
        <v>43363</v>
      </c>
      <c r="W38" s="4" t="str">
        <f t="shared" si="2"/>
        <v>SW</v>
      </c>
      <c r="X38" s="4" t="str">
        <v>obj_00388</v>
      </c>
      <c r="Y38" s="4" t="str">
        <f>IFERROR(_xll.qlRateHelperQuoteName(X38,Trigger),"")</f>
        <v>EUR3MSW13Y_Shifted</v>
      </c>
      <c r="Z38" s="73">
        <f>IFERROR(_xll.qlRateHelperRate(X38,Trigger),"")</f>
        <v>8.3428385100000006E-3</v>
      </c>
      <c r="AA38" s="105">
        <f>IF(ISERROR(_xll.qlSwapRateHelperSpread($X38)),IF(ISERROR(_xll.qlFuturesRateHelperConvexityAdjustment($X38)),"",_xll.qlFuturesRateHelperConvexityAdjustment($X38)),_xll.qlSwapRateHelperSpread($X38))</f>
        <v>0</v>
      </c>
      <c r="AB38" s="5">
        <f>IFERROR(_xll.qlRateHelperEarliestDate(X38,Trigger),"")</f>
        <v>42748</v>
      </c>
      <c r="AC38" s="5">
        <f>IFERROR(_xll.qlRateHelperPillarDate(X38,Trigger),"")</f>
        <v>47497</v>
      </c>
      <c r="AD38" s="73">
        <v>8.5208981655364117E-3</v>
      </c>
    </row>
    <row r="39" spans="1:30" ht="11.25" customHeight="1" x14ac:dyDescent="0.2">
      <c r="A39" s="62" t="s">
        <v>96</v>
      </c>
      <c r="B39" s="116" t="str">
        <f>Quote!W36</f>
        <v>U7</v>
      </c>
      <c r="C39" s="125"/>
      <c r="D39" s="125"/>
      <c r="E39" s="125"/>
      <c r="F39" s="125"/>
      <c r="G39" s="64" t="str">
        <f t="shared" si="12"/>
        <v>Euribor3MMX#0006</v>
      </c>
      <c r="H39" s="119" t="str">
        <f>IF(ISBLANK(Quote!Y36),"",Quote!Y36)</f>
        <v>EUR3MFUTU7#0006</v>
      </c>
      <c r="I39" s="119" t="str">
        <f>_xll.qlCompositeQuote(Currency&amp;"3M"&amp;A39&amp;B39&amp;"_Shifted",H39,BumpValue,"+",Permanent,Trigger,ObjectOverwrite)</f>
        <v>EUR3MFUTU7_Shifted#0006</v>
      </c>
      <c r="J39" s="119">
        <v>0</v>
      </c>
      <c r="K39" s="67" t="str">
        <f>_xll.qlFuturesRateHelper(,IF(Sensitivity,I39,H39),FuturesType,B39,G39,J39,Permanent,Trigger,ObjectOverwrite)</f>
        <v>obj_003e9#0006</v>
      </c>
      <c r="L39" s="51"/>
      <c r="M39" s="10" t="str">
        <f t="shared" si="10"/>
        <v>FUT</v>
      </c>
      <c r="N39" s="95" t="str">
        <f t="shared" si="11"/>
        <v>obj_003f3#0006</v>
      </c>
      <c r="O39" s="146" t="str">
        <f>IFERROR(_xll.qlRateHelperQuoteName(N39,Trigger),"--")</f>
        <v>EUR3MFUTU8_Shifted</v>
      </c>
      <c r="P39" s="151">
        <f>IFERROR(_xll.qlRateHelperQuoteValue($N39,Trigger),"--")</f>
        <v>100.21250000000001</v>
      </c>
      <c r="Q39" s="98" t="b">
        <v>1</v>
      </c>
      <c r="R39" s="95">
        <v>60</v>
      </c>
      <c r="S39" s="95">
        <v>21</v>
      </c>
      <c r="T39" s="100">
        <f>IFERROR(_xll.qlRateHelperEarliestDate(N39,Trigger),"--")</f>
        <v>43362</v>
      </c>
      <c r="U39" s="100">
        <f>IFERROR(_xll.qlRateHelperPillarDate(N39,Trigger),"--")</f>
        <v>43453</v>
      </c>
      <c r="W39" s="4" t="str">
        <f t="shared" si="2"/>
        <v>SW</v>
      </c>
      <c r="X39" s="4" t="str">
        <v>obj_0034e</v>
      </c>
      <c r="Y39" s="4" t="str">
        <f>IFERROR(_xll.qlRateHelperQuoteName(X39,Trigger),"")</f>
        <v>EUR3MSW14Y_Shifted</v>
      </c>
      <c r="Z39" s="73">
        <f>IFERROR(_xll.qlRateHelperRate(X39,Trigger),"")</f>
        <v>9.0158819200000014E-3</v>
      </c>
      <c r="AA39" s="105">
        <f>IF(ISERROR(_xll.qlSwapRateHelperSpread($X39)),IF(ISERROR(_xll.qlFuturesRateHelperConvexityAdjustment($X39)),"",_xll.qlFuturesRateHelperConvexityAdjustment($X39)),_xll.qlSwapRateHelperSpread($X39))</f>
        <v>0</v>
      </c>
      <c r="AB39" s="5">
        <f>IFERROR(_xll.qlRateHelperEarliestDate(X39,Trigger),"")</f>
        <v>42748</v>
      </c>
      <c r="AC39" s="5">
        <f>IFERROR(_xll.qlRateHelperPillarDate(X39,Trigger),"")</f>
        <v>47861</v>
      </c>
      <c r="AD39" s="73">
        <v>9.2303832029361314E-3</v>
      </c>
    </row>
    <row r="40" spans="1:30" ht="11.25" customHeight="1" x14ac:dyDescent="0.2">
      <c r="A40" s="62" t="s">
        <v>96</v>
      </c>
      <c r="B40" s="116" t="str">
        <f>Quote!W37</f>
        <v>Z7</v>
      </c>
      <c r="C40" s="125"/>
      <c r="D40" s="125"/>
      <c r="E40" s="125"/>
      <c r="F40" s="125"/>
      <c r="G40" s="64" t="str">
        <f t="shared" si="12"/>
        <v>Euribor3MMX#0006</v>
      </c>
      <c r="H40" s="119" t="str">
        <f>IF(ISBLANK(Quote!Y37),"",Quote!Y37)</f>
        <v>EUR3MFUTZ7#0006</v>
      </c>
      <c r="I40" s="119" t="str">
        <f>_xll.qlCompositeQuote(Currency&amp;"3M"&amp;A40&amp;B40&amp;"_Shifted",H40,BumpValue,"+",Permanent,Trigger,ObjectOverwrite)</f>
        <v>EUR3MFUTZ7_Shifted#0006</v>
      </c>
      <c r="J40" s="119">
        <v>0</v>
      </c>
      <c r="K40" s="67" t="str">
        <f>_xll.qlFuturesRateHelper(,IF(Sensitivity,I40,H40),FuturesType,B40,G40,J40,Permanent,Trigger,ObjectOverwrite)</f>
        <v>obj_003ec#0006</v>
      </c>
      <c r="L40" s="51"/>
      <c r="M40" s="10" t="str">
        <f t="shared" si="10"/>
        <v>FUT</v>
      </c>
      <c r="N40" s="95" t="str">
        <f t="shared" si="11"/>
        <v>obj_003f6#0006</v>
      </c>
      <c r="O40" s="146" t="str">
        <f>IFERROR(_xll.qlRateHelperQuoteName(N40,Trigger),"--")</f>
        <v>EUR3MFUTZ8_Shifted</v>
      </c>
      <c r="P40" s="151">
        <f>IFERROR(_xll.qlRateHelperQuoteValue($N40,Trigger),"--")</f>
        <v>100.17750000000001</v>
      </c>
      <c r="Q40" s="98" t="b">
        <v>1</v>
      </c>
      <c r="R40" s="95">
        <v>60</v>
      </c>
      <c r="S40" s="95">
        <v>21</v>
      </c>
      <c r="T40" s="100">
        <f>IFERROR(_xll.qlRateHelperEarliestDate(N40,Trigger),"--")</f>
        <v>43453</v>
      </c>
      <c r="U40" s="100">
        <f>IFERROR(_xll.qlRateHelperPillarDate(N40,Trigger),"--")</f>
        <v>43543</v>
      </c>
      <c r="W40" s="4" t="str">
        <f t="shared" si="2"/>
        <v>SW</v>
      </c>
      <c r="X40" s="4" t="str">
        <v>obj_00344</v>
      </c>
      <c r="Y40" s="4" t="str">
        <f>IFERROR(_xll.qlRateHelperQuoteName(X40,Trigger),"")</f>
        <v>EUR3MSW15Y_Shifted</v>
      </c>
      <c r="Z40" s="73">
        <f>IFERROR(_xll.qlRateHelperRate(X40,Trigger),"")</f>
        <v>9.5900000000000013E-3</v>
      </c>
      <c r="AA40" s="105">
        <f>IF(ISERROR(_xll.qlSwapRateHelperSpread($X40)),IF(ISERROR(_xll.qlFuturesRateHelperConvexityAdjustment($X40)),"",_xll.qlFuturesRateHelperConvexityAdjustment($X40)),_xll.qlSwapRateHelperSpread($X40))</f>
        <v>0</v>
      </c>
      <c r="AB40" s="5">
        <f>IFERROR(_xll.qlRateHelperEarliestDate(X40,Trigger),"")</f>
        <v>42748</v>
      </c>
      <c r="AC40" s="5">
        <f>IFERROR(_xll.qlRateHelperPillarDate(X40,Trigger),"")</f>
        <v>48226</v>
      </c>
      <c r="AD40" s="73">
        <v>9.8382726958131401E-3</v>
      </c>
    </row>
    <row r="41" spans="1:30" ht="11.25" customHeight="1" x14ac:dyDescent="0.2">
      <c r="A41" s="1" t="s">
        <v>96</v>
      </c>
      <c r="B41" s="117" t="str">
        <f>Quote!W38</f>
        <v>H8</v>
      </c>
      <c r="C41" s="126"/>
      <c r="D41" s="126"/>
      <c r="E41" s="126"/>
      <c r="F41" s="126"/>
      <c r="G41" s="7" t="str">
        <f t="shared" si="12"/>
        <v>Euribor3MMX#0006</v>
      </c>
      <c r="H41" s="120" t="str">
        <f>IF(ISBLANK(Quote!Y38),"",Quote!Y38)</f>
        <v>EUR3MFUTH8#0006</v>
      </c>
      <c r="I41" s="120" t="str">
        <f>_xll.qlCompositeQuote(Currency&amp;"3M"&amp;A41&amp;B41&amp;"_Shifted",H41,BumpValue,"+",Permanent,Trigger,ObjectOverwrite)</f>
        <v>EUR3MFUTH8_Shifted#0006</v>
      </c>
      <c r="J41" s="120">
        <v>0</v>
      </c>
      <c r="K41" s="3" t="str">
        <f>_xll.qlFuturesRateHelper(,IF(Sensitivity,I41,H41),FuturesType,B41,G41,J41,Permanent,Trigger,ObjectOverwrite)</f>
        <v>obj_003ee#0006</v>
      </c>
      <c r="M41" s="10" t="str">
        <f t="shared" si="10"/>
        <v>FUT</v>
      </c>
      <c r="N41" s="95" t="str">
        <f t="shared" si="11"/>
        <v>obj_003fd#0006</v>
      </c>
      <c r="O41" s="146" t="str">
        <f>IFERROR(_xll.qlRateHelperQuoteName(N41,Trigger),"--")</f>
        <v>EUR3MFUTH9_Shifted</v>
      </c>
      <c r="P41" s="151">
        <f>IFERROR(_xll.qlRateHelperQuoteValue($N41,Trigger),"--")</f>
        <v>100.13250000000001</v>
      </c>
      <c r="Q41" s="98" t="b">
        <v>1</v>
      </c>
      <c r="R41" s="95">
        <v>60</v>
      </c>
      <c r="S41" s="95">
        <v>21</v>
      </c>
      <c r="T41" s="100">
        <f>IFERROR(_xll.qlRateHelperEarliestDate(N41,Trigger),"--")</f>
        <v>43544</v>
      </c>
      <c r="U41" s="100">
        <f>IFERROR(_xll.qlRateHelperPillarDate(N41,Trigger),"--")</f>
        <v>43636</v>
      </c>
      <c r="W41" s="4" t="str">
        <f t="shared" si="2"/>
        <v>SW</v>
      </c>
      <c r="X41" s="4" t="str">
        <v>obj_0037c</v>
      </c>
      <c r="Y41" s="4" t="str">
        <f>IFERROR(_xll.qlRateHelperQuoteName(X41,Trigger),"")</f>
        <v>EUR3MSW16Y_Shifted</v>
      </c>
      <c r="Z41" s="73">
        <f>IFERROR(_xll.qlRateHelperRate(X41,Trigger),"")</f>
        <v>1.0075479890000001E-2</v>
      </c>
      <c r="AA41" s="105">
        <f>IF(ISERROR(_xll.qlSwapRateHelperSpread($X41)),IF(ISERROR(_xll.qlFuturesRateHelperConvexityAdjustment($X41)),"",_xll.qlFuturesRateHelperConvexityAdjustment($X41)),_xll.qlSwapRateHelperSpread($X41))</f>
        <v>0</v>
      </c>
      <c r="AB41" s="5">
        <f>IFERROR(_xll.qlRateHelperEarliestDate(X41,Trigger),"")</f>
        <v>42748</v>
      </c>
      <c r="AC41" s="5">
        <f>IFERROR(_xll.qlRateHelperPillarDate(X41,Trigger),"")</f>
        <v>48592</v>
      </c>
      <c r="AD41" s="73">
        <v>1.035216378762146E-2</v>
      </c>
    </row>
    <row r="42" spans="1:30" ht="11.25" customHeight="1" x14ac:dyDescent="0.2">
      <c r="A42" s="62" t="s">
        <v>96</v>
      </c>
      <c r="B42" s="116" t="str">
        <f>Quote!W39</f>
        <v>M8</v>
      </c>
      <c r="C42" s="125"/>
      <c r="D42" s="125"/>
      <c r="E42" s="125"/>
      <c r="F42" s="125"/>
      <c r="G42" s="64" t="str">
        <f t="shared" si="12"/>
        <v>Euribor3MMX#0006</v>
      </c>
      <c r="H42" s="119" t="str">
        <f>IF(ISBLANK(Quote!Y39),"",Quote!Y39)</f>
        <v>EUR3MFUTM8#0006</v>
      </c>
      <c r="I42" s="119" t="str">
        <f>_xll.qlCompositeQuote(Currency&amp;"3M"&amp;A42&amp;B42&amp;"_Shifted",H42,BumpValue,"+",Permanent,Trigger,ObjectOverwrite)</f>
        <v>EUR3MFUTM8_Shifted#0006</v>
      </c>
      <c r="J42" s="119">
        <v>0</v>
      </c>
      <c r="K42" s="67" t="str">
        <f>_xll.qlFuturesRateHelper(,IF(Sensitivity,I42,H42),FuturesType,B42,G42,J42,Permanent,Trigger,ObjectOverwrite)</f>
        <v>obj_003f1#0006</v>
      </c>
      <c r="M42" s="10" t="str">
        <f t="shared" si="10"/>
        <v>FUT</v>
      </c>
      <c r="N42" s="95" t="str">
        <f t="shared" si="11"/>
        <v>obj_003fc#0006</v>
      </c>
      <c r="O42" s="146" t="str">
        <f>IFERROR(_xll.qlRateHelperQuoteName(N42,Trigger),"--")</f>
        <v>EUR3MFUTM9_Shifted</v>
      </c>
      <c r="P42" s="151">
        <f>IFERROR(_xll.qlRateHelperQuoteValue($N42,Trigger),"--")</f>
        <v>100.09</v>
      </c>
      <c r="Q42" s="98" t="b">
        <v>1</v>
      </c>
      <c r="R42" s="95">
        <v>60</v>
      </c>
      <c r="S42" s="95">
        <v>21</v>
      </c>
      <c r="T42" s="100">
        <f>IFERROR(_xll.qlRateHelperEarliestDate(N42,Trigger),"--")</f>
        <v>43635</v>
      </c>
      <c r="U42" s="100">
        <f>IFERROR(_xll.qlRateHelperPillarDate(N42,Trigger),"--")</f>
        <v>43727</v>
      </c>
      <c r="W42" s="4" t="str">
        <f t="shared" si="2"/>
        <v>SW</v>
      </c>
      <c r="X42" s="4" t="str">
        <v>obj_003ab</v>
      </c>
      <c r="Y42" s="4" t="str">
        <f>IFERROR(_xll.qlRateHelperQuoteName(X42,Trigger),"")</f>
        <v>EUR3MSW17Y_Shifted</v>
      </c>
      <c r="Z42" s="73">
        <f>IFERROR(_xll.qlRateHelperRate(X42,Trigger),"")</f>
        <v>1.047697597E-2</v>
      </c>
      <c r="AA42" s="105">
        <f>IF(ISERROR(_xll.qlSwapRateHelperSpread($X42)),IF(ISERROR(_xll.qlFuturesRateHelperConvexityAdjustment($X42)),"",_xll.qlFuturesRateHelperConvexityAdjustment($X42)),_xll.qlSwapRateHelperSpread($X42))</f>
        <v>0</v>
      </c>
      <c r="AB42" s="5">
        <f>IFERROR(_xll.qlRateHelperEarliestDate(X42,Trigger),"")</f>
        <v>42748</v>
      </c>
      <c r="AC42" s="5">
        <f>IFERROR(_xll.qlRateHelperPillarDate(X42,Trigger),"")</f>
        <v>48957</v>
      </c>
      <c r="AD42" s="73">
        <v>1.0779043729143003E-2</v>
      </c>
    </row>
    <row r="43" spans="1:30" ht="11.25" customHeight="1" x14ac:dyDescent="0.2">
      <c r="A43" s="62" t="s">
        <v>96</v>
      </c>
      <c r="B43" s="116" t="str">
        <f>Quote!W40</f>
        <v>U8</v>
      </c>
      <c r="C43" s="125"/>
      <c r="D43" s="125"/>
      <c r="E43" s="125"/>
      <c r="F43" s="125"/>
      <c r="G43" s="64" t="str">
        <f t="shared" si="12"/>
        <v>Euribor3MMX#0006</v>
      </c>
      <c r="H43" s="119" t="str">
        <f>IF(ISBLANK(Quote!Y40),"",Quote!Y40)</f>
        <v>EUR3MFUTU8#0006</v>
      </c>
      <c r="I43" s="119" t="str">
        <f>_xll.qlCompositeQuote(Currency&amp;"3M"&amp;A43&amp;B43&amp;"_Shifted",H43,BumpValue,"+",Permanent,Trigger,ObjectOverwrite)</f>
        <v>EUR3MFUTU8_Shifted#0006</v>
      </c>
      <c r="J43" s="119">
        <v>0</v>
      </c>
      <c r="K43" s="67" t="str">
        <f>_xll.qlFuturesRateHelper(,IF(Sensitivity,I43,H43),FuturesType,B43,G43,J43,Permanent,Trigger,ObjectOverwrite)</f>
        <v>obj_003f3#0006</v>
      </c>
      <c r="M43" s="10" t="str">
        <f t="shared" si="10"/>
        <v>FUT</v>
      </c>
      <c r="N43" s="95" t="str">
        <f t="shared" si="11"/>
        <v>obj_003ff#0006</v>
      </c>
      <c r="O43" s="146" t="str">
        <f>IFERROR(_xll.qlRateHelperQuoteName(N43,Trigger),"--")</f>
        <v>EUR3MFUTU9_Shifted</v>
      </c>
      <c r="P43" s="151">
        <f>IFERROR(_xll.qlRateHelperQuoteValue($N43,Trigger),"--")</f>
        <v>100.03595047900001</v>
      </c>
      <c r="Q43" s="98" t="b">
        <v>1</v>
      </c>
      <c r="R43" s="95">
        <v>60</v>
      </c>
      <c r="S43" s="95">
        <v>21</v>
      </c>
      <c r="T43" s="100">
        <f>IFERROR(_xll.qlRateHelperEarliestDate(N43,Trigger),"--")</f>
        <v>43726</v>
      </c>
      <c r="U43" s="100">
        <f>IFERROR(_xll.qlRateHelperPillarDate(N43,Trigger),"--")</f>
        <v>43817</v>
      </c>
      <c r="W43" s="4" t="str">
        <f t="shared" si="2"/>
        <v>SW</v>
      </c>
      <c r="X43" s="4" t="str">
        <v>obj_0035c</v>
      </c>
      <c r="Y43" s="4" t="str">
        <f>IFERROR(_xll.qlRateHelperQuoteName(X43,Trigger),"")</f>
        <v>EUR3MSW18Y_Shifted</v>
      </c>
      <c r="Z43" s="73">
        <f>IFERROR(_xll.qlRateHelperRate(X43,Trigger),"")</f>
        <v>1.0809526550000002E-2</v>
      </c>
      <c r="AA43" s="105">
        <f>IF(ISERROR(_xll.qlSwapRateHelperSpread($X43)),IF(ISERROR(_xll.qlFuturesRateHelperConvexityAdjustment($X43)),"",_xll.qlFuturesRateHelperConvexityAdjustment($X43)),_xll.qlSwapRateHelperSpread($X43))</f>
        <v>0</v>
      </c>
      <c r="AB43" s="5">
        <f>IFERROR(_xll.qlRateHelperEarliestDate(X43,Trigger),"")</f>
        <v>42748</v>
      </c>
      <c r="AC43" s="5">
        <f>IFERROR(_xll.qlRateHelperPillarDate(X43,Trigger),"")</f>
        <v>49324</v>
      </c>
      <c r="AD43" s="73">
        <v>1.1132294880217676E-2</v>
      </c>
    </row>
    <row r="44" spans="1:30" ht="11.25" customHeight="1" x14ac:dyDescent="0.2">
      <c r="A44" s="62" t="s">
        <v>96</v>
      </c>
      <c r="B44" s="116" t="str">
        <f>Quote!W41</f>
        <v>Z8</v>
      </c>
      <c r="C44" s="125"/>
      <c r="D44" s="125"/>
      <c r="E44" s="125"/>
      <c r="F44" s="125"/>
      <c r="G44" s="64" t="str">
        <f t="shared" si="12"/>
        <v>Euribor3MMX#0006</v>
      </c>
      <c r="H44" s="119" t="str">
        <f>IF(ISBLANK(Quote!Y41),"",Quote!Y41)</f>
        <v>EUR3MFUTZ8#0006</v>
      </c>
      <c r="I44" s="119" t="str">
        <f>_xll.qlCompositeQuote(Currency&amp;"3M"&amp;A44&amp;B44&amp;"_Shifted",H44,BumpValue,"+",Permanent,Trigger,ObjectOverwrite)</f>
        <v>EUR3MFUTZ8_Shifted#0006</v>
      </c>
      <c r="J44" s="119">
        <v>0</v>
      </c>
      <c r="K44" s="67" t="str">
        <f>_xll.qlFuturesRateHelper(,IF(Sensitivity,I44,H44),FuturesType,B44,G44,J44,Permanent,Trigger,ObjectOverwrite)</f>
        <v>obj_003f6#0006</v>
      </c>
      <c r="M44" s="10" t="str">
        <f t="shared" si="10"/>
        <v>FUT</v>
      </c>
      <c r="N44" s="95" t="str">
        <f t="shared" si="11"/>
        <v>--</v>
      </c>
      <c r="O44" s="146" t="str">
        <f>IFERROR(_xll.qlRateHelperQuoteName(N44,Trigger),"--")</f>
        <v>--</v>
      </c>
      <c r="P44" s="151" t="str">
        <f>IFERROR(_xll.qlRateHelperQuoteValue($N44,Trigger),"--")</f>
        <v>--</v>
      </c>
      <c r="Q44" s="98" t="b">
        <v>0</v>
      </c>
      <c r="R44" s="95">
        <v>60</v>
      </c>
      <c r="S44" s="95">
        <v>21</v>
      </c>
      <c r="T44" s="100" t="str">
        <f>IFERROR(_xll.qlRateHelperEarliestDate(N44,Trigger),"--")</f>
        <v>--</v>
      </c>
      <c r="U44" s="100" t="str">
        <f>IFERROR(_xll.qlRateHelperPillarDate(N44,Trigger),"--")</f>
        <v>--</v>
      </c>
      <c r="W44" s="4" t="str">
        <f t="shared" si="2"/>
        <v>SW</v>
      </c>
      <c r="X44" s="4" t="str">
        <v>obj_003a5</v>
      </c>
      <c r="Y44" s="4" t="str">
        <f>IFERROR(_xll.qlRateHelperQuoteName(X44,Trigger),"")</f>
        <v>EUR3MSW19Y_Shifted</v>
      </c>
      <c r="Z44" s="73">
        <f>IFERROR(_xll.qlRateHelperRate(X44,Trigger),"")</f>
        <v>1.1079011620000001E-2</v>
      </c>
      <c r="AA44" s="105">
        <f>IF(ISERROR(_xll.qlSwapRateHelperSpread($X44)),IF(ISERROR(_xll.qlFuturesRateHelperConvexityAdjustment($X44)),"",_xll.qlFuturesRateHelperConvexityAdjustment($X44)),_xll.qlSwapRateHelperSpread($X44))</f>
        <v>0</v>
      </c>
      <c r="AB44" s="5">
        <f>IFERROR(_xll.qlRateHelperEarliestDate(X44,Trigger),"")</f>
        <v>42748</v>
      </c>
      <c r="AC44" s="5">
        <f>IFERROR(_xll.qlRateHelperPillarDate(X44,Trigger),"")</f>
        <v>49688</v>
      </c>
      <c r="AD44" s="73">
        <v>1.1417525098495159E-2</v>
      </c>
    </row>
    <row r="45" spans="1:30" ht="11.25" customHeight="1" x14ac:dyDescent="0.2">
      <c r="A45" s="62" t="s">
        <v>96</v>
      </c>
      <c r="B45" s="116" t="str">
        <f>Quote!W42</f>
        <v>H9</v>
      </c>
      <c r="C45" s="125"/>
      <c r="D45" s="125"/>
      <c r="E45" s="125"/>
      <c r="F45" s="125"/>
      <c r="G45" s="64" t="str">
        <f t="shared" si="12"/>
        <v>Euribor3MMX#0006</v>
      </c>
      <c r="H45" s="119" t="str">
        <f>IF(ISBLANK(Quote!Y42),"",Quote!Y42)</f>
        <v>EUR3MFUTH9#0006</v>
      </c>
      <c r="I45" s="119" t="str">
        <f>_xll.qlCompositeQuote(Currency&amp;"3M"&amp;A45&amp;B45&amp;"_Shifted",H45,BumpValue,"+",Permanent,Trigger,ObjectOverwrite)</f>
        <v>EUR3MFUTH9_Shifted#0006</v>
      </c>
      <c r="J45" s="119">
        <v>0</v>
      </c>
      <c r="K45" s="67" t="str">
        <f>_xll.qlFuturesRateHelper(,IF(Sensitivity,I45,H45),FuturesType,B45,G45,J45,Permanent,Trigger,ObjectOverwrite)</f>
        <v>obj_003fd#0006</v>
      </c>
      <c r="M45" s="10" t="str">
        <f t="shared" si="10"/>
        <v>FUT</v>
      </c>
      <c r="N45" s="95" t="str">
        <f t="shared" si="11"/>
        <v>--</v>
      </c>
      <c r="O45" s="146" t="str">
        <f>IFERROR(_xll.qlRateHelperQuoteName(N45,Trigger),"--")</f>
        <v>--</v>
      </c>
      <c r="P45" s="151" t="str">
        <f>IFERROR(_xll.qlRateHelperQuoteValue($N45,Trigger),"--")</f>
        <v>--</v>
      </c>
      <c r="Q45" s="98" t="b">
        <v>0</v>
      </c>
      <c r="R45" s="95">
        <v>60</v>
      </c>
      <c r="S45" s="95">
        <v>21</v>
      </c>
      <c r="T45" s="100" t="str">
        <f>IFERROR(_xll.qlRateHelperEarliestDate(N45,Trigger),"--")</f>
        <v>--</v>
      </c>
      <c r="U45" s="100" t="str">
        <f>IFERROR(_xll.qlRateHelperPillarDate(N45,Trigger),"--")</f>
        <v>--</v>
      </c>
      <c r="W45" s="4" t="str">
        <f t="shared" si="2"/>
        <v>SW</v>
      </c>
      <c r="X45" s="4" t="str">
        <v>obj_0035e</v>
      </c>
      <c r="Y45" s="4" t="str">
        <f>IFERROR(_xll.qlRateHelperQuoteName(X45,Trigger),"")</f>
        <v>EUR3MSW20Y_Shifted</v>
      </c>
      <c r="Z45" s="73">
        <f>IFERROR(_xll.qlRateHelperRate(X45,Trigger),"")</f>
        <v>1.1300000000000001E-2</v>
      </c>
      <c r="AA45" s="105">
        <f>IF(ISERROR(_xll.qlSwapRateHelperSpread($X45)),IF(ISERROR(_xll.qlFuturesRateHelperConvexityAdjustment($X45)),"",_xll.qlFuturesRateHelperConvexityAdjustment($X45)),_xll.qlSwapRateHelperSpread($X45))</f>
        <v>0</v>
      </c>
      <c r="AB45" s="5">
        <f>IFERROR(_xll.qlRateHelperEarliestDate(X45,Trigger),"")</f>
        <v>42748</v>
      </c>
      <c r="AC45" s="5">
        <f>IFERROR(_xll.qlRateHelperPillarDate(X45,Trigger),"")</f>
        <v>50053</v>
      </c>
      <c r="AD45" s="73">
        <v>1.1648516523653474E-2</v>
      </c>
    </row>
    <row r="46" spans="1:30" ht="11.25" customHeight="1" x14ac:dyDescent="0.2">
      <c r="A46" s="62" t="s">
        <v>96</v>
      </c>
      <c r="B46" s="116" t="str">
        <f>Quote!W43</f>
        <v>M9</v>
      </c>
      <c r="C46" s="125"/>
      <c r="D46" s="125"/>
      <c r="E46" s="125"/>
      <c r="F46" s="125"/>
      <c r="G46" s="64" t="str">
        <f t="shared" si="12"/>
        <v>Euribor3MMX#0006</v>
      </c>
      <c r="H46" s="119" t="str">
        <f>IF(ISBLANK(Quote!Y43),"",Quote!Y43)</f>
        <v>EUR3MFUTM9#0006</v>
      </c>
      <c r="I46" s="119" t="str">
        <f>_xll.qlCompositeQuote(Currency&amp;"3M"&amp;A46&amp;B46&amp;"_Shifted",H46,BumpValue,"+",Permanent,Trigger,ObjectOverwrite)</f>
        <v>EUR3MFUTM9_Shifted#0006</v>
      </c>
      <c r="J46" s="119">
        <v>0</v>
      </c>
      <c r="K46" s="67" t="str">
        <f>_xll.qlFuturesRateHelper(,IF(Sensitivity,I46,H46),FuturesType,B46,G46,J46,Permanent,Trigger,ObjectOverwrite)</f>
        <v>obj_003fc#0006</v>
      </c>
      <c r="M46" s="10" t="str">
        <f t="shared" si="10"/>
        <v>FUT</v>
      </c>
      <c r="N46" s="95" t="str">
        <f t="shared" si="11"/>
        <v>--</v>
      </c>
      <c r="O46" s="146" t="str">
        <f>IFERROR(_xll.qlRateHelperQuoteName(N46,Trigger),"--")</f>
        <v>--</v>
      </c>
      <c r="P46" s="151" t="str">
        <f>IFERROR(_xll.qlRateHelperQuoteValue($N46,Trigger),"--")</f>
        <v>--</v>
      </c>
      <c r="Q46" s="98" t="b">
        <v>0</v>
      </c>
      <c r="R46" s="95">
        <v>30</v>
      </c>
      <c r="S46" s="95">
        <v>21</v>
      </c>
      <c r="T46" s="100" t="str">
        <f>IFERROR(_xll.qlRateHelperEarliestDate(N46,Trigger),"--")</f>
        <v>--</v>
      </c>
      <c r="U46" s="100" t="str">
        <f>IFERROR(_xll.qlRateHelperPillarDate(N46,Trigger),"--")</f>
        <v>--</v>
      </c>
      <c r="W46" s="4" t="str">
        <f t="shared" si="2"/>
        <v>SW</v>
      </c>
      <c r="X46" s="4" t="str">
        <v>obj_003bb</v>
      </c>
      <c r="Y46" s="4" t="str">
        <f>IFERROR(_xll.qlRateHelperQuoteName(X46,Trigger),"")</f>
        <v>EUR3MSW21Y_Shifted</v>
      </c>
      <c r="Z46" s="73">
        <f>IFERROR(_xll.qlRateHelperRate(X46,Trigger),"")</f>
        <v>1.1478016360000001E-2</v>
      </c>
      <c r="AA46" s="105">
        <f>IF(ISERROR(_xll.qlSwapRateHelperSpread($X46)),IF(ISERROR(_xll.qlFuturesRateHelperConvexityAdjustment($X46)),"",_xll.qlFuturesRateHelperConvexityAdjustment($X46)),_xll.qlSwapRateHelperSpread($X46))</f>
        <v>0</v>
      </c>
      <c r="AB46" s="5">
        <f>IFERROR(_xll.qlRateHelperEarliestDate(X46,Trigger),"")</f>
        <v>42748</v>
      </c>
      <c r="AC46" s="5">
        <f>IFERROR(_xll.qlRateHelperPillarDate(X46,Trigger),"")</f>
        <v>50418</v>
      </c>
      <c r="AD46" s="73">
        <v>1.1833997648399772E-2</v>
      </c>
    </row>
    <row r="47" spans="1:30" ht="11.25" customHeight="1" x14ac:dyDescent="0.2">
      <c r="A47" s="62" t="s">
        <v>96</v>
      </c>
      <c r="B47" s="116" t="str">
        <f>Quote!W44</f>
        <v>U9</v>
      </c>
      <c r="C47" s="125"/>
      <c r="D47" s="125"/>
      <c r="E47" s="125"/>
      <c r="F47" s="125"/>
      <c r="G47" s="64" t="str">
        <f t="shared" si="12"/>
        <v>Euribor3MMX#0006</v>
      </c>
      <c r="H47" s="119" t="str">
        <f>IF(ISBLANK(Quote!Y44),"",Quote!Y44)</f>
        <v>EUR3MFUTU9#0006</v>
      </c>
      <c r="I47" s="119" t="str">
        <f>_xll.qlCompositeQuote(Currency&amp;"3M"&amp;A47&amp;B47&amp;"_Shifted",H47,BumpValue,"+",Permanent,Trigger,ObjectOverwrite)</f>
        <v>EUR3MFUTU9_Shifted#0006</v>
      </c>
      <c r="J47" s="119">
        <v>0</v>
      </c>
      <c r="K47" s="67" t="str">
        <f>_xll.qlFuturesRateHelper(,IF(Sensitivity,I47,H47),FuturesType,B47,G47,J47,Permanent,Trigger,ObjectOverwrite)</f>
        <v>obj_003ff#0006</v>
      </c>
      <c r="M47" s="10" t="str">
        <f t="shared" si="10"/>
        <v>FUT</v>
      </c>
      <c r="N47" s="95" t="str">
        <f t="shared" si="11"/>
        <v>--</v>
      </c>
      <c r="O47" s="146" t="str">
        <f>IFERROR(_xll.qlRateHelperQuoteName(N47,Trigger),"--")</f>
        <v>--</v>
      </c>
      <c r="P47" s="151" t="str">
        <f>IFERROR(_xll.qlRateHelperQuoteValue($N47,Trigger),"--")</f>
        <v>--</v>
      </c>
      <c r="Q47" s="98" t="b">
        <v>0</v>
      </c>
      <c r="R47" s="95">
        <v>30</v>
      </c>
      <c r="S47" s="95">
        <v>21</v>
      </c>
      <c r="T47" s="100" t="str">
        <f>IFERROR(_xll.qlRateHelperEarliestDate(N47,Trigger),"--")</f>
        <v>--</v>
      </c>
      <c r="U47" s="100" t="str">
        <f>IFERROR(_xll.qlRateHelperPillarDate(N47,Trigger),"--")</f>
        <v>--</v>
      </c>
      <c r="W47" s="4" t="str">
        <f t="shared" si="2"/>
        <v>SW</v>
      </c>
      <c r="X47" s="4" t="str">
        <v>obj_00349</v>
      </c>
      <c r="Y47" s="4" t="str">
        <f>IFERROR(_xll.qlRateHelperQuoteName(X47,Trigger),"")</f>
        <v>EUR3MSW22Y_Shifted</v>
      </c>
      <c r="Z47" s="73">
        <f>IFERROR(_xll.qlRateHelperRate(X47,Trigger),"")</f>
        <v>1.1621513810000001E-2</v>
      </c>
      <c r="AA47" s="105">
        <f>IF(ISERROR(_xll.qlSwapRateHelperSpread($X47)),IF(ISERROR(_xll.qlFuturesRateHelperConvexityAdjustment($X47)),"",_xll.qlFuturesRateHelperConvexityAdjustment($X47)),_xll.qlSwapRateHelperSpread($X47))</f>
        <v>0</v>
      </c>
      <c r="AB47" s="5">
        <f>IFERROR(_xll.qlRateHelperEarliestDate(X47,Trigger),"")</f>
        <v>42748</v>
      </c>
      <c r="AC47" s="5">
        <f>IFERROR(_xll.qlRateHelperPillarDate(X47,Trigger),"")</f>
        <v>50783</v>
      </c>
      <c r="AD47" s="73">
        <v>1.1981485846300313E-2</v>
      </c>
    </row>
    <row r="48" spans="1:30" ht="11.25" customHeight="1" x14ac:dyDescent="0.2">
      <c r="A48" s="216" t="s">
        <v>96</v>
      </c>
      <c r="B48" s="217" t="str">
        <f>Quote!W33</f>
        <v>12X15</v>
      </c>
      <c r="C48" s="275"/>
      <c r="D48" s="275"/>
      <c r="E48" s="275"/>
      <c r="F48" s="275"/>
      <c r="G48" s="218" t="str">
        <f t="shared" si="12"/>
        <v>Euribor3MMX#0006</v>
      </c>
      <c r="H48" s="337" t="str">
        <f>IF(ISBLANK(Quote!Y33),"",Quote!Y33)</f>
        <v>EUR3MFRA12X15F=#0006</v>
      </c>
      <c r="I48" s="275"/>
      <c r="J48" s="275"/>
      <c r="K48" s="275"/>
      <c r="M48" s="10" t="str">
        <f t="shared" si="10"/>
        <v>FUT</v>
      </c>
      <c r="N48" s="95" t="str">
        <f t="shared" si="11"/>
        <v>--</v>
      </c>
      <c r="O48" s="146" t="str">
        <f>IFERROR(_xll.qlRateHelperQuoteName(N48,Trigger),"--")</f>
        <v>--</v>
      </c>
      <c r="P48" s="151" t="str">
        <f>IFERROR(_xll.qlRateHelperQuoteValue($N48,Trigger),"--")</f>
        <v>--</v>
      </c>
      <c r="Q48" s="98" t="b">
        <v>0</v>
      </c>
      <c r="R48" s="95">
        <v>30</v>
      </c>
      <c r="S48" s="95">
        <v>21</v>
      </c>
      <c r="T48" s="100" t="str">
        <f>IFERROR(_xll.qlRateHelperEarliestDate(N48,Trigger),"--")</f>
        <v>--</v>
      </c>
      <c r="U48" s="100" t="str">
        <f>IFERROR(_xll.qlRateHelperPillarDate(N48,Trigger),"--")</f>
        <v>--</v>
      </c>
      <c r="W48" s="4" t="str">
        <f t="shared" si="2"/>
        <v>SW</v>
      </c>
      <c r="X48" s="4" t="str">
        <v>obj_003b4</v>
      </c>
      <c r="Y48" s="4" t="str">
        <f>IFERROR(_xll.qlRateHelperQuoteName(X48,Trigger),"")</f>
        <v>EUR3MSW23Y_Shifted</v>
      </c>
      <c r="Z48" s="73">
        <f>IFERROR(_xll.qlRateHelperRate(X48,Trigger),"")</f>
        <v>1.1736941690000001E-2</v>
      </c>
      <c r="AA48" s="105">
        <f>IF(ISERROR(_xll.qlSwapRateHelperSpread($X48)),IF(ISERROR(_xll.qlFuturesRateHelperConvexityAdjustment($X48)),"",_xll.qlFuturesRateHelperConvexityAdjustment($X48)),_xll.qlSwapRateHelperSpread($X48))</f>
        <v>0</v>
      </c>
      <c r="AB48" s="5">
        <f>IFERROR(_xll.qlRateHelperEarliestDate(X48,Trigger),"")</f>
        <v>42748</v>
      </c>
      <c r="AC48" s="5">
        <f>IFERROR(_xll.qlRateHelperPillarDate(X48,Trigger),"")</f>
        <v>51148</v>
      </c>
      <c r="AD48" s="73">
        <v>1.209797805867679E-2</v>
      </c>
    </row>
    <row r="49" spans="1:30" ht="11.25" customHeight="1" x14ac:dyDescent="0.2">
      <c r="A49" s="62" t="s">
        <v>96</v>
      </c>
      <c r="B49" s="116" t="e">
        <f>Quote!#REF!</f>
        <v>#REF!</v>
      </c>
      <c r="C49" s="125"/>
      <c r="D49" s="125"/>
      <c r="E49" s="125"/>
      <c r="F49" s="125"/>
      <c r="G49" s="64" t="str">
        <f t="shared" si="12"/>
        <v>Euribor3MMX#0006</v>
      </c>
      <c r="H49" s="119" t="e">
        <f>IF(ISBLANK(Quote!#REF!),"",Quote!#REF!)</f>
        <v>#REF!</v>
      </c>
      <c r="I49" s="125"/>
      <c r="J49" s="125"/>
      <c r="K49" s="125"/>
      <c r="M49" s="10" t="str">
        <f t="shared" si="10"/>
        <v>FUT</v>
      </c>
      <c r="N49" s="95" t="str">
        <f t="shared" si="11"/>
        <v>--</v>
      </c>
      <c r="O49" s="146" t="str">
        <f>IFERROR(_xll.qlRateHelperQuoteName(N49,Trigger),"--")</f>
        <v>--</v>
      </c>
      <c r="P49" s="151" t="str">
        <f>IFERROR(_xll.qlRateHelperQuoteValue($N49,Trigger),"--")</f>
        <v>--</v>
      </c>
      <c r="Q49" s="98" t="b">
        <v>0</v>
      </c>
      <c r="R49" s="95">
        <v>30</v>
      </c>
      <c r="S49" s="95">
        <v>21</v>
      </c>
      <c r="T49" s="100" t="str">
        <f>IFERROR(_xll.qlRateHelperEarliestDate(N49,Trigger),"--")</f>
        <v>--</v>
      </c>
      <c r="U49" s="100" t="str">
        <f>IFERROR(_xll.qlRateHelperPillarDate(N49,Trigger),"--")</f>
        <v>--</v>
      </c>
      <c r="W49" s="4" t="str">
        <f t="shared" si="2"/>
        <v>SW</v>
      </c>
      <c r="X49" s="4" t="str">
        <v>obj_00356</v>
      </c>
      <c r="Y49" s="4" t="str">
        <f>IFERROR(_xll.qlRateHelperQuoteName(X49,Trigger),"")</f>
        <v>EUR3MSW24Y_Shifted</v>
      </c>
      <c r="Z49" s="73">
        <f>IFERROR(_xll.qlRateHelperRate(X49,Trigger),"")</f>
        <v>1.1832203110000002E-2</v>
      </c>
      <c r="AA49" s="105">
        <f>IF(ISERROR(_xll.qlSwapRateHelperSpread($X49)),IF(ISERROR(_xll.qlFuturesRateHelperConvexityAdjustment($X49)),"",_xll.qlFuturesRateHelperConvexityAdjustment($X49)),_xll.qlSwapRateHelperSpread($X49))</f>
        <v>0</v>
      </c>
      <c r="AB49" s="5">
        <f>IFERROR(_xll.qlRateHelperEarliestDate(X49,Trigger),"")</f>
        <v>42748</v>
      </c>
      <c r="AC49" s="5">
        <f>IFERROR(_xll.qlRateHelperPillarDate(X49,Trigger),"")</f>
        <v>51515</v>
      </c>
      <c r="AD49" s="73">
        <v>1.2190925223654055E-2</v>
      </c>
    </row>
    <row r="50" spans="1:30" ht="11.25" customHeight="1" x14ac:dyDescent="0.2">
      <c r="A50" s="62" t="s">
        <v>96</v>
      </c>
      <c r="B50" s="116" t="e">
        <f>Quote!#REF!</f>
        <v>#REF!</v>
      </c>
      <c r="C50" s="125"/>
      <c r="D50" s="125"/>
      <c r="E50" s="125"/>
      <c r="F50" s="125"/>
      <c r="G50" s="64" t="str">
        <f t="shared" si="12"/>
        <v>Euribor3MMX#0006</v>
      </c>
      <c r="H50" s="119" t="e">
        <f>IF(ISBLANK(Quote!#REF!),"",Quote!#REF!)</f>
        <v>#REF!</v>
      </c>
      <c r="I50" s="125"/>
      <c r="J50" s="125"/>
      <c r="K50" s="125"/>
      <c r="M50" s="10" t="str">
        <f t="shared" si="10"/>
        <v>FUT</v>
      </c>
      <c r="N50" s="95" t="str">
        <f t="shared" si="11"/>
        <v>--</v>
      </c>
      <c r="O50" s="146" t="str">
        <f>IFERROR(_xll.qlRateHelperQuoteName(N50,Trigger),"--")</f>
        <v>--</v>
      </c>
      <c r="P50" s="151" t="str">
        <f>IFERROR(_xll.qlRateHelperQuoteValue($N50,Trigger),"--")</f>
        <v>--</v>
      </c>
      <c r="Q50" s="98" t="b">
        <v>0</v>
      </c>
      <c r="R50" s="95">
        <v>30</v>
      </c>
      <c r="S50" s="95">
        <v>21</v>
      </c>
      <c r="T50" s="100" t="str">
        <f>IFERROR(_xll.qlRateHelperEarliestDate(N50,Trigger),"--")</f>
        <v>--</v>
      </c>
      <c r="U50" s="100" t="str">
        <f>IFERROR(_xll.qlRateHelperPillarDate(N50,Trigger),"--")</f>
        <v>--</v>
      </c>
      <c r="W50" s="4" t="str">
        <f t="shared" si="2"/>
        <v>SW</v>
      </c>
      <c r="X50" s="4" t="str">
        <v>obj_003c4</v>
      </c>
      <c r="Y50" s="4" t="str">
        <f>IFERROR(_xll.qlRateHelperQuoteName(X50,Trigger),"")</f>
        <v>EUR3MSW25Y_Shifted</v>
      </c>
      <c r="Z50" s="73">
        <f>IFERROR(_xll.qlRateHelperRate(X50,Trigger),"")</f>
        <v>1.191E-2</v>
      </c>
      <c r="AA50" s="105">
        <f>IF(ISERROR(_xll.qlSwapRateHelperSpread($X50)),IF(ISERROR(_xll.qlFuturesRateHelperConvexityAdjustment($X50)),"",_xll.qlFuturesRateHelperConvexityAdjustment($X50)),_xll.qlSwapRateHelperSpread($X50))</f>
        <v>0</v>
      </c>
      <c r="AB50" s="5">
        <f>IFERROR(_xll.qlRateHelperEarliestDate(X50,Trigger),"")</f>
        <v>42748</v>
      </c>
      <c r="AC50" s="5">
        <f>IFERROR(_xll.qlRateHelperPillarDate(X50,Trigger),"")</f>
        <v>51879</v>
      </c>
      <c r="AD50" s="73">
        <v>1.2266154097848295E-2</v>
      </c>
    </row>
    <row r="51" spans="1:30" ht="11.25" customHeight="1" x14ac:dyDescent="0.2">
      <c r="A51" s="62" t="s">
        <v>96</v>
      </c>
      <c r="B51" s="116" t="e">
        <f>Quote!#REF!</f>
        <v>#REF!</v>
      </c>
      <c r="C51" s="125"/>
      <c r="D51" s="125"/>
      <c r="E51" s="125"/>
      <c r="F51" s="125"/>
      <c r="G51" s="64" t="str">
        <f t="shared" si="12"/>
        <v>Euribor3MMX#0006</v>
      </c>
      <c r="H51" s="119" t="e">
        <f>IF(ISBLANK(Quote!#REF!),"",Quote!#REF!)</f>
        <v>#REF!</v>
      </c>
      <c r="I51" s="125"/>
      <c r="J51" s="125"/>
      <c r="K51" s="125"/>
      <c r="M51" s="10" t="str">
        <f t="shared" si="10"/>
        <v>FUT</v>
      </c>
      <c r="N51" s="95" t="str">
        <f t="shared" si="11"/>
        <v>--</v>
      </c>
      <c r="O51" s="146" t="str">
        <f>IFERROR(_xll.qlRateHelperQuoteName(N51,Trigger),"--")</f>
        <v>--</v>
      </c>
      <c r="P51" s="151" t="str">
        <f>IFERROR(_xll.qlRateHelperQuoteValue($N51,Trigger),"--")</f>
        <v>--</v>
      </c>
      <c r="Q51" s="98" t="b">
        <v>0</v>
      </c>
      <c r="R51" s="95">
        <v>30</v>
      </c>
      <c r="S51" s="95">
        <v>21</v>
      </c>
      <c r="T51" s="100" t="str">
        <f>IFERROR(_xll.qlRateHelperEarliestDate(N51,Trigger),"--")</f>
        <v>--</v>
      </c>
      <c r="U51" s="100" t="str">
        <f>IFERROR(_xll.qlRateHelperPillarDate(N51,Trigger),"--")</f>
        <v>--</v>
      </c>
      <c r="W51" s="4" t="str">
        <f t="shared" si="2"/>
        <v>SW</v>
      </c>
      <c r="X51" s="4" t="str">
        <v>obj_003a9</v>
      </c>
      <c r="Y51" s="4" t="str">
        <f>IFERROR(_xll.qlRateHelperQuoteName(X51,Trigger),"")</f>
        <v>EUR3MSW26Y_Shifted</v>
      </c>
      <c r="Z51" s="73">
        <f>IFERROR(_xll.qlRateHelperRate(X51,Trigger),"")</f>
        <v>1.1977744699999999E-2</v>
      </c>
      <c r="AA51" s="105">
        <f>IF(ISERROR(_xll.qlSwapRateHelperSpread($X51)),IF(ISERROR(_xll.qlFuturesRateHelperConvexityAdjustment($X51)),"",_xll.qlFuturesRateHelperConvexityAdjustment($X51)),_xll.qlSwapRateHelperSpread($X51))</f>
        <v>0</v>
      </c>
      <c r="AB51" s="5">
        <f>IFERROR(_xll.qlRateHelperEarliestDate(X51,Trigger),"")</f>
        <v>42748</v>
      </c>
      <c r="AC51" s="5">
        <f>IFERROR(_xll.qlRateHelperPillarDate(X51,Trigger),"")</f>
        <v>52244</v>
      </c>
      <c r="AD51" s="73">
        <v>1.2330682788890936E-2</v>
      </c>
    </row>
    <row r="52" spans="1:30" ht="11.25" customHeight="1" x14ac:dyDescent="0.2">
      <c r="A52" s="62" t="s">
        <v>96</v>
      </c>
      <c r="B52" s="116" t="e">
        <f>Quote!#REF!</f>
        <v>#REF!</v>
      </c>
      <c r="C52" s="125"/>
      <c r="D52" s="125"/>
      <c r="E52" s="125"/>
      <c r="F52" s="125"/>
      <c r="G52" s="64" t="str">
        <f t="shared" si="12"/>
        <v>Euribor3MMX#0006</v>
      </c>
      <c r="H52" s="119" t="e">
        <f>IF(ISBLANK(Quote!#REF!),"",Quote!#REF!)</f>
        <v>#REF!</v>
      </c>
      <c r="I52" s="125"/>
      <c r="J52" s="125"/>
      <c r="K52" s="125"/>
      <c r="M52" s="10" t="str">
        <f t="shared" si="10"/>
        <v>FUT</v>
      </c>
      <c r="N52" s="95" t="str">
        <f t="shared" si="11"/>
        <v>--</v>
      </c>
      <c r="O52" s="146" t="str">
        <f>IFERROR(_xll.qlRateHelperQuoteName(N52,Trigger),"--")</f>
        <v>--</v>
      </c>
      <c r="P52" s="151" t="str">
        <f>IFERROR(_xll.qlRateHelperQuoteValue($N52,Trigger),"--")</f>
        <v>--</v>
      </c>
      <c r="Q52" s="98" t="b">
        <v>0</v>
      </c>
      <c r="R52" s="95">
        <v>30</v>
      </c>
      <c r="S52" s="95">
        <v>21</v>
      </c>
      <c r="T52" s="100" t="str">
        <f>IFERROR(_xll.qlRateHelperEarliestDate(N52,Trigger),"--")</f>
        <v>--</v>
      </c>
      <c r="U52" s="100" t="str">
        <f>IFERROR(_xll.qlRateHelperPillarDate(N52,Trigger),"--")</f>
        <v>--</v>
      </c>
      <c r="W52" s="4" t="str">
        <f t="shared" si="2"/>
        <v>SW</v>
      </c>
      <c r="X52" s="4" t="str">
        <v>obj_003bd</v>
      </c>
      <c r="Y52" s="4" t="str">
        <f>IFERROR(_xll.qlRateHelperQuoteName(X52,Trigger),"")</f>
        <v>EUR3MSW27Y_Shifted</v>
      </c>
      <c r="Z52" s="73">
        <f>IFERROR(_xll.qlRateHelperRate(X52,Trigger),"")</f>
        <v>1.2037272110000002E-2</v>
      </c>
      <c r="AA52" s="105">
        <f>IF(ISERROR(_xll.qlSwapRateHelperSpread($X52)),IF(ISERROR(_xll.qlFuturesRateHelperConvexityAdjustment($X52)),"",_xll.qlFuturesRateHelperConvexityAdjustment($X52)),_xll.qlSwapRateHelperSpread($X52))</f>
        <v>0</v>
      </c>
      <c r="AB52" s="5">
        <f>IFERROR(_xll.qlRateHelperEarliestDate(X52,Trigger),"")</f>
        <v>42748</v>
      </c>
      <c r="AC52" s="5">
        <f>IFERROR(_xll.qlRateHelperPillarDate(X52,Trigger),"")</f>
        <v>52609</v>
      </c>
      <c r="AD52" s="73">
        <v>1.2386568995841752E-2</v>
      </c>
    </row>
    <row r="53" spans="1:30" ht="11.25" customHeight="1" x14ac:dyDescent="0.2">
      <c r="A53" s="62" t="s">
        <v>96</v>
      </c>
      <c r="B53" s="116" t="e">
        <f>Quote!#REF!</f>
        <v>#REF!</v>
      </c>
      <c r="C53" s="125"/>
      <c r="D53" s="125"/>
      <c r="E53" s="125"/>
      <c r="F53" s="125"/>
      <c r="G53" s="64" t="str">
        <f t="shared" si="12"/>
        <v>Euribor3MMX#0006</v>
      </c>
      <c r="H53" s="119" t="e">
        <f>IF(ISBLANK(Quote!#REF!),"",Quote!#REF!)</f>
        <v>#REF!</v>
      </c>
      <c r="I53" s="125"/>
      <c r="J53" s="125"/>
      <c r="K53" s="125"/>
      <c r="M53" s="10" t="str">
        <f t="shared" si="10"/>
        <v>FUT</v>
      </c>
      <c r="N53" s="95" t="str">
        <f t="shared" si="11"/>
        <v>--</v>
      </c>
      <c r="O53" s="146" t="str">
        <f>IFERROR(_xll.qlRateHelperQuoteName(N53,Trigger),"--")</f>
        <v>--</v>
      </c>
      <c r="P53" s="151" t="str">
        <f>IFERROR(_xll.qlRateHelperQuoteValue($N53,Trigger),"--")</f>
        <v>--</v>
      </c>
      <c r="Q53" s="98" t="b">
        <v>0</v>
      </c>
      <c r="R53" s="95">
        <v>30</v>
      </c>
      <c r="S53" s="95">
        <v>21</v>
      </c>
      <c r="T53" s="100" t="str">
        <f>IFERROR(_xll.qlRateHelperEarliestDate(N53,Trigger),"--")</f>
        <v>--</v>
      </c>
      <c r="U53" s="100" t="str">
        <f>IFERROR(_xll.qlRateHelperPillarDate(N53,Trigger),"--")</f>
        <v>--</v>
      </c>
      <c r="W53" s="4" t="str">
        <f t="shared" si="2"/>
        <v>SW</v>
      </c>
      <c r="X53" s="4" t="str">
        <v>obj_00395</v>
      </c>
      <c r="Y53" s="4" t="str">
        <f>IFERROR(_xll.qlRateHelperQuoteName(X53,Trigger),"")</f>
        <v>EUR3MSW28Y_Shifted</v>
      </c>
      <c r="Z53" s="73">
        <f>IFERROR(_xll.qlRateHelperRate(X53,Trigger),"")</f>
        <v>1.2090932170000002E-2</v>
      </c>
      <c r="AA53" s="105">
        <f>IF(ISERROR(_xll.qlSwapRateHelperSpread($X53)),IF(ISERROR(_xll.qlFuturesRateHelperConvexityAdjustment($X53)),"",_xll.qlFuturesRateHelperConvexityAdjustment($X53)),_xll.qlSwapRateHelperSpread($X53))</f>
        <v>0</v>
      </c>
      <c r="AB53" s="5">
        <f>IFERROR(_xll.qlRateHelperEarliestDate(X53,Trigger),"")</f>
        <v>42748</v>
      </c>
      <c r="AC53" s="5">
        <f>IFERROR(_xll.qlRateHelperPillarDate(X53,Trigger),"")</f>
        <v>52975</v>
      </c>
      <c r="AD53" s="73">
        <v>1.2435278902016801E-2</v>
      </c>
    </row>
    <row r="54" spans="1:30" ht="11.25" customHeight="1" x14ac:dyDescent="0.2">
      <c r="A54" s="62" t="s">
        <v>96</v>
      </c>
      <c r="B54" s="116" t="e">
        <f>Quote!#REF!</f>
        <v>#REF!</v>
      </c>
      <c r="C54" s="125"/>
      <c r="D54" s="125"/>
      <c r="E54" s="125"/>
      <c r="F54" s="125"/>
      <c r="G54" s="64" t="str">
        <f t="shared" si="12"/>
        <v>Euribor3MMX#0006</v>
      </c>
      <c r="H54" s="119" t="e">
        <f>IF(ISBLANK(Quote!#REF!),"",Quote!#REF!)</f>
        <v>#REF!</v>
      </c>
      <c r="I54" s="125"/>
      <c r="J54" s="125"/>
      <c r="K54" s="125"/>
      <c r="M54" s="11" t="str">
        <f t="shared" si="10"/>
        <v>FUT</v>
      </c>
      <c r="N54" s="96" t="str">
        <f t="shared" si="11"/>
        <v>--</v>
      </c>
      <c r="O54" s="147" t="str">
        <f>IFERROR(_xll.qlRateHelperQuoteName(N54,Trigger),"--")</f>
        <v>--</v>
      </c>
      <c r="P54" s="152" t="str">
        <f>IFERROR(_xll.qlRateHelperQuoteValue($N54,Trigger),"--")</f>
        <v>--</v>
      </c>
      <c r="Q54" s="101" t="b">
        <v>0</v>
      </c>
      <c r="R54" s="96">
        <v>30</v>
      </c>
      <c r="S54" s="96">
        <v>21</v>
      </c>
      <c r="T54" s="103" t="str">
        <f>IFERROR(_xll.qlRateHelperEarliestDate(N54,Trigger),"--")</f>
        <v>--</v>
      </c>
      <c r="U54" s="103" t="str">
        <f>IFERROR(_xll.qlRateHelperPillarDate(N54,Trigger),"--")</f>
        <v>--</v>
      </c>
      <c r="W54" s="4" t="str">
        <f t="shared" si="2"/>
        <v>SW</v>
      </c>
      <c r="X54" s="4" t="str">
        <v>obj_0033a</v>
      </c>
      <c r="Y54" s="4" t="str">
        <f>IFERROR(_xll.qlRateHelperQuoteName(X54,Trigger),"")</f>
        <v>EUR3MSW29Y_Shifted</v>
      </c>
      <c r="Z54" s="73">
        <f>IFERROR(_xll.qlRateHelperRate(X54,Trigger),"")</f>
        <v>1.2137921370000001E-2</v>
      </c>
      <c r="AA54" s="105">
        <f>IF(ISERROR(_xll.qlSwapRateHelperSpread($X54)),IF(ISERROR(_xll.qlFuturesRateHelperConvexityAdjustment($X54)),"",_xll.qlFuturesRateHelperConvexityAdjustment($X54)),_xll.qlSwapRateHelperSpread($X54))</f>
        <v>0</v>
      </c>
      <c r="AB54" s="5">
        <f>IFERROR(_xll.qlRateHelperEarliestDate(X54,Trigger),"")</f>
        <v>42748</v>
      </c>
      <c r="AC54" s="5">
        <f>IFERROR(_xll.qlRateHelperPillarDate(X54,Trigger),"")</f>
        <v>53342</v>
      </c>
      <c r="AD54" s="73">
        <v>1.2478110717973759E-2</v>
      </c>
    </row>
    <row r="55" spans="1:30" ht="11.25" customHeight="1" x14ac:dyDescent="0.2">
      <c r="A55" s="62" t="s">
        <v>96</v>
      </c>
      <c r="B55" s="116" t="e">
        <f>Quote!#REF!</f>
        <v>#REF!</v>
      </c>
      <c r="C55" s="125"/>
      <c r="D55" s="125"/>
      <c r="E55" s="125"/>
      <c r="F55" s="125"/>
      <c r="G55" s="64" t="str">
        <f t="shared" si="12"/>
        <v>Euribor3MMX#0006</v>
      </c>
      <c r="H55" s="119" t="e">
        <f>IF(ISBLANK(Quote!#REF!),"",Quote!#REF!)</f>
        <v>#REF!</v>
      </c>
      <c r="I55" s="125"/>
      <c r="J55" s="125"/>
      <c r="K55" s="125"/>
      <c r="M55" s="135" t="str">
        <f t="shared" ref="M55:M86" si="13">A61</f>
        <v>SW</v>
      </c>
      <c r="N55" s="136" t="str">
        <f t="shared" ref="N55:N86" si="14">IF(ISBLANK(K61),"--",K61)</f>
        <v>--</v>
      </c>
      <c r="O55" s="148" t="str">
        <f>IFERROR(_xll.qlRateHelperQuoteName(N55,Trigger),"--")</f>
        <v>--</v>
      </c>
      <c r="P55" s="138" t="str">
        <f>IFERROR(_xll.qlRateHelperQuoteValue($N55,Trigger),"--")</f>
        <v>--</v>
      </c>
      <c r="Q55" s="137" t="b">
        <v>0</v>
      </c>
      <c r="R55" s="136">
        <v>50</v>
      </c>
      <c r="S55" s="136">
        <v>1</v>
      </c>
      <c r="T55" s="139" t="str">
        <f>IFERROR(_xll.qlRateHelperEarliestDate(N55,Trigger),"--")</f>
        <v>--</v>
      </c>
      <c r="U55" s="139" t="str">
        <f>IFERROR(_xll.qlRateHelperPillarDate(N55,Trigger),"--")</f>
        <v>--</v>
      </c>
      <c r="W55" s="4" t="str">
        <f t="shared" si="2"/>
        <v>SW</v>
      </c>
      <c r="X55" s="4" t="str">
        <v>obj_003b0</v>
      </c>
      <c r="Y55" s="4" t="str">
        <f>IFERROR(_xll.qlRateHelperQuoteName(X55,Trigger),"")</f>
        <v>EUR3MSW30Y_Shifted</v>
      </c>
      <c r="Z55" s="73">
        <f>IFERROR(_xll.qlRateHelperRate(X55,Trigger),"")</f>
        <v>1.218E-2</v>
      </c>
      <c r="AA55" s="105">
        <f>IF(ISERROR(_xll.qlSwapRateHelperSpread($X55)),IF(ISERROR(_xll.qlFuturesRateHelperConvexityAdjustment($X55)),"",_xll.qlFuturesRateHelperConvexityAdjustment($X55)),_xll.qlSwapRateHelperSpread($X55))</f>
        <v>0</v>
      </c>
      <c r="AB55" s="5">
        <f>IFERROR(_xll.qlRateHelperEarliestDate(X55,Trigger),"")</f>
        <v>42748</v>
      </c>
      <c r="AC55" s="5">
        <f>IFERROR(_xll.qlRateHelperPillarDate(X55,Trigger),"")</f>
        <v>53706</v>
      </c>
      <c r="AD55" s="73">
        <v>1.2515992467343542E-2</v>
      </c>
    </row>
    <row r="56" spans="1:30" ht="11.25" customHeight="1" x14ac:dyDescent="0.2">
      <c r="A56" s="62" t="s">
        <v>96</v>
      </c>
      <c r="B56" s="116" t="e">
        <f>Quote!#REF!</f>
        <v>#REF!</v>
      </c>
      <c r="C56" s="125"/>
      <c r="D56" s="125"/>
      <c r="E56" s="125"/>
      <c r="F56" s="125"/>
      <c r="G56" s="64" t="str">
        <f t="shared" si="12"/>
        <v>Euribor3MMX#0006</v>
      </c>
      <c r="H56" s="119" t="e">
        <f>IF(ISBLANK(Quote!#REF!),"",Quote!#REF!)</f>
        <v>#REF!</v>
      </c>
      <c r="I56" s="125"/>
      <c r="J56" s="125"/>
      <c r="K56" s="125"/>
      <c r="M56" s="74" t="str">
        <f t="shared" si="13"/>
        <v>SW</v>
      </c>
      <c r="N56" s="140" t="str">
        <f t="shared" si="14"/>
        <v>--</v>
      </c>
      <c r="O56" s="149" t="str">
        <f>IFERROR(_xll.qlRateHelperQuoteName(N56,Trigger),"--")</f>
        <v>--</v>
      </c>
      <c r="P56" s="142" t="str">
        <f>IFERROR(_xll.qlRateHelperQuoteValue($N56,Trigger),"--")</f>
        <v>--</v>
      </c>
      <c r="Q56" s="141" t="b">
        <v>0</v>
      </c>
      <c r="R56" s="140">
        <v>50</v>
      </c>
      <c r="S56" s="140">
        <v>1</v>
      </c>
      <c r="T56" s="143" t="str">
        <f>IFERROR(_xll.qlRateHelperEarliestDate(N56,Trigger),"--")</f>
        <v>--</v>
      </c>
      <c r="U56" s="143" t="str">
        <f>IFERROR(_xll.qlRateHelperPillarDate(N56,Trigger),"--")</f>
        <v>--</v>
      </c>
      <c r="W56" s="4" t="str">
        <f t="shared" si="2"/>
        <v>SW</v>
      </c>
      <c r="X56" s="4" t="str">
        <v>obj_00336</v>
      </c>
      <c r="Y56" s="4" t="str">
        <f>IFERROR(_xll.qlRateHelperQuoteName(X56,Trigger),"")</f>
        <v>EUR3MSW31Y_Shifted</v>
      </c>
      <c r="Z56" s="73">
        <f>IFERROR(_xll.qlRateHelperRate(X56,Trigger),"")</f>
        <v>1.2218275390000002E-2</v>
      </c>
      <c r="AA56" s="105">
        <f>IF(ISERROR(_xll.qlSwapRateHelperSpread($X56)),IF(ISERROR(_xll.qlFuturesRateHelperConvexityAdjustment($X56)),"",_xll.qlFuturesRateHelperConvexityAdjustment($X56)),_xll.qlSwapRateHelperSpread($X56))</f>
        <v>0</v>
      </c>
      <c r="AB56" s="5">
        <f>IFERROR(_xll.qlRateHelperEarliestDate(X56,Trigger),"")</f>
        <v>42748</v>
      </c>
      <c r="AC56" s="5">
        <f>IFERROR(_xll.qlRateHelperPillarDate(X56,Trigger),"")</f>
        <v>54070</v>
      </c>
      <c r="AD56" s="73">
        <v>1.2550063484159912E-2</v>
      </c>
    </row>
    <row r="57" spans="1:30" ht="11.25" customHeight="1" x14ac:dyDescent="0.2">
      <c r="A57" s="62" t="s">
        <v>96</v>
      </c>
      <c r="B57" s="116" t="e">
        <f>Quote!#REF!</f>
        <v>#REF!</v>
      </c>
      <c r="C57" s="125"/>
      <c r="D57" s="125"/>
      <c r="E57" s="125"/>
      <c r="F57" s="125"/>
      <c r="G57" s="64" t="str">
        <f t="shared" si="12"/>
        <v>Euribor3MMX#0006</v>
      </c>
      <c r="H57" s="119" t="e">
        <f>IF(ISBLANK(Quote!#REF!),"",Quote!#REF!)</f>
        <v>#REF!</v>
      </c>
      <c r="I57" s="125"/>
      <c r="J57" s="125"/>
      <c r="K57" s="125"/>
      <c r="M57" s="74" t="str">
        <f t="shared" si="13"/>
        <v>SW</v>
      </c>
      <c r="N57" s="140" t="str">
        <f t="shared" si="14"/>
        <v>--</v>
      </c>
      <c r="O57" s="149" t="str">
        <f>IFERROR(_xll.qlRateHelperQuoteName(N57,Trigger),"--")</f>
        <v>--</v>
      </c>
      <c r="P57" s="142" t="str">
        <f>IFERROR(_xll.qlRateHelperQuoteValue($N57,Trigger),"--")</f>
        <v>--</v>
      </c>
      <c r="Q57" s="141" t="b">
        <v>0</v>
      </c>
      <c r="R57" s="140">
        <v>50</v>
      </c>
      <c r="S57" s="140">
        <v>1</v>
      </c>
      <c r="T57" s="143" t="str">
        <f>IFERROR(_xll.qlRateHelperEarliestDate(N57,Trigger),"--")</f>
        <v>--</v>
      </c>
      <c r="U57" s="143" t="str">
        <f>IFERROR(_xll.qlRateHelperPillarDate(N57,Trigger),"--")</f>
        <v>--</v>
      </c>
      <c r="W57" s="4" t="str">
        <f t="shared" si="2"/>
        <v>SW</v>
      </c>
      <c r="X57" s="4" t="str">
        <v>obj_0034a</v>
      </c>
      <c r="Y57" s="4" t="str">
        <f>IFERROR(_xll.qlRateHelperQuoteName(X57,Trigger),"")</f>
        <v>EUR3MSW32Y_Shifted</v>
      </c>
      <c r="Z57" s="73">
        <f>IFERROR(_xll.qlRateHelperRate(X57,Trigger),"")</f>
        <v>1.2253425690000002E-2</v>
      </c>
      <c r="AA57" s="105">
        <f>IF(ISERROR(_xll.qlSwapRateHelperSpread($X57)),IF(ISERROR(_xll.qlFuturesRateHelperConvexityAdjustment($X57)),"",_xll.qlFuturesRateHelperConvexityAdjustment($X57)),_xll.qlSwapRateHelperSpread($X57))</f>
        <v>0</v>
      </c>
      <c r="AB57" s="5">
        <f>IFERROR(_xll.qlRateHelperEarliestDate(X57,Trigger),"")</f>
        <v>42748</v>
      </c>
      <c r="AC57" s="5">
        <f>IFERROR(_xll.qlRateHelperPillarDate(X57,Trigger),"")</f>
        <v>54436</v>
      </c>
      <c r="AD57" s="73">
        <v>1.2579975854991923E-2</v>
      </c>
    </row>
    <row r="58" spans="1:30" ht="11.25" customHeight="1" x14ac:dyDescent="0.2">
      <c r="A58" s="1" t="s">
        <v>96</v>
      </c>
      <c r="B58" s="117" t="e">
        <f>Quote!#REF!</f>
        <v>#REF!</v>
      </c>
      <c r="C58" s="126"/>
      <c r="D58" s="126"/>
      <c r="E58" s="126"/>
      <c r="F58" s="126"/>
      <c r="G58" s="7" t="str">
        <f t="shared" si="12"/>
        <v>Euribor3MMX#0006</v>
      </c>
      <c r="H58" s="120" t="e">
        <f>IF(ISBLANK(Quote!#REF!),"",Quote!#REF!)</f>
        <v>#REF!</v>
      </c>
      <c r="I58" s="126"/>
      <c r="J58" s="126"/>
      <c r="K58" s="126"/>
      <c r="M58" s="74" t="str">
        <f t="shared" si="13"/>
        <v>SW</v>
      </c>
      <c r="N58" s="140" t="str">
        <f t="shared" si="14"/>
        <v>--</v>
      </c>
      <c r="O58" s="149" t="str">
        <f>IFERROR(_xll.qlRateHelperQuoteName(N58,Trigger),"--")</f>
        <v>--</v>
      </c>
      <c r="P58" s="142" t="str">
        <f>IFERROR(_xll.qlRateHelperQuoteValue($N58,Trigger),"--")</f>
        <v>--</v>
      </c>
      <c r="Q58" s="141" t="b">
        <v>0</v>
      </c>
      <c r="R58" s="140">
        <v>50</v>
      </c>
      <c r="S58" s="140">
        <v>1</v>
      </c>
      <c r="T58" s="143" t="str">
        <f>IFERROR(_xll.qlRateHelperEarliestDate(N58,Trigger),"--")</f>
        <v>--</v>
      </c>
      <c r="U58" s="143" t="str">
        <f>IFERROR(_xll.qlRateHelperPillarDate(N58,Trigger),"--")</f>
        <v>--</v>
      </c>
      <c r="W58" s="4" t="str">
        <f t="shared" si="2"/>
        <v>SW</v>
      </c>
      <c r="X58" s="4" t="str">
        <v>obj_003dc</v>
      </c>
      <c r="Y58" s="4" t="str">
        <f>IFERROR(_xll.qlRateHelperQuoteName(X58,Trigger),"")</f>
        <v>EUR3MSW33Y_Shifted</v>
      </c>
      <c r="Z58" s="73">
        <f>IFERROR(_xll.qlRateHelperRate(X58,Trigger),"")</f>
        <v>1.2283053770000002E-2</v>
      </c>
      <c r="AA58" s="105">
        <f>IF(ISERROR(_xll.qlSwapRateHelperSpread($X58)),IF(ISERROR(_xll.qlFuturesRateHelperConvexityAdjustment($X58)),"",_xll.qlFuturesRateHelperConvexityAdjustment($X58)),_xll.qlSwapRateHelperSpread($X58))</f>
        <v>0</v>
      </c>
      <c r="AB58" s="5">
        <f>IFERROR(_xll.qlRateHelperEarliestDate(X58,Trigger),"")</f>
        <v>42748</v>
      </c>
      <c r="AC58" s="5">
        <f>IFERROR(_xll.qlRateHelperPillarDate(X58,Trigger),"")</f>
        <v>54801</v>
      </c>
      <c r="AD58" s="73">
        <v>1.260488734987252E-2</v>
      </c>
    </row>
    <row r="59" spans="1:30" ht="11.25" customHeight="1" x14ac:dyDescent="0.2">
      <c r="H59" s="53"/>
      <c r="I59" s="53"/>
      <c r="M59" s="74" t="str">
        <f t="shared" si="13"/>
        <v>SW</v>
      </c>
      <c r="N59" s="140" t="str">
        <f t="shared" si="14"/>
        <v>--</v>
      </c>
      <c r="O59" s="149" t="str">
        <f>IFERROR(_xll.qlRateHelperQuoteName(N59,Trigger),"--")</f>
        <v>--</v>
      </c>
      <c r="P59" s="142" t="str">
        <f>IFERROR(_xll.qlRateHelperQuoteValue($N59,Trigger),"--")</f>
        <v>--</v>
      </c>
      <c r="Q59" s="141" t="b">
        <v>0</v>
      </c>
      <c r="R59" s="140">
        <v>50</v>
      </c>
      <c r="S59" s="140">
        <v>1</v>
      </c>
      <c r="T59" s="143" t="str">
        <f>IFERROR(_xll.qlRateHelperEarliestDate(N59,Trigger),"--")</f>
        <v>--</v>
      </c>
      <c r="U59" s="143" t="str">
        <f>IFERROR(_xll.qlRateHelperPillarDate(N59,Trigger),"--")</f>
        <v>--</v>
      </c>
      <c r="W59" s="4" t="str">
        <f t="shared" si="2"/>
        <v>SW</v>
      </c>
      <c r="X59" s="4" t="str">
        <v>obj_00335</v>
      </c>
      <c r="Y59" s="4" t="str">
        <f>IFERROR(_xll.qlRateHelperQuoteName(X59,Trigger),"")</f>
        <v>EUR3MSW34Y_Shifted</v>
      </c>
      <c r="Z59" s="73">
        <f>IFERROR(_xll.qlRateHelperRate(X59,Trigger),"")</f>
        <v>1.230771101E-2</v>
      </c>
      <c r="AA59" s="105">
        <f>IF(ISERROR(_xll.qlSwapRateHelperSpread($X59)),IF(ISERROR(_xll.qlFuturesRateHelperConvexityAdjustment($X59)),"",_xll.qlFuturesRateHelperConvexityAdjustment($X59)),_xll.qlSwapRateHelperSpread($X59))</f>
        <v>0</v>
      </c>
      <c r="AB59" s="5">
        <f>IFERROR(_xll.qlRateHelperEarliestDate(X59,Trigger),"")</f>
        <v>42748</v>
      </c>
      <c r="AC59" s="5">
        <f>IFERROR(_xll.qlRateHelperPillarDate(X59,Trigger),"")</f>
        <v>55166</v>
      </c>
      <c r="AD59" s="73">
        <v>1.2624301455474772E-2</v>
      </c>
    </row>
    <row r="60" spans="1:30" ht="11.25" customHeight="1" x14ac:dyDescent="0.2">
      <c r="A60" s="68" t="s">
        <v>9</v>
      </c>
      <c r="B60" s="68" t="s">
        <v>28</v>
      </c>
      <c r="C60" s="68" t="s">
        <v>135</v>
      </c>
      <c r="D60" s="68" t="s">
        <v>5</v>
      </c>
      <c r="E60" s="68" t="s">
        <v>32</v>
      </c>
      <c r="F60" s="68" t="s">
        <v>115</v>
      </c>
      <c r="G60" s="68" t="s">
        <v>4</v>
      </c>
      <c r="H60" s="68" t="s">
        <v>1</v>
      </c>
      <c r="I60" s="68" t="s">
        <v>171</v>
      </c>
      <c r="J60" s="68" t="s">
        <v>114</v>
      </c>
      <c r="K60" s="68" t="s">
        <v>25</v>
      </c>
      <c r="M60" s="74" t="str">
        <f t="shared" si="13"/>
        <v>SW</v>
      </c>
      <c r="N60" s="140" t="str">
        <f t="shared" si="14"/>
        <v>--</v>
      </c>
      <c r="O60" s="149" t="str">
        <f>IFERROR(_xll.qlRateHelperQuoteName(N60,Trigger),"--")</f>
        <v>--</v>
      </c>
      <c r="P60" s="142" t="str">
        <f>IFERROR(_xll.qlRateHelperQuoteValue($N60,Trigger),"--")</f>
        <v>--</v>
      </c>
      <c r="Q60" s="141" t="b">
        <v>0</v>
      </c>
      <c r="R60" s="140">
        <v>50</v>
      </c>
      <c r="S60" s="140">
        <v>1</v>
      </c>
      <c r="T60" s="143" t="str">
        <f>IFERROR(_xll.qlRateHelperEarliestDate(N60,Trigger),"--")</f>
        <v>--</v>
      </c>
      <c r="U60" s="143" t="str">
        <f>IFERROR(_xll.qlRateHelperPillarDate(N60,Trigger),"--")</f>
        <v>--</v>
      </c>
      <c r="W60" s="4" t="str">
        <f t="shared" si="2"/>
        <v>SW</v>
      </c>
      <c r="X60" s="4" t="str">
        <v>obj_003ce</v>
      </c>
      <c r="Y60" s="4" t="str">
        <f>IFERROR(_xll.qlRateHelperQuoteName(X60,Trigger),"")</f>
        <v>EUR3MSW35Y_Shifted</v>
      </c>
      <c r="Z60" s="73">
        <f>IFERROR(_xll.qlRateHelperRate(X60,Trigger),"")</f>
        <v>1.2327074239999999E-2</v>
      </c>
      <c r="AA60" s="105">
        <f>IF(ISERROR(_xll.qlSwapRateHelperSpread($X60)),IF(ISERROR(_xll.qlFuturesRateHelperConvexityAdjustment($X60)),"",_xll.qlFuturesRateHelperConvexityAdjustment($X60)),_xll.qlSwapRateHelperSpread($X60))</f>
        <v>0</v>
      </c>
      <c r="AB60" s="5">
        <f>IFERROR(_xll.qlRateHelperEarliestDate(X60,Trigger),"")</f>
        <v>42748</v>
      </c>
      <c r="AC60" s="5">
        <f>IFERROR(_xll.qlRateHelperPillarDate(X60,Trigger),"")</f>
        <v>55533</v>
      </c>
      <c r="AD60" s="73">
        <v>1.2637686603835461E-2</v>
      </c>
    </row>
    <row r="61" spans="1:30" ht="11.25" customHeight="1" x14ac:dyDescent="0.2">
      <c r="A61" s="62" t="s">
        <v>91</v>
      </c>
      <c r="B61" s="63" t="s">
        <v>91</v>
      </c>
      <c r="C61" s="64" t="s">
        <v>6</v>
      </c>
      <c r="D61" s="64" t="s">
        <v>8</v>
      </c>
      <c r="E61" s="64" t="s">
        <v>7</v>
      </c>
      <c r="F61" s="64" t="s">
        <v>132</v>
      </c>
      <c r="G61" s="64" t="str">
        <f>$G$11</f>
        <v>Euribor3MMX#0006</v>
      </c>
      <c r="H61" s="62" t="str">
        <f>IF(ISBLANK(Quote!Y46),"",Quote!Y46)</f>
        <v/>
      </c>
      <c r="I61" s="125"/>
      <c r="J61" s="125"/>
      <c r="K61" s="125"/>
      <c r="M61" s="74" t="str">
        <f t="shared" si="13"/>
        <v>SW</v>
      </c>
      <c r="N61" s="140" t="str">
        <f t="shared" si="14"/>
        <v>--</v>
      </c>
      <c r="O61" s="149" t="str">
        <f>IFERROR(_xll.qlRateHelperQuoteName(N61,Trigger),"--")</f>
        <v>--</v>
      </c>
      <c r="P61" s="142" t="str">
        <f>IFERROR(_xll.qlRateHelperQuoteValue($N61,Trigger),"--")</f>
        <v>--</v>
      </c>
      <c r="Q61" s="141" t="b">
        <v>0</v>
      </c>
      <c r="R61" s="140">
        <v>50</v>
      </c>
      <c r="S61" s="140">
        <v>1</v>
      </c>
      <c r="T61" s="143" t="str">
        <f>IFERROR(_xll.qlRateHelperEarliestDate(N61,Trigger),"--")</f>
        <v>--</v>
      </c>
      <c r="U61" s="143" t="str">
        <f>IFERROR(_xll.qlRateHelperPillarDate(N61,Trigger),"--")</f>
        <v>--</v>
      </c>
      <c r="W61" s="4" t="str">
        <f t="shared" si="2"/>
        <v>SW</v>
      </c>
      <c r="X61" s="4" t="str">
        <v>obj_003d0</v>
      </c>
      <c r="Y61" s="4" t="str">
        <f>IFERROR(_xll.qlRateHelperQuoteName(X61,Trigger),"")</f>
        <v>EUR3MSW36Y_Shifted</v>
      </c>
      <c r="Z61" s="73">
        <f>IFERROR(_xll.qlRateHelperRate(X61,Trigger),"")</f>
        <v>1.234126638E-2</v>
      </c>
      <c r="AA61" s="105">
        <f>IF(ISERROR(_xll.qlSwapRateHelperSpread($X61)),IF(ISERROR(_xll.qlFuturesRateHelperConvexityAdjustment($X61)),"",_xll.qlFuturesRateHelperConvexityAdjustment($X61)),_xll.qlSwapRateHelperSpread($X61))</f>
        <v>0</v>
      </c>
      <c r="AB61" s="5">
        <f>IFERROR(_xll.qlRateHelperEarliestDate(X61,Trigger),"")</f>
        <v>42748</v>
      </c>
      <c r="AC61" s="5">
        <f>IFERROR(_xll.qlRateHelperPillarDate(X61,Trigger),"")</f>
        <v>55897</v>
      </c>
      <c r="AD61" s="73">
        <v>1.2644221212302621E-2</v>
      </c>
    </row>
    <row r="62" spans="1:30" ht="11.25" customHeight="1" x14ac:dyDescent="0.2">
      <c r="A62" s="62" t="s">
        <v>91</v>
      </c>
      <c r="B62" s="63" t="s">
        <v>37</v>
      </c>
      <c r="C62" s="64" t="s">
        <v>6</v>
      </c>
      <c r="D62" s="64" t="s">
        <v>8</v>
      </c>
      <c r="E62" s="64" t="s">
        <v>7</v>
      </c>
      <c r="F62" s="64" t="s">
        <v>132</v>
      </c>
      <c r="G62" s="64" t="str">
        <f t="shared" ref="G62:G125" si="15">$G$11</f>
        <v>Euribor3MMX#0006</v>
      </c>
      <c r="H62" s="62" t="str">
        <f>IF(ISBLANK(Quote!Y47),"",Quote!Y47)</f>
        <v/>
      </c>
      <c r="I62" s="125"/>
      <c r="J62" s="125"/>
      <c r="K62" s="125"/>
      <c r="M62" s="74" t="str">
        <f t="shared" si="13"/>
        <v>SW</v>
      </c>
      <c r="N62" s="140" t="str">
        <f t="shared" si="14"/>
        <v>--</v>
      </c>
      <c r="O62" s="149" t="str">
        <f>IFERROR(_xll.qlRateHelperQuoteName(N62,Trigger),"--")</f>
        <v>--</v>
      </c>
      <c r="P62" s="142" t="str">
        <f>IFERROR(_xll.qlRateHelperQuoteValue($N62,Trigger),"--")</f>
        <v>--</v>
      </c>
      <c r="Q62" s="141" t="b">
        <v>0</v>
      </c>
      <c r="R62" s="140">
        <v>50</v>
      </c>
      <c r="S62" s="140">
        <v>1</v>
      </c>
      <c r="T62" s="143" t="str">
        <f>IFERROR(_xll.qlRateHelperEarliestDate(N62,Trigger),"--")</f>
        <v>--</v>
      </c>
      <c r="U62" s="143" t="str">
        <f>IFERROR(_xll.qlRateHelperPillarDate(N62,Trigger),"--")</f>
        <v>--</v>
      </c>
      <c r="W62" s="4" t="str">
        <f t="shared" si="2"/>
        <v>SW</v>
      </c>
      <c r="X62" s="4" t="str">
        <v>obj_0036b</v>
      </c>
      <c r="Y62" s="4" t="str">
        <f>IFERROR(_xll.qlRateHelperQuoteName(X62,Trigger),"")</f>
        <v>EUR3MSW37Y_Shifted</v>
      </c>
      <c r="Z62" s="73">
        <f>IFERROR(_xll.qlRateHelperRate(X62,Trigger),"")</f>
        <v>1.234857608E-2</v>
      </c>
      <c r="AA62" s="105">
        <f>IF(ISERROR(_xll.qlSwapRateHelperSpread($X62)),IF(ISERROR(_xll.qlFuturesRateHelperConvexityAdjustment($X62)),"",_xll.qlFuturesRateHelperConvexityAdjustment($X62)),_xll.qlSwapRateHelperSpread($X62))</f>
        <v>0</v>
      </c>
      <c r="AB62" s="5">
        <f>IFERROR(_xll.qlRateHelperEarliestDate(X62,Trigger),"")</f>
        <v>42748</v>
      </c>
      <c r="AC62" s="5">
        <f>IFERROR(_xll.qlRateHelperPillarDate(X62,Trigger),"")</f>
        <v>56262</v>
      </c>
      <c r="AD62" s="73">
        <v>1.2643416567151356E-2</v>
      </c>
    </row>
    <row r="63" spans="1:30" ht="11.25" customHeight="1" x14ac:dyDescent="0.2">
      <c r="A63" s="62" t="s">
        <v>91</v>
      </c>
      <c r="B63" s="63" t="s">
        <v>38</v>
      </c>
      <c r="C63" s="64" t="s">
        <v>6</v>
      </c>
      <c r="D63" s="64" t="s">
        <v>8</v>
      </c>
      <c r="E63" s="64" t="s">
        <v>7</v>
      </c>
      <c r="F63" s="64" t="s">
        <v>132</v>
      </c>
      <c r="G63" s="64" t="str">
        <f t="shared" si="15"/>
        <v>Euribor3MMX#0006</v>
      </c>
      <c r="H63" s="62" t="str">
        <f>IF(ISBLANK(Quote!Y48),"",Quote!Y48)</f>
        <v/>
      </c>
      <c r="I63" s="125"/>
      <c r="J63" s="125"/>
      <c r="K63" s="125"/>
      <c r="M63" s="74" t="str">
        <f t="shared" si="13"/>
        <v>SW</v>
      </c>
      <c r="N63" s="140" t="str">
        <f t="shared" si="14"/>
        <v>--</v>
      </c>
      <c r="O63" s="149" t="str">
        <f>IFERROR(_xll.qlRateHelperQuoteName(N63,Trigger),"--")</f>
        <v>--</v>
      </c>
      <c r="P63" s="142" t="str">
        <f>IFERROR(_xll.qlRateHelperQuoteValue($N63,Trigger),"--")</f>
        <v>--</v>
      </c>
      <c r="Q63" s="141" t="b">
        <v>0</v>
      </c>
      <c r="R63" s="140">
        <v>50</v>
      </c>
      <c r="S63" s="140">
        <v>1</v>
      </c>
      <c r="T63" s="143" t="str">
        <f>IFERROR(_xll.qlRateHelperEarliestDate(N63,Trigger),"--")</f>
        <v>--</v>
      </c>
      <c r="U63" s="143" t="str">
        <f>IFERROR(_xll.qlRateHelperPillarDate(N63,Trigger),"--")</f>
        <v>--</v>
      </c>
      <c r="W63" s="4" t="str">
        <f t="shared" si="2"/>
        <v>SW</v>
      </c>
      <c r="X63" s="4" t="str">
        <v>obj_0035f</v>
      </c>
      <c r="Y63" s="4" t="str">
        <f>IFERROR(_xll.qlRateHelperQuoteName(X63,Trigger),"")</f>
        <v>EUR3MSW38Y_Shifted</v>
      </c>
      <c r="Z63" s="73">
        <f>IFERROR(_xll.qlRateHelperRate(X63,Trigger),"")</f>
        <v>1.234931895E-2</v>
      </c>
      <c r="AA63" s="105">
        <f>IF(ISERROR(_xll.qlSwapRateHelperSpread($X63)),IF(ISERROR(_xll.qlFuturesRateHelperConvexityAdjustment($X63)),"",_xll.qlFuturesRateHelperConvexityAdjustment($X63)),_xll.qlSwapRateHelperSpread($X63))</f>
        <v>0</v>
      </c>
      <c r="AB63" s="5">
        <f>IFERROR(_xll.qlRateHelperEarliestDate(X63,Trigger),"")</f>
        <v>42748</v>
      </c>
      <c r="AC63" s="5">
        <f>IFERROR(_xll.qlRateHelperPillarDate(X63,Trigger),"")</f>
        <v>56627</v>
      </c>
      <c r="AD63" s="73">
        <v>1.2634628686114658E-2</v>
      </c>
    </row>
    <row r="64" spans="1:30" ht="11.25" customHeight="1" x14ac:dyDescent="0.2">
      <c r="A64" s="62" t="s">
        <v>91</v>
      </c>
      <c r="B64" s="63" t="s">
        <v>2</v>
      </c>
      <c r="C64" s="64" t="s">
        <v>6</v>
      </c>
      <c r="D64" s="64" t="s">
        <v>8</v>
      </c>
      <c r="E64" s="64" t="s">
        <v>7</v>
      </c>
      <c r="F64" s="64" t="s">
        <v>132</v>
      </c>
      <c r="G64" s="64" t="str">
        <f t="shared" si="15"/>
        <v>Euribor3MMX#0006</v>
      </c>
      <c r="H64" s="62" t="str">
        <f>IF(ISBLANK(Quote!Y49),"",Quote!Y49)</f>
        <v/>
      </c>
      <c r="I64" s="125"/>
      <c r="J64" s="125"/>
      <c r="K64" s="125"/>
      <c r="M64" s="74" t="str">
        <f t="shared" si="13"/>
        <v>SW</v>
      </c>
      <c r="N64" s="140" t="str">
        <f t="shared" si="14"/>
        <v>--</v>
      </c>
      <c r="O64" s="149" t="str">
        <f>IFERROR(_xll.qlRateHelperQuoteName(N64,Trigger),"--")</f>
        <v>--</v>
      </c>
      <c r="P64" s="142" t="str">
        <f>IFERROR(_xll.qlRateHelperQuoteValue($N64,Trigger),"--")</f>
        <v>--</v>
      </c>
      <c r="Q64" s="141" t="b">
        <v>0</v>
      </c>
      <c r="R64" s="140">
        <v>50</v>
      </c>
      <c r="S64" s="140">
        <v>1</v>
      </c>
      <c r="T64" s="143" t="str">
        <f>IFERROR(_xll.qlRateHelperEarliestDate(N64,Trigger),"--")</f>
        <v>--</v>
      </c>
      <c r="U64" s="143" t="str">
        <f>IFERROR(_xll.qlRateHelperPillarDate(N64,Trigger),"--")</f>
        <v>--</v>
      </c>
      <c r="W64" s="4" t="str">
        <f t="shared" si="2"/>
        <v>SW</v>
      </c>
      <c r="X64" s="4" t="str">
        <v>obj_003c2</v>
      </c>
      <c r="Y64" s="4" t="str">
        <f>IFERROR(_xll.qlRateHelperQuoteName(X64,Trigger),"")</f>
        <v>EUR3MSW39Y_Shifted</v>
      </c>
      <c r="Z64" s="73">
        <f>IFERROR(_xll.qlRateHelperRate(X64,Trigger),"")</f>
        <v>1.2343097670000001E-2</v>
      </c>
      <c r="AA64" s="105">
        <f>IF(ISERROR(_xll.qlSwapRateHelperSpread($X64)),IF(ISERROR(_xll.qlFuturesRateHelperConvexityAdjustment($X64)),"",_xll.qlFuturesRateHelperConvexityAdjustment($X64)),_xll.qlSwapRateHelperSpread($X64))</f>
        <v>0</v>
      </c>
      <c r="AB64" s="5">
        <f>IFERROR(_xll.qlRateHelperEarliestDate(X64,Trigger),"")</f>
        <v>42748</v>
      </c>
      <c r="AC64" s="5">
        <f>IFERROR(_xll.qlRateHelperPillarDate(X64,Trigger),"")</f>
        <v>56992</v>
      </c>
      <c r="AD64" s="73">
        <v>1.2617259544847938E-2</v>
      </c>
    </row>
    <row r="65" spans="1:30" ht="11.25" customHeight="1" x14ac:dyDescent="0.2">
      <c r="A65" s="62" t="s">
        <v>91</v>
      </c>
      <c r="B65" s="63" t="s">
        <v>39</v>
      </c>
      <c r="C65" s="64" t="s">
        <v>6</v>
      </c>
      <c r="D65" s="64" t="s">
        <v>8</v>
      </c>
      <c r="E65" s="64" t="s">
        <v>7</v>
      </c>
      <c r="F65" s="64" t="s">
        <v>132</v>
      </c>
      <c r="G65" s="64" t="str">
        <f t="shared" si="15"/>
        <v>Euribor3MMX#0006</v>
      </c>
      <c r="H65" s="62" t="str">
        <f>IF(ISBLANK(Quote!Y50),"",Quote!Y50)</f>
        <v/>
      </c>
      <c r="I65" s="125"/>
      <c r="J65" s="125"/>
      <c r="K65" s="125"/>
      <c r="M65" s="74" t="str">
        <f t="shared" si="13"/>
        <v>SW</v>
      </c>
      <c r="N65" s="140" t="str">
        <f t="shared" si="14"/>
        <v>--</v>
      </c>
      <c r="O65" s="149" t="str">
        <f>IFERROR(_xll.qlRateHelperQuoteName(N65,Trigger),"--")</f>
        <v>--</v>
      </c>
      <c r="P65" s="142" t="str">
        <f>IFERROR(_xll.qlRateHelperQuoteValue($N65,Trigger),"--")</f>
        <v>--</v>
      </c>
      <c r="Q65" s="141" t="b">
        <v>0</v>
      </c>
      <c r="R65" s="140">
        <v>50</v>
      </c>
      <c r="S65" s="140">
        <v>1</v>
      </c>
      <c r="T65" s="143" t="str">
        <f>IFERROR(_xll.qlRateHelperEarliestDate(N65,Trigger),"--")</f>
        <v>--</v>
      </c>
      <c r="U65" s="143" t="str">
        <f>IFERROR(_xll.qlRateHelperPillarDate(N65,Trigger),"--")</f>
        <v>--</v>
      </c>
      <c r="W65" s="4" t="str">
        <f t="shared" si="2"/>
        <v>SW</v>
      </c>
      <c r="X65" s="4" t="str">
        <v>obj_003dd</v>
      </c>
      <c r="Y65" s="4" t="str">
        <f>IFERROR(_xll.qlRateHelperQuoteName(X65,Trigger),"")</f>
        <v>EUR3MSW40Y_Shifted</v>
      </c>
      <c r="Z65" s="73">
        <f>IFERROR(_xll.qlRateHelperRate(X65,Trigger),"")</f>
        <v>1.2330000000000001E-2</v>
      </c>
      <c r="AA65" s="105">
        <f>IF(ISERROR(_xll.qlSwapRateHelperSpread($X65)),IF(ISERROR(_xll.qlFuturesRateHelperConvexityAdjustment($X65)),"",_xll.qlFuturesRateHelperConvexityAdjustment($X65)),_xll.qlSwapRateHelperSpread($X65))</f>
        <v>0</v>
      </c>
      <c r="AB65" s="5">
        <f>IFERROR(_xll.qlRateHelperEarliestDate(X65,Trigger),"")</f>
        <v>42748</v>
      </c>
      <c r="AC65" s="5">
        <f>IFERROR(_xll.qlRateHelperPillarDate(X65,Trigger),"")</f>
        <v>57360</v>
      </c>
      <c r="AD65" s="73">
        <v>1.2590429237279354E-2</v>
      </c>
    </row>
    <row r="66" spans="1:30" ht="11.25" customHeight="1" x14ac:dyDescent="0.2">
      <c r="A66" s="62" t="s">
        <v>91</v>
      </c>
      <c r="B66" s="63" t="s">
        <v>0</v>
      </c>
      <c r="C66" s="64" t="s">
        <v>6</v>
      </c>
      <c r="D66" s="64" t="s">
        <v>8</v>
      </c>
      <c r="E66" s="64" t="s">
        <v>7</v>
      </c>
      <c r="F66" s="64" t="s">
        <v>132</v>
      </c>
      <c r="G66" s="64" t="str">
        <f t="shared" si="15"/>
        <v>Euribor3MMX#0006</v>
      </c>
      <c r="H66" s="62" t="str">
        <f>IF(ISBLANK(Quote!Y51),"",Quote!Y51)</f>
        <v/>
      </c>
      <c r="I66" s="125"/>
      <c r="J66" s="125"/>
      <c r="K66" s="125"/>
      <c r="M66" s="74" t="str">
        <f t="shared" si="13"/>
        <v>SW</v>
      </c>
      <c r="N66" s="140" t="str">
        <f t="shared" si="14"/>
        <v>--</v>
      </c>
      <c r="O66" s="149" t="str">
        <f>IFERROR(_xll.qlRateHelperQuoteName(N66,Trigger),"--")</f>
        <v>--</v>
      </c>
      <c r="P66" s="142" t="str">
        <f>IFERROR(_xll.qlRateHelperQuoteValue($N66,Trigger),"--")</f>
        <v>--</v>
      </c>
      <c r="Q66" s="141" t="b">
        <v>0</v>
      </c>
      <c r="R66" s="140">
        <v>50</v>
      </c>
      <c r="S66" s="140">
        <v>1</v>
      </c>
      <c r="T66" s="143" t="str">
        <f>IFERROR(_xll.qlRateHelperEarliestDate(N66,Trigger),"--")</f>
        <v>--</v>
      </c>
      <c r="U66" s="143" t="str">
        <f>IFERROR(_xll.qlRateHelperPillarDate(N66,Trigger),"--")</f>
        <v>--</v>
      </c>
      <c r="W66" s="4" t="str">
        <f t="shared" si="2"/>
        <v>SW</v>
      </c>
      <c r="X66" s="4" t="str">
        <v>obj_0039b</v>
      </c>
      <c r="Y66" s="4" t="str">
        <f>IFERROR(_xll.qlRateHelperQuoteName(X66,Trigger),"")</f>
        <v>EUR3MSW50Y_Shifted</v>
      </c>
      <c r="Z66" s="73">
        <f>IFERROR(_xll.qlRateHelperRate(X66,Trigger),"")</f>
        <v>1.192E-2</v>
      </c>
      <c r="AA66" s="105">
        <f>IF(ISERROR(_xll.qlSwapRateHelperSpread($X66)),IF(ISERROR(_xll.qlFuturesRateHelperConvexityAdjustment($X66)),"",_xll.qlFuturesRateHelperConvexityAdjustment($X66)),_xll.qlSwapRateHelperSpread($X66))</f>
        <v>0</v>
      </c>
      <c r="AB66" s="5">
        <f>IFERROR(_xll.qlRateHelperEarliestDate(X66,Trigger),"")</f>
        <v>42748</v>
      </c>
      <c r="AC66" s="5">
        <f>IFERROR(_xll.qlRateHelperPillarDate(X66,Trigger),"")</f>
        <v>61010</v>
      </c>
      <c r="AD66" s="73">
        <v>1.1985004628968897E-2</v>
      </c>
    </row>
    <row r="67" spans="1:30" ht="11.25" customHeight="1" x14ac:dyDescent="0.2">
      <c r="A67" s="62" t="s">
        <v>91</v>
      </c>
      <c r="B67" s="63" t="s">
        <v>40</v>
      </c>
      <c r="C67" s="64" t="s">
        <v>6</v>
      </c>
      <c r="D67" s="64" t="s">
        <v>8</v>
      </c>
      <c r="E67" s="64" t="s">
        <v>7</v>
      </c>
      <c r="F67" s="64" t="s">
        <v>132</v>
      </c>
      <c r="G67" s="64" t="str">
        <f t="shared" si="15"/>
        <v>Euribor3MMX#0006</v>
      </c>
      <c r="H67" s="62" t="str">
        <f>IF(ISBLANK(Quote!Y52),"",Quote!Y52)</f>
        <v/>
      </c>
      <c r="I67" s="125"/>
      <c r="J67" s="125"/>
      <c r="K67" s="125"/>
      <c r="M67" s="74" t="str">
        <f t="shared" si="13"/>
        <v>SW</v>
      </c>
      <c r="N67" s="140" t="str">
        <f t="shared" si="14"/>
        <v>--</v>
      </c>
      <c r="O67" s="149" t="str">
        <f>IFERROR(_xll.qlRateHelperQuoteName(N67,Trigger),"--")</f>
        <v>--</v>
      </c>
      <c r="P67" s="142" t="str">
        <f>IFERROR(_xll.qlRateHelperQuoteValue($N67,Trigger),"--")</f>
        <v>--</v>
      </c>
      <c r="Q67" s="141" t="b">
        <v>0</v>
      </c>
      <c r="R67" s="141">
        <v>50</v>
      </c>
      <c r="S67" s="141">
        <v>1</v>
      </c>
      <c r="T67" s="143" t="str">
        <f>IFERROR(_xll.qlRateHelperEarliestDate(N67,Trigger),"--")</f>
        <v>--</v>
      </c>
      <c r="U67" s="143" t="str">
        <f>IFERROR(_xll.qlRateHelperPillarDate(N67,Trigger),"--")</f>
        <v>--</v>
      </c>
      <c r="W67" s="4" t="str">
        <f t="shared" si="2"/>
        <v>SW</v>
      </c>
      <c r="X67" s="4" t="str">
        <v>obj_003ae</v>
      </c>
      <c r="Y67" s="4" t="str">
        <f>IFERROR(_xll.qlRateHelperQuoteName(X67,Trigger),"")</f>
        <v>EUR3MSW60Y_Shifted</v>
      </c>
      <c r="Z67" s="73">
        <f>IFERROR(_xll.qlRateHelperRate(X67,Trigger),"")</f>
        <v>1.1610000000000001E-2</v>
      </c>
      <c r="AA67" s="105">
        <f>IF(ISERROR(_xll.qlSwapRateHelperSpread($X67)),IF(ISERROR(_xll.qlFuturesRateHelperConvexityAdjustment($X67)),"",_xll.qlFuturesRateHelperConvexityAdjustment($X67)),_xll.qlSwapRateHelperSpread($X67))</f>
        <v>0</v>
      </c>
      <c r="AB67" s="5">
        <f>IFERROR(_xll.qlRateHelperEarliestDate(X67,Trigger),"")</f>
        <v>42748</v>
      </c>
      <c r="AC67" s="5">
        <f>IFERROR(_xll.qlRateHelperPillarDate(X67,Trigger),"")</f>
        <v>64663</v>
      </c>
      <c r="AD67" s="73">
        <v>1.1540889609645605E-2</v>
      </c>
    </row>
    <row r="68" spans="1:30" ht="11.25" customHeight="1" x14ac:dyDescent="0.2">
      <c r="A68" s="62" t="s">
        <v>91</v>
      </c>
      <c r="B68" s="63" t="s">
        <v>41</v>
      </c>
      <c r="C68" s="64" t="s">
        <v>6</v>
      </c>
      <c r="D68" s="64" t="s">
        <v>8</v>
      </c>
      <c r="E68" s="64" t="s">
        <v>7</v>
      </c>
      <c r="F68" s="64" t="s">
        <v>132</v>
      </c>
      <c r="G68" s="64" t="str">
        <f t="shared" si="15"/>
        <v>Euribor3MMX#0006</v>
      </c>
      <c r="H68" s="62" t="str">
        <f>IF(ISBLANK(Quote!Y53),"",Quote!Y53)</f>
        <v/>
      </c>
      <c r="I68" s="125"/>
      <c r="J68" s="125"/>
      <c r="K68" s="125"/>
      <c r="M68" s="74" t="str">
        <f t="shared" si="13"/>
        <v>SW</v>
      </c>
      <c r="N68" s="140" t="str">
        <f t="shared" si="14"/>
        <v>--</v>
      </c>
      <c r="O68" s="149" t="str">
        <f>IFERROR(_xll.qlRateHelperQuoteName(N68,Trigger),"--")</f>
        <v>--</v>
      </c>
      <c r="P68" s="142" t="str">
        <f>IFERROR(_xll.qlRateHelperQuoteValue($N68,Trigger),"--")</f>
        <v>--</v>
      </c>
      <c r="Q68" s="141" t="b">
        <v>0</v>
      </c>
      <c r="R68" s="141">
        <v>50</v>
      </c>
      <c r="S68" s="141">
        <v>1</v>
      </c>
      <c r="T68" s="143" t="str">
        <f>IFERROR(_xll.qlRateHelperEarliestDate(N68,Trigger),"--")</f>
        <v>--</v>
      </c>
      <c r="U68" s="143" t="str">
        <f>IFERROR(_xll.qlRateHelperPillarDate(N68,Trigger),"--")</f>
        <v>--</v>
      </c>
      <c r="W68" s="4" t="str">
        <f t="shared" ref="W68:W125" si="16">IFERROR(INDEX($M$3:$M$125,MATCH(Y68,$O$3:$O$125,0),1),"")</f>
        <v/>
      </c>
      <c r="X68" s="4" t="e">
        <v>#N/A</v>
      </c>
      <c r="Y68" s="4" t="str">
        <f>IFERROR(_xll.qlRateHelperQuoteName(X68,Trigger),"")</f>
        <v/>
      </c>
      <c r="Z68" s="73" t="str">
        <f>IFERROR(_xll.qlRateHelperRate(X68,Trigger),"")</f>
        <v/>
      </c>
      <c r="AA68" s="105" t="str">
        <f>IF(ISERROR(_xll.qlSwapRateHelperSpread($X68)),IF(ISERROR(_xll.qlFuturesRateHelperConvexityAdjustment($X68)),"",_xll.qlFuturesRateHelperConvexityAdjustment($X68)),_xll.qlSwapRateHelperSpread($X68))</f>
        <v/>
      </c>
      <c r="AB68" s="5" t="str">
        <f>IFERROR(_xll.qlRateHelperEarliestDate(X68,Trigger),"")</f>
        <v/>
      </c>
      <c r="AC68" s="5" t="str">
        <f>IFERROR(_xll.qlRateHelperPillarDate(X68,Trigger),"")</f>
        <v/>
      </c>
      <c r="AD68" s="73" t="e">
        <v>#N/A</v>
      </c>
    </row>
    <row r="69" spans="1:30" ht="11.25" customHeight="1" x14ac:dyDescent="0.2">
      <c r="A69" s="62" t="s">
        <v>91</v>
      </c>
      <c r="B69" s="63" t="s">
        <v>3</v>
      </c>
      <c r="C69" s="64" t="s">
        <v>6</v>
      </c>
      <c r="D69" s="64" t="s">
        <v>8</v>
      </c>
      <c r="E69" s="64" t="s">
        <v>7</v>
      </c>
      <c r="F69" s="64" t="s">
        <v>132</v>
      </c>
      <c r="G69" s="64" t="str">
        <f t="shared" si="15"/>
        <v>Euribor3MMX#0006</v>
      </c>
      <c r="H69" s="62" t="str">
        <f>IF(ISBLANK(Quote!Y54),"",Quote!Y54)</f>
        <v/>
      </c>
      <c r="I69" s="125"/>
      <c r="J69" s="125"/>
      <c r="K69" s="125"/>
      <c r="M69" s="74" t="str">
        <f t="shared" si="13"/>
        <v>SW</v>
      </c>
      <c r="N69" s="140" t="str">
        <f t="shared" si="14"/>
        <v>--</v>
      </c>
      <c r="O69" s="149" t="str">
        <f>IFERROR(_xll.qlRateHelperQuoteName(N69,Trigger),"--")</f>
        <v>--</v>
      </c>
      <c r="P69" s="142" t="str">
        <f>IFERROR(_xll.qlRateHelperQuoteValue($N69,Trigger),"--")</f>
        <v>--</v>
      </c>
      <c r="Q69" s="141" t="b">
        <v>0</v>
      </c>
      <c r="R69" s="141">
        <v>50</v>
      </c>
      <c r="S69" s="141">
        <v>1</v>
      </c>
      <c r="T69" s="143" t="str">
        <f>IFERROR(_xll.qlRateHelperEarliestDate(N69,Trigger),"--")</f>
        <v>--</v>
      </c>
      <c r="U69" s="143" t="str">
        <f>IFERROR(_xll.qlRateHelperPillarDate(N69,Trigger),"--")</f>
        <v>--</v>
      </c>
      <c r="W69" s="4" t="str">
        <f t="shared" si="16"/>
        <v/>
      </c>
      <c r="X69" s="4" t="e">
        <v>#N/A</v>
      </c>
      <c r="Y69" s="4" t="str">
        <f>IFERROR(_xll.qlRateHelperQuoteName(X69,Trigger),"")</f>
        <v/>
      </c>
      <c r="Z69" s="73" t="str">
        <f>IFERROR(_xll.qlRateHelperRate(X69,Trigger),"")</f>
        <v/>
      </c>
      <c r="AA69" s="105" t="str">
        <f>IF(ISERROR(_xll.qlSwapRateHelperSpread($X69)),IF(ISERROR(_xll.qlFuturesRateHelperConvexityAdjustment($X69)),"",_xll.qlFuturesRateHelperConvexityAdjustment($X69)),_xll.qlSwapRateHelperSpread($X69))</f>
        <v/>
      </c>
      <c r="AB69" s="5" t="str">
        <f>IFERROR(_xll.qlRateHelperEarliestDate(X69,Trigger),"")</f>
        <v/>
      </c>
      <c r="AC69" s="5" t="str">
        <f>IFERROR(_xll.qlRateHelperPillarDate(X69,Trigger),"")</f>
        <v/>
      </c>
      <c r="AD69" s="73" t="e">
        <v>#N/A</v>
      </c>
    </row>
    <row r="70" spans="1:30" ht="11.25" customHeight="1" x14ac:dyDescent="0.2">
      <c r="A70" s="62" t="s">
        <v>91</v>
      </c>
      <c r="B70" s="63" t="s">
        <v>42</v>
      </c>
      <c r="C70" s="64" t="s">
        <v>6</v>
      </c>
      <c r="D70" s="64" t="s">
        <v>8</v>
      </c>
      <c r="E70" s="64" t="s">
        <v>7</v>
      </c>
      <c r="F70" s="64" t="s">
        <v>132</v>
      </c>
      <c r="G70" s="64" t="str">
        <f t="shared" si="15"/>
        <v>Euribor3MMX#0006</v>
      </c>
      <c r="H70" s="62" t="str">
        <f>IF(ISBLANK(Quote!Y55),"",Quote!Y55)</f>
        <v/>
      </c>
      <c r="I70" s="125"/>
      <c r="J70" s="125"/>
      <c r="K70" s="125"/>
      <c r="M70" s="74" t="str">
        <f t="shared" si="13"/>
        <v>SW</v>
      </c>
      <c r="N70" s="140" t="str">
        <f t="shared" si="14"/>
        <v>--</v>
      </c>
      <c r="O70" s="149" t="str">
        <f>IFERROR(_xll.qlRateHelperQuoteName(N70,Trigger),"--")</f>
        <v>--</v>
      </c>
      <c r="P70" s="142" t="str">
        <f>IFERROR(_xll.qlRateHelperQuoteValue($N70,Trigger),"--")</f>
        <v>--</v>
      </c>
      <c r="Q70" s="141" t="b">
        <v>0</v>
      </c>
      <c r="R70" s="141">
        <v>50</v>
      </c>
      <c r="S70" s="141">
        <v>1</v>
      </c>
      <c r="T70" s="143" t="str">
        <f>IFERROR(_xll.qlRateHelperEarliestDate(N70,Trigger),"--")</f>
        <v>--</v>
      </c>
      <c r="U70" s="143" t="str">
        <f>IFERROR(_xll.qlRateHelperPillarDate(N70,Trigger),"--")</f>
        <v>--</v>
      </c>
      <c r="W70" s="4" t="str">
        <f t="shared" si="16"/>
        <v/>
      </c>
      <c r="X70" s="4" t="e">
        <v>#N/A</v>
      </c>
      <c r="Y70" s="4" t="str">
        <f>IFERROR(_xll.qlRateHelperQuoteName(X70,Trigger),"")</f>
        <v/>
      </c>
      <c r="Z70" s="73" t="str">
        <f>IFERROR(_xll.qlRateHelperRate(X70,Trigger),"")</f>
        <v/>
      </c>
      <c r="AA70" s="105" t="str">
        <f>IF(ISERROR(_xll.qlSwapRateHelperSpread($X70)),IF(ISERROR(_xll.qlFuturesRateHelperConvexityAdjustment($X70)),"",_xll.qlFuturesRateHelperConvexityAdjustment($X70)),_xll.qlSwapRateHelperSpread($X70))</f>
        <v/>
      </c>
      <c r="AB70" s="5" t="str">
        <f>IFERROR(_xll.qlRateHelperEarliestDate(X70,Trigger),"")</f>
        <v/>
      </c>
      <c r="AC70" s="5" t="str">
        <f>IFERROR(_xll.qlRateHelperPillarDate(X70,Trigger),"")</f>
        <v/>
      </c>
      <c r="AD70" s="73" t="e">
        <v>#N/A</v>
      </c>
    </row>
    <row r="71" spans="1:30" ht="11.25" customHeight="1" x14ac:dyDescent="0.2">
      <c r="A71" s="62" t="s">
        <v>91</v>
      </c>
      <c r="B71" s="63" t="s">
        <v>43</v>
      </c>
      <c r="C71" s="64" t="s">
        <v>6</v>
      </c>
      <c r="D71" s="64" t="s">
        <v>8</v>
      </c>
      <c r="E71" s="64" t="s">
        <v>7</v>
      </c>
      <c r="F71" s="64" t="s">
        <v>132</v>
      </c>
      <c r="G71" s="64" t="str">
        <f t="shared" si="15"/>
        <v>Euribor3MMX#0006</v>
      </c>
      <c r="H71" s="62" t="str">
        <f>IF(ISBLANK(Quote!Y56),"",Quote!Y56)</f>
        <v/>
      </c>
      <c r="I71" s="125"/>
      <c r="J71" s="125"/>
      <c r="K71" s="125"/>
      <c r="M71" s="74" t="str">
        <f t="shared" si="13"/>
        <v>SW</v>
      </c>
      <c r="N71" s="140" t="str">
        <f t="shared" si="14"/>
        <v>--</v>
      </c>
      <c r="O71" s="149" t="str">
        <f>IFERROR(_xll.qlRateHelperQuoteName(N71,Trigger),"--")</f>
        <v>--</v>
      </c>
      <c r="P71" s="142" t="str">
        <f>IFERROR(_xll.qlRateHelperQuoteValue($N71,Trigger),"--")</f>
        <v>--</v>
      </c>
      <c r="Q71" s="141" t="b">
        <v>0</v>
      </c>
      <c r="R71" s="141">
        <v>50</v>
      </c>
      <c r="S71" s="141">
        <v>1</v>
      </c>
      <c r="T71" s="143" t="str">
        <f>IFERROR(_xll.qlRateHelperEarliestDate(N71,Trigger),"--")</f>
        <v>--</v>
      </c>
      <c r="U71" s="143" t="str">
        <f>IFERROR(_xll.qlRateHelperPillarDate(N71,Trigger),"--")</f>
        <v>--</v>
      </c>
      <c r="W71" s="4" t="str">
        <f t="shared" si="16"/>
        <v/>
      </c>
      <c r="X71" s="4" t="e">
        <v>#N/A</v>
      </c>
      <c r="Y71" s="4" t="str">
        <f>IFERROR(_xll.qlRateHelperQuoteName(X71,Trigger),"")</f>
        <v/>
      </c>
      <c r="Z71" s="73" t="str">
        <f>IFERROR(_xll.qlRateHelperRate(X71,Trigger),"")</f>
        <v/>
      </c>
      <c r="AA71" s="105" t="str">
        <f>IF(ISERROR(_xll.qlSwapRateHelperSpread($X71)),IF(ISERROR(_xll.qlFuturesRateHelperConvexityAdjustment($X71)),"",_xll.qlFuturesRateHelperConvexityAdjustment($X71)),_xll.qlSwapRateHelperSpread($X71))</f>
        <v/>
      </c>
      <c r="AB71" s="5" t="str">
        <f>IFERROR(_xll.qlRateHelperEarliestDate(X71,Trigger),"")</f>
        <v/>
      </c>
      <c r="AC71" s="5" t="str">
        <f>IFERROR(_xll.qlRateHelperPillarDate(X71,Trigger),"")</f>
        <v/>
      </c>
      <c r="AD71" s="73" t="e">
        <v>#N/A</v>
      </c>
    </row>
    <row r="72" spans="1:30" ht="11.25" customHeight="1" x14ac:dyDescent="0.2">
      <c r="A72" s="62" t="s">
        <v>91</v>
      </c>
      <c r="B72" s="63" t="s">
        <v>44</v>
      </c>
      <c r="C72" s="64" t="s">
        <v>6</v>
      </c>
      <c r="D72" s="64" t="s">
        <v>8</v>
      </c>
      <c r="E72" s="64" t="s">
        <v>7</v>
      </c>
      <c r="F72" s="64" t="s">
        <v>132</v>
      </c>
      <c r="G72" s="64" t="str">
        <f t="shared" si="15"/>
        <v>Euribor3MMX#0006</v>
      </c>
      <c r="H72" s="62" t="str">
        <f>IF(ISBLANK(Quote!Y57),"",Quote!Y57)</f>
        <v/>
      </c>
      <c r="I72" s="125"/>
      <c r="J72" s="125"/>
      <c r="K72" s="125"/>
      <c r="M72" s="74" t="str">
        <f t="shared" si="13"/>
        <v>SW</v>
      </c>
      <c r="N72" s="140" t="str">
        <f t="shared" si="14"/>
        <v>--</v>
      </c>
      <c r="O72" s="149" t="str">
        <f>IFERROR(_xll.qlRateHelperQuoteName(N72,Trigger),"--")</f>
        <v>--</v>
      </c>
      <c r="P72" s="142" t="str">
        <f>IFERROR(_xll.qlRateHelperQuoteValue($N72,Trigger),"--")</f>
        <v>--</v>
      </c>
      <c r="Q72" s="141" t="b">
        <v>0</v>
      </c>
      <c r="R72" s="141">
        <v>50</v>
      </c>
      <c r="S72" s="141">
        <v>1</v>
      </c>
      <c r="T72" s="143" t="str">
        <f>IFERROR(_xll.qlRateHelperEarliestDate(N72,Trigger),"--")</f>
        <v>--</v>
      </c>
      <c r="U72" s="143" t="str">
        <f>IFERROR(_xll.qlRateHelperPillarDate(N72,Trigger),"--")</f>
        <v>--</v>
      </c>
      <c r="W72" s="4" t="str">
        <f t="shared" si="16"/>
        <v/>
      </c>
      <c r="X72" s="4" t="e">
        <v>#N/A</v>
      </c>
      <c r="Y72" s="4" t="str">
        <f>IFERROR(_xll.qlRateHelperQuoteName(X72,Trigger),"")</f>
        <v/>
      </c>
      <c r="Z72" s="73" t="str">
        <f>IFERROR(_xll.qlRateHelperRate(X72,Trigger),"")</f>
        <v/>
      </c>
      <c r="AA72" s="105" t="str">
        <f>IF(ISERROR(_xll.qlSwapRateHelperSpread($X72)),IF(ISERROR(_xll.qlFuturesRateHelperConvexityAdjustment($X72)),"",_xll.qlFuturesRateHelperConvexityAdjustment($X72)),_xll.qlSwapRateHelperSpread($X72))</f>
        <v/>
      </c>
      <c r="AB72" s="5" t="str">
        <f>IFERROR(_xll.qlRateHelperEarliestDate(X72,Trigger),"")</f>
        <v/>
      </c>
      <c r="AC72" s="5" t="str">
        <f>IFERROR(_xll.qlRateHelperPillarDate(X72,Trigger),"")</f>
        <v/>
      </c>
      <c r="AD72" s="73" t="e">
        <v>#N/A</v>
      </c>
    </row>
    <row r="73" spans="1:30" ht="11.25" customHeight="1" x14ac:dyDescent="0.2">
      <c r="A73" s="62" t="s">
        <v>91</v>
      </c>
      <c r="B73" s="63" t="s">
        <v>45</v>
      </c>
      <c r="C73" s="64" t="s">
        <v>6</v>
      </c>
      <c r="D73" s="64" t="s">
        <v>8</v>
      </c>
      <c r="E73" s="64" t="s">
        <v>7</v>
      </c>
      <c r="F73" s="64" t="s">
        <v>132</v>
      </c>
      <c r="G73" s="64" t="str">
        <f t="shared" si="15"/>
        <v>Euribor3MMX#0006</v>
      </c>
      <c r="H73" s="62" t="str">
        <f>IF(ISBLANK(Quote!Y58),"",Quote!Y58)</f>
        <v/>
      </c>
      <c r="I73" s="125"/>
      <c r="J73" s="125"/>
      <c r="K73" s="125"/>
      <c r="M73" s="74" t="str">
        <f t="shared" si="13"/>
        <v>SW</v>
      </c>
      <c r="N73" s="140" t="str">
        <f t="shared" si="14"/>
        <v>--</v>
      </c>
      <c r="O73" s="149" t="str">
        <f>IFERROR(_xll.qlRateHelperQuoteName(N73,Trigger),"--")</f>
        <v>--</v>
      </c>
      <c r="P73" s="142" t="str">
        <f>IFERROR(_xll.qlRateHelperQuoteValue($N73,Trigger),"--")</f>
        <v>--</v>
      </c>
      <c r="Q73" s="141" t="b">
        <v>0</v>
      </c>
      <c r="R73" s="141">
        <v>50</v>
      </c>
      <c r="S73" s="141">
        <v>1</v>
      </c>
      <c r="T73" s="143" t="str">
        <f>IFERROR(_xll.qlRateHelperEarliestDate(N73,Trigger),"--")</f>
        <v>--</v>
      </c>
      <c r="U73" s="143" t="str">
        <f>IFERROR(_xll.qlRateHelperPillarDate(N73,Trigger),"--")</f>
        <v>--</v>
      </c>
      <c r="W73" s="4" t="str">
        <f t="shared" si="16"/>
        <v/>
      </c>
      <c r="X73" s="4" t="e">
        <v>#N/A</v>
      </c>
      <c r="Y73" s="4" t="str">
        <f>IFERROR(_xll.qlRateHelperQuoteName(X73,Trigger),"")</f>
        <v/>
      </c>
      <c r="Z73" s="73" t="str">
        <f>IFERROR(_xll.qlRateHelperRate(X73,Trigger),"")</f>
        <v/>
      </c>
      <c r="AA73" s="105" t="str">
        <f>IF(ISERROR(_xll.qlSwapRateHelperSpread($X73)),IF(ISERROR(_xll.qlFuturesRateHelperConvexityAdjustment($X73)),"",_xll.qlFuturesRateHelperConvexityAdjustment($X73)),_xll.qlSwapRateHelperSpread($X73))</f>
        <v/>
      </c>
      <c r="AB73" s="5" t="str">
        <f>IFERROR(_xll.qlRateHelperEarliestDate(X73,Trigger),"")</f>
        <v/>
      </c>
      <c r="AC73" s="5" t="str">
        <f>IFERROR(_xll.qlRateHelperPillarDate(X73,Trigger),"")</f>
        <v/>
      </c>
      <c r="AD73" s="73" t="e">
        <v>#N/A</v>
      </c>
    </row>
    <row r="74" spans="1:30" ht="11.25" customHeight="1" x14ac:dyDescent="0.2">
      <c r="A74" s="62" t="s">
        <v>91</v>
      </c>
      <c r="B74" s="63" t="s">
        <v>46</v>
      </c>
      <c r="C74" s="64" t="s">
        <v>6</v>
      </c>
      <c r="D74" s="64" t="s">
        <v>8</v>
      </c>
      <c r="E74" s="64" t="s">
        <v>7</v>
      </c>
      <c r="F74" s="64" t="s">
        <v>132</v>
      </c>
      <c r="G74" s="64" t="str">
        <f t="shared" si="15"/>
        <v>Euribor3MMX#0006</v>
      </c>
      <c r="H74" s="62" t="str">
        <f>IF(ISBLANK(Quote!Y59),"",Quote!Y59)</f>
        <v/>
      </c>
      <c r="I74" s="125"/>
      <c r="J74" s="125"/>
      <c r="K74" s="125"/>
      <c r="M74" s="74" t="str">
        <f t="shared" si="13"/>
        <v>SW</v>
      </c>
      <c r="N74" s="140" t="str">
        <f t="shared" si="14"/>
        <v>--</v>
      </c>
      <c r="O74" s="149" t="str">
        <f>IFERROR(_xll.qlRateHelperQuoteName(N74,Trigger),"--")</f>
        <v>--</v>
      </c>
      <c r="P74" s="142" t="str">
        <f>IFERROR(_xll.qlRateHelperQuoteValue($N74,Trigger),"--")</f>
        <v>--</v>
      </c>
      <c r="Q74" s="141" t="b">
        <v>0</v>
      </c>
      <c r="R74" s="141">
        <v>50</v>
      </c>
      <c r="S74" s="141">
        <v>1</v>
      </c>
      <c r="T74" s="143" t="str">
        <f>IFERROR(_xll.qlRateHelperEarliestDate(N74,Trigger),"--")</f>
        <v>--</v>
      </c>
      <c r="U74" s="143" t="str">
        <f>IFERROR(_xll.qlRateHelperPillarDate(N74,Trigger),"--")</f>
        <v>--</v>
      </c>
      <c r="W74" s="4" t="str">
        <f t="shared" si="16"/>
        <v/>
      </c>
      <c r="X74" s="4" t="e">
        <v>#N/A</v>
      </c>
      <c r="Y74" s="4" t="str">
        <f>IFERROR(_xll.qlRateHelperQuoteName(X74,Trigger),"")</f>
        <v/>
      </c>
      <c r="Z74" s="73" t="str">
        <f>IFERROR(_xll.qlRateHelperRate(X74,Trigger),"")</f>
        <v/>
      </c>
      <c r="AA74" s="105" t="str">
        <f>IF(ISERROR(_xll.qlSwapRateHelperSpread($X74)),IF(ISERROR(_xll.qlFuturesRateHelperConvexityAdjustment($X74)),"",_xll.qlFuturesRateHelperConvexityAdjustment($X74)),_xll.qlSwapRateHelperSpread($X74))</f>
        <v/>
      </c>
      <c r="AB74" s="5" t="str">
        <f>IFERROR(_xll.qlRateHelperEarliestDate(X74,Trigger),"")</f>
        <v/>
      </c>
      <c r="AC74" s="5" t="str">
        <f>IFERROR(_xll.qlRateHelperPillarDate(X74,Trigger),"")</f>
        <v/>
      </c>
      <c r="AD74" s="73" t="e">
        <v>#N/A</v>
      </c>
    </row>
    <row r="75" spans="1:30" ht="11.25" customHeight="1" x14ac:dyDescent="0.2">
      <c r="A75" s="62" t="s">
        <v>91</v>
      </c>
      <c r="B75" s="63" t="s">
        <v>116</v>
      </c>
      <c r="C75" s="64" t="s">
        <v>6</v>
      </c>
      <c r="D75" s="64" t="s">
        <v>8</v>
      </c>
      <c r="E75" s="64" t="s">
        <v>7</v>
      </c>
      <c r="F75" s="64" t="s">
        <v>132</v>
      </c>
      <c r="G75" s="64" t="str">
        <f t="shared" si="15"/>
        <v>Euribor3MMX#0006</v>
      </c>
      <c r="H75" s="62" t="str">
        <f>IF(ISBLANK(Quote!Y60),"",Quote!Y60)</f>
        <v/>
      </c>
      <c r="I75" s="125"/>
      <c r="J75" s="125"/>
      <c r="K75" s="125"/>
      <c r="M75" s="74" t="str">
        <f t="shared" si="13"/>
        <v>SW</v>
      </c>
      <c r="N75" s="140" t="str">
        <f t="shared" si="14"/>
        <v>--</v>
      </c>
      <c r="O75" s="149" t="str">
        <f>IFERROR(_xll.qlRateHelperQuoteName(N75,Trigger),"--")</f>
        <v>--</v>
      </c>
      <c r="P75" s="142" t="str">
        <f>IFERROR(_xll.qlRateHelperQuoteValue($N75,Trigger),"--")</f>
        <v>--</v>
      </c>
      <c r="Q75" s="141" t="b">
        <v>0</v>
      </c>
      <c r="R75" s="141">
        <v>50</v>
      </c>
      <c r="S75" s="141">
        <v>1</v>
      </c>
      <c r="T75" s="143" t="str">
        <f>IFERROR(_xll.qlRateHelperEarliestDate(N75,Trigger),"--")</f>
        <v>--</v>
      </c>
      <c r="U75" s="143" t="str">
        <f>IFERROR(_xll.qlRateHelperPillarDate(N75,Trigger),"--")</f>
        <v>--</v>
      </c>
      <c r="W75" s="4" t="str">
        <f t="shared" si="16"/>
        <v/>
      </c>
      <c r="X75" s="4" t="e">
        <v>#N/A</v>
      </c>
      <c r="Y75" s="4" t="str">
        <f>IFERROR(_xll.qlRateHelperQuoteName(X75,Trigger),"")</f>
        <v/>
      </c>
      <c r="Z75" s="73" t="str">
        <f>IFERROR(_xll.qlRateHelperRate(X75,Trigger),"")</f>
        <v/>
      </c>
      <c r="AA75" s="105" t="str">
        <f>IF(ISERROR(_xll.qlSwapRateHelperSpread($X75)),IF(ISERROR(_xll.qlFuturesRateHelperConvexityAdjustment($X75)),"",_xll.qlFuturesRateHelperConvexityAdjustment($X75)),_xll.qlSwapRateHelperSpread($X75))</f>
        <v/>
      </c>
      <c r="AB75" s="5" t="str">
        <f>IFERROR(_xll.qlRateHelperEarliestDate(X75,Trigger),"")</f>
        <v/>
      </c>
      <c r="AC75" s="5" t="str">
        <f>IFERROR(_xll.qlRateHelperPillarDate(X75,Trigger),"")</f>
        <v/>
      </c>
      <c r="AD75" s="73" t="e">
        <v>#N/A</v>
      </c>
    </row>
    <row r="76" spans="1:30" ht="11.25" customHeight="1" x14ac:dyDescent="0.2">
      <c r="A76" s="62" t="s">
        <v>91</v>
      </c>
      <c r="B76" s="63" t="s">
        <v>27</v>
      </c>
      <c r="C76" s="64" t="s">
        <v>6</v>
      </c>
      <c r="D76" s="64" t="s">
        <v>8</v>
      </c>
      <c r="E76" s="64" t="s">
        <v>7</v>
      </c>
      <c r="F76" s="64" t="s">
        <v>132</v>
      </c>
      <c r="G76" s="64" t="str">
        <f t="shared" si="15"/>
        <v>Euribor3MMX#0006</v>
      </c>
      <c r="H76" s="62" t="str">
        <f>IF(ISBLANK(Quote!Y61),"",Quote!Y61)</f>
        <v/>
      </c>
      <c r="I76" s="125"/>
      <c r="J76" s="125"/>
      <c r="K76" s="125"/>
      <c r="M76" s="74" t="str">
        <f t="shared" si="13"/>
        <v>SW</v>
      </c>
      <c r="N76" s="140" t="str">
        <f t="shared" si="14"/>
        <v>--</v>
      </c>
      <c r="O76" s="149" t="str">
        <f>IFERROR(_xll.qlRateHelperQuoteName(N76,Trigger),"--")</f>
        <v>--</v>
      </c>
      <c r="P76" s="142" t="str">
        <f>IFERROR(_xll.qlRateHelperQuoteValue($N76,Trigger),"--")</f>
        <v>--</v>
      </c>
      <c r="Q76" s="141" t="b">
        <v>0</v>
      </c>
      <c r="R76" s="141">
        <v>50</v>
      </c>
      <c r="S76" s="141">
        <v>1</v>
      </c>
      <c r="T76" s="143" t="str">
        <f>IFERROR(_xll.qlRateHelperEarliestDate(N76,Trigger),"--")</f>
        <v>--</v>
      </c>
      <c r="U76" s="143" t="str">
        <f>IFERROR(_xll.qlRateHelperPillarDate(N76,Trigger),"--")</f>
        <v>--</v>
      </c>
      <c r="W76" s="4" t="str">
        <f t="shared" si="16"/>
        <v/>
      </c>
      <c r="X76" s="4" t="e">
        <v>#N/A</v>
      </c>
      <c r="Y76" s="4" t="str">
        <f>IFERROR(_xll.qlRateHelperQuoteName(X76,Trigger),"")</f>
        <v/>
      </c>
      <c r="Z76" s="73" t="str">
        <f>IFERROR(_xll.qlRateHelperRate(X76,Trigger),"")</f>
        <v/>
      </c>
      <c r="AA76" s="105" t="str">
        <f>IF(ISERROR(_xll.qlSwapRateHelperSpread($X76)),IF(ISERROR(_xll.qlFuturesRateHelperConvexityAdjustment($X76)),"",_xll.qlFuturesRateHelperConvexityAdjustment($X76)),_xll.qlSwapRateHelperSpread($X76))</f>
        <v/>
      </c>
      <c r="AB76" s="5" t="str">
        <f>IFERROR(_xll.qlRateHelperEarliestDate(X76,Trigger),"")</f>
        <v/>
      </c>
      <c r="AC76" s="5" t="str">
        <f>IFERROR(_xll.qlRateHelperPillarDate(X76,Trigger),"")</f>
        <v/>
      </c>
      <c r="AD76" s="73" t="e">
        <v>#N/A</v>
      </c>
    </row>
    <row r="77" spans="1:30" ht="11.25" customHeight="1" x14ac:dyDescent="0.2">
      <c r="A77" s="62" t="s">
        <v>91</v>
      </c>
      <c r="B77" s="63" t="s">
        <v>147</v>
      </c>
      <c r="C77" s="64" t="s">
        <v>6</v>
      </c>
      <c r="D77" s="64" t="s">
        <v>8</v>
      </c>
      <c r="E77" s="64" t="s">
        <v>7</v>
      </c>
      <c r="F77" s="64" t="s">
        <v>132</v>
      </c>
      <c r="G77" s="64" t="str">
        <f t="shared" si="15"/>
        <v>Euribor3MMX#0006</v>
      </c>
      <c r="H77" s="62" t="str">
        <f>IF(ISBLANK(Quote!Y62),"",Quote!Y62)</f>
        <v/>
      </c>
      <c r="I77" s="125"/>
      <c r="J77" s="125"/>
      <c r="K77" s="125"/>
      <c r="M77" s="74" t="str">
        <f t="shared" si="13"/>
        <v>SW</v>
      </c>
      <c r="N77" s="140" t="str">
        <f t="shared" si="14"/>
        <v>--</v>
      </c>
      <c r="O77" s="149" t="str">
        <f>IFERROR(_xll.qlRateHelperQuoteName(N77,Trigger),"--")</f>
        <v>--</v>
      </c>
      <c r="P77" s="142" t="str">
        <f>IFERROR(_xll.qlRateHelperQuoteValue($N77,Trigger),"--")</f>
        <v>--</v>
      </c>
      <c r="Q77" s="141" t="b">
        <v>0</v>
      </c>
      <c r="R77" s="141">
        <v>50</v>
      </c>
      <c r="S77" s="141">
        <v>1</v>
      </c>
      <c r="T77" s="143" t="str">
        <f>IFERROR(_xll.qlRateHelperEarliestDate(N77,Trigger),"--")</f>
        <v>--</v>
      </c>
      <c r="U77" s="143" t="str">
        <f>IFERROR(_xll.qlRateHelperPillarDate(N77,Trigger),"--")</f>
        <v>--</v>
      </c>
      <c r="W77" s="4" t="str">
        <f t="shared" si="16"/>
        <v/>
      </c>
      <c r="X77" s="4" t="e">
        <v>#N/A</v>
      </c>
      <c r="Y77" s="4" t="str">
        <f>IFERROR(_xll.qlRateHelperQuoteName(X77,Trigger),"")</f>
        <v/>
      </c>
      <c r="Z77" s="73" t="str">
        <f>IFERROR(_xll.qlRateHelperRate(X77,Trigger),"")</f>
        <v/>
      </c>
      <c r="AA77" s="105" t="str">
        <f>IF(ISERROR(_xll.qlSwapRateHelperSpread($X77)),IF(ISERROR(_xll.qlFuturesRateHelperConvexityAdjustment($X77)),"",_xll.qlFuturesRateHelperConvexityAdjustment($X77)),_xll.qlSwapRateHelperSpread($X77))</f>
        <v/>
      </c>
      <c r="AB77" s="5" t="str">
        <f>IFERROR(_xll.qlRateHelperEarliestDate(X77,Trigger),"")</f>
        <v/>
      </c>
      <c r="AC77" s="5" t="str">
        <f>IFERROR(_xll.qlRateHelperPillarDate(X77,Trigger),"")</f>
        <v/>
      </c>
      <c r="AD77" s="73" t="e">
        <v>#N/A</v>
      </c>
    </row>
    <row r="78" spans="1:30" ht="11.25" customHeight="1" x14ac:dyDescent="0.2">
      <c r="A78" s="62" t="s">
        <v>91</v>
      </c>
      <c r="B78" s="63" t="s">
        <v>148</v>
      </c>
      <c r="C78" s="64" t="s">
        <v>6</v>
      </c>
      <c r="D78" s="64" t="s">
        <v>8</v>
      </c>
      <c r="E78" s="64" t="s">
        <v>7</v>
      </c>
      <c r="F78" s="64" t="s">
        <v>132</v>
      </c>
      <c r="G78" s="64" t="str">
        <f t="shared" si="15"/>
        <v>Euribor3MMX#0006</v>
      </c>
      <c r="H78" s="62" t="str">
        <f>IF(ISBLANK(Quote!Y63),"",Quote!Y63)</f>
        <v/>
      </c>
      <c r="I78" s="125"/>
      <c r="J78" s="125"/>
      <c r="K78" s="125"/>
      <c r="M78" s="74" t="str">
        <f t="shared" si="13"/>
        <v>SW</v>
      </c>
      <c r="N78" s="140" t="str">
        <f t="shared" si="14"/>
        <v>--</v>
      </c>
      <c r="O78" s="149" t="str">
        <f>IFERROR(_xll.qlRateHelperQuoteName(N78,Trigger),"--")</f>
        <v>--</v>
      </c>
      <c r="P78" s="142" t="str">
        <f>IFERROR(_xll.qlRateHelperQuoteValue($N78,Trigger),"--")</f>
        <v>--</v>
      </c>
      <c r="Q78" s="141" t="b">
        <v>0</v>
      </c>
      <c r="R78" s="141">
        <v>50</v>
      </c>
      <c r="S78" s="141">
        <v>1</v>
      </c>
      <c r="T78" s="143" t="str">
        <f>IFERROR(_xll.qlRateHelperEarliestDate(N78,Trigger),"--")</f>
        <v>--</v>
      </c>
      <c r="U78" s="143" t="str">
        <f>IFERROR(_xll.qlRateHelperPillarDate(N78,Trigger),"--")</f>
        <v>--</v>
      </c>
      <c r="W78" s="4" t="str">
        <f t="shared" si="16"/>
        <v/>
      </c>
      <c r="X78" s="4" t="e">
        <v>#N/A</v>
      </c>
      <c r="Y78" s="4" t="str">
        <f>IFERROR(_xll.qlRateHelperQuoteName(X78,Trigger),"")</f>
        <v/>
      </c>
      <c r="Z78" s="73" t="str">
        <f>IFERROR(_xll.qlRateHelperRate(X78,Trigger),"")</f>
        <v/>
      </c>
      <c r="AA78" s="105" t="str">
        <f>IF(ISERROR(_xll.qlSwapRateHelperSpread($X78)),IF(ISERROR(_xll.qlFuturesRateHelperConvexityAdjustment($X78)),"",_xll.qlFuturesRateHelperConvexityAdjustment($X78)),_xll.qlSwapRateHelperSpread($X78))</f>
        <v/>
      </c>
      <c r="AB78" s="5" t="str">
        <f>IFERROR(_xll.qlRateHelperEarliestDate(X78,Trigger),"")</f>
        <v/>
      </c>
      <c r="AC78" s="5" t="str">
        <f>IFERROR(_xll.qlRateHelperPillarDate(X78,Trigger),"")</f>
        <v/>
      </c>
      <c r="AD78" s="73" t="e">
        <v>#N/A</v>
      </c>
    </row>
    <row r="79" spans="1:30" ht="11.25" customHeight="1" x14ac:dyDescent="0.2">
      <c r="A79" s="62" t="s">
        <v>91</v>
      </c>
      <c r="B79" s="63" t="s">
        <v>47</v>
      </c>
      <c r="C79" s="64" t="s">
        <v>6</v>
      </c>
      <c r="D79" s="64" t="s">
        <v>8</v>
      </c>
      <c r="E79" s="64" t="s">
        <v>7</v>
      </c>
      <c r="F79" s="64" t="s">
        <v>132</v>
      </c>
      <c r="G79" s="64" t="str">
        <f t="shared" si="15"/>
        <v>Euribor3MMX#0006</v>
      </c>
      <c r="H79" s="62" t="str">
        <f>IF(ISBLANK(Quote!Y64),"",Quote!Y64)</f>
        <v/>
      </c>
      <c r="I79" s="125"/>
      <c r="J79" s="125"/>
      <c r="K79" s="125"/>
      <c r="M79" s="74" t="str">
        <f t="shared" si="13"/>
        <v>SW</v>
      </c>
      <c r="N79" s="140" t="str">
        <f t="shared" si="14"/>
        <v>--</v>
      </c>
      <c r="O79" s="149" t="str">
        <f>IFERROR(_xll.qlRateHelperQuoteName(N79,Trigger),"--")</f>
        <v>--</v>
      </c>
      <c r="P79" s="142" t="str">
        <f>IFERROR(_xll.qlRateHelperQuoteValue($N79,Trigger),"--")</f>
        <v>--</v>
      </c>
      <c r="Q79" s="141" t="b">
        <v>0</v>
      </c>
      <c r="R79" s="141">
        <v>50</v>
      </c>
      <c r="S79" s="141">
        <v>1</v>
      </c>
      <c r="T79" s="143" t="str">
        <f>IFERROR(_xll.qlRateHelperEarliestDate(N79,Trigger),"--")</f>
        <v>--</v>
      </c>
      <c r="U79" s="143" t="str">
        <f>IFERROR(_xll.qlRateHelperPillarDate(N79,Trigger),"--")</f>
        <v>--</v>
      </c>
      <c r="W79" s="4" t="str">
        <f t="shared" si="16"/>
        <v/>
      </c>
      <c r="X79" s="4" t="e">
        <v>#N/A</v>
      </c>
      <c r="Y79" s="4" t="str">
        <f>IFERROR(_xll.qlRateHelperQuoteName(X79,Trigger),"")</f>
        <v/>
      </c>
      <c r="Z79" s="73" t="str">
        <f>IFERROR(_xll.qlRateHelperRate(X79,Trigger),"")</f>
        <v/>
      </c>
      <c r="AA79" s="105" t="str">
        <f>IF(ISERROR(_xll.qlSwapRateHelperSpread($X79)),IF(ISERROR(_xll.qlFuturesRateHelperConvexityAdjustment($X79)),"",_xll.qlFuturesRateHelperConvexityAdjustment($X79)),_xll.qlSwapRateHelperSpread($X79))</f>
        <v/>
      </c>
      <c r="AB79" s="5" t="str">
        <f>IFERROR(_xll.qlRateHelperEarliestDate(X79,Trigger),"")</f>
        <v/>
      </c>
      <c r="AC79" s="5" t="str">
        <f>IFERROR(_xll.qlRateHelperPillarDate(X79,Trigger),"")</f>
        <v/>
      </c>
      <c r="AD79" s="73" t="e">
        <v>#N/A</v>
      </c>
    </row>
    <row r="80" spans="1:30" ht="11.25" customHeight="1" x14ac:dyDescent="0.2">
      <c r="A80" s="62" t="s">
        <v>91</v>
      </c>
      <c r="B80" s="63" t="s">
        <v>149</v>
      </c>
      <c r="C80" s="64" t="s">
        <v>6</v>
      </c>
      <c r="D80" s="64" t="s">
        <v>8</v>
      </c>
      <c r="E80" s="64" t="s">
        <v>7</v>
      </c>
      <c r="F80" s="64" t="s">
        <v>132</v>
      </c>
      <c r="G80" s="64" t="str">
        <f t="shared" si="15"/>
        <v>Euribor3MMX#0006</v>
      </c>
      <c r="H80" s="62" t="str">
        <f>IF(ISBLANK(Quote!Y65),"",Quote!Y65)</f>
        <v/>
      </c>
      <c r="I80" s="125"/>
      <c r="J80" s="125"/>
      <c r="K80" s="125"/>
      <c r="M80" s="74" t="str">
        <f t="shared" si="13"/>
        <v>SW</v>
      </c>
      <c r="N80" s="140" t="str">
        <f t="shared" si="14"/>
        <v>--</v>
      </c>
      <c r="O80" s="149" t="str">
        <f>IFERROR(_xll.qlRateHelperQuoteName(N80,Trigger),"--")</f>
        <v>--</v>
      </c>
      <c r="P80" s="142" t="str">
        <f>IFERROR(_xll.qlRateHelperQuoteValue($N80,Trigger),"--")</f>
        <v>--</v>
      </c>
      <c r="Q80" s="141" t="b">
        <v>0</v>
      </c>
      <c r="R80" s="141">
        <v>50</v>
      </c>
      <c r="S80" s="141">
        <v>1</v>
      </c>
      <c r="T80" s="143" t="str">
        <f>IFERROR(_xll.qlRateHelperEarliestDate(N80,Trigger),"--")</f>
        <v>--</v>
      </c>
      <c r="U80" s="143" t="str">
        <f>IFERROR(_xll.qlRateHelperPillarDate(N80,Trigger),"--")</f>
        <v>--</v>
      </c>
      <c r="W80" s="4" t="str">
        <f t="shared" si="16"/>
        <v/>
      </c>
      <c r="X80" s="4" t="e">
        <v>#N/A</v>
      </c>
      <c r="Y80" s="4" t="str">
        <f>IFERROR(_xll.qlRateHelperQuoteName(X80,Trigger),"")</f>
        <v/>
      </c>
      <c r="Z80" s="73" t="str">
        <f>IFERROR(_xll.qlRateHelperRate(X80,Trigger),"")</f>
        <v/>
      </c>
      <c r="AA80" s="105" t="str">
        <f>IF(ISERROR(_xll.qlSwapRateHelperSpread($X80)),IF(ISERROR(_xll.qlFuturesRateHelperConvexityAdjustment($X80)),"",_xll.qlFuturesRateHelperConvexityAdjustment($X80)),_xll.qlSwapRateHelperSpread($X80))</f>
        <v/>
      </c>
      <c r="AB80" s="5" t="str">
        <f>IFERROR(_xll.qlRateHelperEarliestDate(X80,Trigger),"")</f>
        <v/>
      </c>
      <c r="AC80" s="5" t="str">
        <f>IFERROR(_xll.qlRateHelperPillarDate(X80,Trigger),"")</f>
        <v/>
      </c>
      <c r="AD80" s="73" t="e">
        <v>#N/A</v>
      </c>
    </row>
    <row r="81" spans="1:30" x14ac:dyDescent="0.2">
      <c r="A81" s="62" t="s">
        <v>91</v>
      </c>
      <c r="B81" s="63" t="s">
        <v>150</v>
      </c>
      <c r="C81" s="64" t="s">
        <v>6</v>
      </c>
      <c r="D81" s="64" t="s">
        <v>8</v>
      </c>
      <c r="E81" s="64" t="s">
        <v>7</v>
      </c>
      <c r="F81" s="64" t="s">
        <v>132</v>
      </c>
      <c r="G81" s="64" t="str">
        <f t="shared" si="15"/>
        <v>Euribor3MMX#0006</v>
      </c>
      <c r="H81" s="62" t="str">
        <f>IF(ISBLANK(Quote!Y66),"",Quote!Y66)</f>
        <v/>
      </c>
      <c r="I81" s="125"/>
      <c r="J81" s="125"/>
      <c r="K81" s="125"/>
      <c r="M81" s="74" t="str">
        <f t="shared" si="13"/>
        <v>SW</v>
      </c>
      <c r="N81" s="140" t="str">
        <f t="shared" si="14"/>
        <v>--</v>
      </c>
      <c r="O81" s="149" t="str">
        <f>IFERROR(_xll.qlRateHelperQuoteName(N81,Trigger),"--")</f>
        <v>--</v>
      </c>
      <c r="P81" s="142" t="str">
        <f>IFERROR(_xll.qlRateHelperQuoteValue($N81,Trigger),"--")</f>
        <v>--</v>
      </c>
      <c r="Q81" s="141" t="b">
        <v>0</v>
      </c>
      <c r="R81" s="141">
        <v>50</v>
      </c>
      <c r="S81" s="141">
        <v>1</v>
      </c>
      <c r="T81" s="143" t="str">
        <f>IFERROR(_xll.qlRateHelperEarliestDate(N81,Trigger),"--")</f>
        <v>--</v>
      </c>
      <c r="U81" s="143" t="str">
        <f>IFERROR(_xll.qlRateHelperPillarDate(N81,Trigger),"--")</f>
        <v>--</v>
      </c>
      <c r="W81" s="4" t="str">
        <f t="shared" si="16"/>
        <v/>
      </c>
      <c r="X81" s="4" t="e">
        <v>#N/A</v>
      </c>
      <c r="Y81" s="4" t="str">
        <f>IFERROR(_xll.qlRateHelperQuoteName(X81,Trigger),"")</f>
        <v/>
      </c>
      <c r="Z81" s="73" t="str">
        <f>IFERROR(_xll.qlRateHelperRate(X81,Trigger),"")</f>
        <v/>
      </c>
      <c r="AA81" s="105" t="str">
        <f>IF(ISERROR(_xll.qlSwapRateHelperSpread($X81)),IF(ISERROR(_xll.qlFuturesRateHelperConvexityAdjustment($X81)),"",_xll.qlFuturesRateHelperConvexityAdjustment($X81)),_xll.qlSwapRateHelperSpread($X81))</f>
        <v/>
      </c>
      <c r="AB81" s="5" t="str">
        <f>IFERROR(_xll.qlRateHelperEarliestDate(X81,Trigger),"")</f>
        <v/>
      </c>
      <c r="AC81" s="5" t="str">
        <f>IFERROR(_xll.qlRateHelperPillarDate(X81,Trigger),"")</f>
        <v/>
      </c>
      <c r="AD81" s="73" t="e">
        <v>#N/A</v>
      </c>
    </row>
    <row r="82" spans="1:30" x14ac:dyDescent="0.2">
      <c r="A82" s="62" t="s">
        <v>91</v>
      </c>
      <c r="B82" s="63" t="s">
        <v>48</v>
      </c>
      <c r="C82" s="64" t="s">
        <v>6</v>
      </c>
      <c r="D82" s="64" t="s">
        <v>8</v>
      </c>
      <c r="E82" s="64" t="s">
        <v>7</v>
      </c>
      <c r="F82" s="64" t="s">
        <v>132</v>
      </c>
      <c r="G82" s="64" t="str">
        <f t="shared" si="15"/>
        <v>Euribor3MMX#0006</v>
      </c>
      <c r="H82" s="62" t="str">
        <f>IF(ISBLANK(Quote!Y67),"",Quote!Y67)</f>
        <v/>
      </c>
      <c r="I82" s="125"/>
      <c r="J82" s="125"/>
      <c r="K82" s="125"/>
      <c r="M82" s="74" t="str">
        <f t="shared" si="13"/>
        <v>SW</v>
      </c>
      <c r="N82" s="140" t="str">
        <f t="shared" si="14"/>
        <v>--</v>
      </c>
      <c r="O82" s="149" t="str">
        <f>IFERROR(_xll.qlRateHelperQuoteName(N82,Trigger),"--")</f>
        <v>--</v>
      </c>
      <c r="P82" s="142" t="str">
        <f>IFERROR(_xll.qlRateHelperQuoteValue($N82,Trigger),"--")</f>
        <v>--</v>
      </c>
      <c r="Q82" s="141" t="b">
        <v>0</v>
      </c>
      <c r="R82" s="141">
        <v>50</v>
      </c>
      <c r="S82" s="141">
        <v>1</v>
      </c>
      <c r="T82" s="143" t="str">
        <f>IFERROR(_xll.qlRateHelperEarliestDate(N82,Trigger),"--")</f>
        <v>--</v>
      </c>
      <c r="U82" s="143" t="str">
        <f>IFERROR(_xll.qlRateHelperPillarDate(N82,Trigger),"--")</f>
        <v>--</v>
      </c>
      <c r="W82" s="4" t="str">
        <f t="shared" si="16"/>
        <v/>
      </c>
      <c r="X82" s="4" t="e">
        <v>#N/A</v>
      </c>
      <c r="Y82" s="4" t="str">
        <f>IFERROR(_xll.qlRateHelperQuoteName(X82,Trigger),"")</f>
        <v/>
      </c>
      <c r="Z82" s="73" t="str">
        <f>IFERROR(_xll.qlRateHelperRate(X82,Trigger),"")</f>
        <v/>
      </c>
      <c r="AA82" s="105" t="str">
        <f>IF(ISERROR(_xll.qlSwapRateHelperSpread($X82)),IF(ISERROR(_xll.qlFuturesRateHelperConvexityAdjustment($X82)),"",_xll.qlFuturesRateHelperConvexityAdjustment($X82)),_xll.qlSwapRateHelperSpread($X82))</f>
        <v/>
      </c>
      <c r="AB82" s="5" t="str">
        <f>IFERROR(_xll.qlRateHelperEarliestDate(X82,Trigger),"")</f>
        <v/>
      </c>
      <c r="AC82" s="5" t="str">
        <f>IFERROR(_xll.qlRateHelperPillarDate(X82,Trigger),"")</f>
        <v/>
      </c>
      <c r="AD82" s="73" t="e">
        <v>#N/A</v>
      </c>
    </row>
    <row r="83" spans="1:30" x14ac:dyDescent="0.2">
      <c r="A83" s="62" t="s">
        <v>91</v>
      </c>
      <c r="B83" s="63" t="s">
        <v>151</v>
      </c>
      <c r="C83" s="64" t="s">
        <v>6</v>
      </c>
      <c r="D83" s="64" t="s">
        <v>8</v>
      </c>
      <c r="E83" s="64" t="s">
        <v>7</v>
      </c>
      <c r="F83" s="64" t="s">
        <v>132</v>
      </c>
      <c r="G83" s="64" t="str">
        <f t="shared" si="15"/>
        <v>Euribor3MMX#0006</v>
      </c>
      <c r="H83" s="62" t="str">
        <f>IF(ISBLANK(Quote!Y68),"",Quote!Y68)</f>
        <v/>
      </c>
      <c r="I83" s="125"/>
      <c r="J83" s="125"/>
      <c r="K83" s="125"/>
      <c r="M83" s="74" t="str">
        <f t="shared" si="13"/>
        <v>SW</v>
      </c>
      <c r="N83" s="140" t="str">
        <f t="shared" si="14"/>
        <v>--</v>
      </c>
      <c r="O83" s="149" t="str">
        <f>IFERROR(_xll.qlRateHelperQuoteName(N83,Trigger),"--")</f>
        <v>--</v>
      </c>
      <c r="P83" s="142" t="str">
        <f>IFERROR(_xll.qlRateHelperQuoteValue($N83,Trigger),"--")</f>
        <v>--</v>
      </c>
      <c r="Q83" s="141" t="b">
        <v>0</v>
      </c>
      <c r="R83" s="141">
        <v>50</v>
      </c>
      <c r="S83" s="141">
        <v>1</v>
      </c>
      <c r="T83" s="143" t="str">
        <f>IFERROR(_xll.qlRateHelperEarliestDate(N83,Trigger),"--")</f>
        <v>--</v>
      </c>
      <c r="U83" s="143" t="str">
        <f>IFERROR(_xll.qlRateHelperPillarDate(N83,Trigger),"--")</f>
        <v>--</v>
      </c>
      <c r="W83" s="4" t="str">
        <f t="shared" si="16"/>
        <v/>
      </c>
      <c r="X83" s="4" t="e">
        <v>#N/A</v>
      </c>
      <c r="Y83" s="4" t="str">
        <f>IFERROR(_xll.qlRateHelperQuoteName(X83,Trigger),"")</f>
        <v/>
      </c>
      <c r="Z83" s="73" t="str">
        <f>IFERROR(_xll.qlRateHelperRate(X83,Trigger),"")</f>
        <v/>
      </c>
      <c r="AA83" s="105" t="str">
        <f>IF(ISERROR(_xll.qlSwapRateHelperSpread($X83)),IF(ISERROR(_xll.qlFuturesRateHelperConvexityAdjustment($X83)),"",_xll.qlFuturesRateHelperConvexityAdjustment($X83)),_xll.qlSwapRateHelperSpread($X83))</f>
        <v/>
      </c>
      <c r="AB83" s="5" t="str">
        <f>IFERROR(_xll.qlRateHelperEarliestDate(X83,Trigger),"")</f>
        <v/>
      </c>
      <c r="AC83" s="5" t="str">
        <f>IFERROR(_xll.qlRateHelperPillarDate(X83,Trigger),"")</f>
        <v/>
      </c>
      <c r="AD83" s="73" t="e">
        <v>#N/A</v>
      </c>
    </row>
    <row r="84" spans="1:30" x14ac:dyDescent="0.2">
      <c r="A84" s="62" t="s">
        <v>91</v>
      </c>
      <c r="B84" s="63" t="s">
        <v>152</v>
      </c>
      <c r="C84" s="64" t="s">
        <v>6</v>
      </c>
      <c r="D84" s="64" t="s">
        <v>8</v>
      </c>
      <c r="E84" s="64" t="s">
        <v>7</v>
      </c>
      <c r="F84" s="64" t="s">
        <v>132</v>
      </c>
      <c r="G84" s="64" t="str">
        <f t="shared" si="15"/>
        <v>Euribor3MMX#0006</v>
      </c>
      <c r="H84" s="62" t="str">
        <f>IF(ISBLANK(Quote!Y69),"",Quote!Y69)</f>
        <v/>
      </c>
      <c r="I84" s="125"/>
      <c r="J84" s="125"/>
      <c r="K84" s="125"/>
      <c r="M84" s="74" t="str">
        <f t="shared" si="13"/>
        <v>SW</v>
      </c>
      <c r="N84" s="140" t="str">
        <f t="shared" si="14"/>
        <v>--</v>
      </c>
      <c r="O84" s="149" t="str">
        <f>IFERROR(_xll.qlRateHelperQuoteName(N84,Trigger),"--")</f>
        <v>--</v>
      </c>
      <c r="P84" s="142" t="str">
        <f>IFERROR(_xll.qlRateHelperQuoteValue($N84,Trigger),"--")</f>
        <v>--</v>
      </c>
      <c r="Q84" s="141" t="b">
        <v>0</v>
      </c>
      <c r="R84" s="141">
        <v>50</v>
      </c>
      <c r="S84" s="141">
        <v>1</v>
      </c>
      <c r="T84" s="143" t="str">
        <f>IFERROR(_xll.qlRateHelperEarliestDate(N84,Trigger),"--")</f>
        <v>--</v>
      </c>
      <c r="U84" s="143" t="str">
        <f>IFERROR(_xll.qlRateHelperPillarDate(N84,Trigger),"--")</f>
        <v>--</v>
      </c>
      <c r="W84" s="4" t="str">
        <f t="shared" si="16"/>
        <v/>
      </c>
      <c r="X84" s="4" t="e">
        <v>#N/A</v>
      </c>
      <c r="Y84" s="4" t="str">
        <f>IFERROR(_xll.qlRateHelperQuoteName(X84,Trigger),"")</f>
        <v/>
      </c>
      <c r="Z84" s="73" t="str">
        <f>IFERROR(_xll.qlRateHelperRate(X84,Trigger),"")</f>
        <v/>
      </c>
      <c r="AA84" s="105" t="str">
        <f>IF(ISERROR(_xll.qlSwapRateHelperSpread($X84)),IF(ISERROR(_xll.qlFuturesRateHelperConvexityAdjustment($X84)),"",_xll.qlFuturesRateHelperConvexityAdjustment($X84)),_xll.qlSwapRateHelperSpread($X84))</f>
        <v/>
      </c>
      <c r="AB84" s="5" t="str">
        <f>IFERROR(_xll.qlRateHelperEarliestDate(X84,Trigger),"")</f>
        <v/>
      </c>
      <c r="AC84" s="5" t="str">
        <f>IFERROR(_xll.qlRateHelperPillarDate(X84,Trigger),"")</f>
        <v/>
      </c>
      <c r="AD84" s="73" t="e">
        <v>#N/A</v>
      </c>
    </row>
    <row r="85" spans="1:30" x14ac:dyDescent="0.2">
      <c r="A85" s="62" t="s">
        <v>91</v>
      </c>
      <c r="B85" s="63" t="s">
        <v>49</v>
      </c>
      <c r="C85" s="64" t="s">
        <v>6</v>
      </c>
      <c r="D85" s="64" t="s">
        <v>8</v>
      </c>
      <c r="E85" s="64" t="s">
        <v>7</v>
      </c>
      <c r="F85" s="64" t="s">
        <v>132</v>
      </c>
      <c r="G85" s="64" t="str">
        <f t="shared" si="15"/>
        <v>Euribor3MMX#0006</v>
      </c>
      <c r="H85" s="62" t="str">
        <f>IF(ISBLANK(Quote!Y70),"",Quote!Y70)</f>
        <v/>
      </c>
      <c r="I85" s="125"/>
      <c r="J85" s="125"/>
      <c r="K85" s="125"/>
      <c r="M85" s="74" t="str">
        <f t="shared" si="13"/>
        <v>SW</v>
      </c>
      <c r="N85" s="140" t="str">
        <f t="shared" si="14"/>
        <v>--</v>
      </c>
      <c r="O85" s="149" t="str">
        <f>IFERROR(_xll.qlRateHelperQuoteName(N85,Trigger),"--")</f>
        <v>--</v>
      </c>
      <c r="P85" s="142" t="str">
        <f>IFERROR(_xll.qlRateHelperQuoteValue($N85,Trigger),"--")</f>
        <v>--</v>
      </c>
      <c r="Q85" s="141" t="b">
        <v>0</v>
      </c>
      <c r="R85" s="141">
        <v>50</v>
      </c>
      <c r="S85" s="141">
        <v>1</v>
      </c>
      <c r="T85" s="143" t="str">
        <f>IFERROR(_xll.qlRateHelperEarliestDate(N85,Trigger),"--")</f>
        <v>--</v>
      </c>
      <c r="U85" s="143" t="str">
        <f>IFERROR(_xll.qlRateHelperPillarDate(N85,Trigger),"--")</f>
        <v>--</v>
      </c>
      <c r="W85" s="4" t="str">
        <f t="shared" si="16"/>
        <v/>
      </c>
      <c r="X85" s="4" t="e">
        <v>#N/A</v>
      </c>
      <c r="Y85" s="4" t="str">
        <f>IFERROR(_xll.qlRateHelperQuoteName(X85,Trigger),"")</f>
        <v/>
      </c>
      <c r="Z85" s="73" t="str">
        <f>IFERROR(_xll.qlRateHelperRate(X85,Trigger),"")</f>
        <v/>
      </c>
      <c r="AA85" s="105" t="str">
        <f>IF(ISERROR(_xll.qlSwapRateHelperSpread($X85)),IF(ISERROR(_xll.qlFuturesRateHelperConvexityAdjustment($X85)),"",_xll.qlFuturesRateHelperConvexityAdjustment($X85)),_xll.qlSwapRateHelperSpread($X85))</f>
        <v/>
      </c>
      <c r="AB85" s="5" t="str">
        <f>IFERROR(_xll.qlRateHelperEarliestDate(X85,Trigger),"")</f>
        <v/>
      </c>
      <c r="AC85" s="5" t="str">
        <f>IFERROR(_xll.qlRateHelperPillarDate(X85,Trigger),"")</f>
        <v/>
      </c>
      <c r="AD85" s="73" t="e">
        <v>#N/A</v>
      </c>
    </row>
    <row r="86" spans="1:30" x14ac:dyDescent="0.2">
      <c r="A86" s="62" t="s">
        <v>91</v>
      </c>
      <c r="B86" s="63" t="s">
        <v>153</v>
      </c>
      <c r="C86" s="64" t="s">
        <v>6</v>
      </c>
      <c r="D86" s="64" t="s">
        <v>8</v>
      </c>
      <c r="E86" s="64" t="s">
        <v>7</v>
      </c>
      <c r="F86" s="64" t="s">
        <v>132</v>
      </c>
      <c r="G86" s="64" t="str">
        <f t="shared" si="15"/>
        <v>Euribor3MMX#0006</v>
      </c>
      <c r="H86" s="62" t="str">
        <f>IF(ISBLANK(Quote!Y71),"",Quote!Y71)</f>
        <v/>
      </c>
      <c r="I86" s="125"/>
      <c r="J86" s="125"/>
      <c r="K86" s="125"/>
      <c r="M86" s="74" t="str">
        <f t="shared" si="13"/>
        <v>SW</v>
      </c>
      <c r="N86" s="140" t="str">
        <f t="shared" si="14"/>
        <v>obj_00362#0006</v>
      </c>
      <c r="O86" s="149" t="str">
        <f>IFERROR(_xll.qlRateHelperQuoteName(N86,Trigger),"--")</f>
        <v>EUR3MSW3Y_Shifted</v>
      </c>
      <c r="P86" s="142">
        <f>IFERROR(_xll.qlRateHelperQuoteValue($N86,Trigger),"--")</f>
        <v>-2.2200000000000002E-3</v>
      </c>
      <c r="Q86" s="141" t="b">
        <v>1</v>
      </c>
      <c r="R86" s="141">
        <v>50</v>
      </c>
      <c r="S86" s="141">
        <v>1</v>
      </c>
      <c r="T86" s="143">
        <f>IFERROR(_xll.qlRateHelperEarliestDate(N86,Trigger),"--")</f>
        <v>42748</v>
      </c>
      <c r="U86" s="143">
        <f>IFERROR(_xll.qlRateHelperPillarDate(N86,Trigger),"--")</f>
        <v>43843</v>
      </c>
      <c r="W86" s="4" t="str">
        <f t="shared" si="16"/>
        <v/>
      </c>
      <c r="X86" s="4" t="e">
        <v>#N/A</v>
      </c>
      <c r="Y86" s="4" t="str">
        <f>IFERROR(_xll.qlRateHelperQuoteName(X86,Trigger),"")</f>
        <v/>
      </c>
      <c r="Z86" s="73" t="str">
        <f>IFERROR(_xll.qlRateHelperRate(X86,Trigger),"")</f>
        <v/>
      </c>
      <c r="AA86" s="105" t="str">
        <f>IF(ISERROR(_xll.qlSwapRateHelperSpread($X86)),IF(ISERROR(_xll.qlFuturesRateHelperConvexityAdjustment($X86)),"",_xll.qlFuturesRateHelperConvexityAdjustment($X86)),_xll.qlSwapRateHelperSpread($X86))</f>
        <v/>
      </c>
      <c r="AB86" s="5" t="str">
        <f>IFERROR(_xll.qlRateHelperEarliestDate(X86,Trigger),"")</f>
        <v/>
      </c>
      <c r="AC86" s="5" t="str">
        <f>IFERROR(_xll.qlRateHelperPillarDate(X86,Trigger),"")</f>
        <v/>
      </c>
      <c r="AD86" s="73" t="e">
        <v>#N/A</v>
      </c>
    </row>
    <row r="87" spans="1:30" x14ac:dyDescent="0.2">
      <c r="A87" s="62" t="s">
        <v>91</v>
      </c>
      <c r="B87" s="63" t="s">
        <v>154</v>
      </c>
      <c r="C87" s="64" t="s">
        <v>6</v>
      </c>
      <c r="D87" s="64" t="s">
        <v>8</v>
      </c>
      <c r="E87" s="64" t="s">
        <v>7</v>
      </c>
      <c r="F87" s="64" t="s">
        <v>132</v>
      </c>
      <c r="G87" s="64" t="str">
        <f t="shared" si="15"/>
        <v>Euribor3MMX#0006</v>
      </c>
      <c r="H87" s="62" t="str">
        <f>IF(ISBLANK(Quote!Y72),"",Quote!Y72)</f>
        <v/>
      </c>
      <c r="I87" s="125"/>
      <c r="J87" s="125"/>
      <c r="K87" s="125"/>
      <c r="M87" s="74" t="str">
        <f t="shared" ref="M87:M118" si="17">A93</f>
        <v>SW</v>
      </c>
      <c r="N87" s="140" t="str">
        <f t="shared" ref="N87:N118" si="18">IF(ISBLANK(K93),"--",K93)</f>
        <v>obj_0033c#0006</v>
      </c>
      <c r="O87" s="149" t="str">
        <f>IFERROR(_xll.qlRateHelperQuoteName(N87,Trigger),"--")</f>
        <v>EUR3MSW4Y_Shifted</v>
      </c>
      <c r="P87" s="142">
        <f>IFERROR(_xll.qlRateHelperQuoteValue($N87,Trigger),"--")</f>
        <v>-1.4200000000000003E-3</v>
      </c>
      <c r="Q87" s="141" t="b">
        <v>1</v>
      </c>
      <c r="R87" s="141">
        <v>50</v>
      </c>
      <c r="S87" s="141">
        <v>1</v>
      </c>
      <c r="T87" s="143">
        <f>IFERROR(_xll.qlRateHelperEarliestDate(N87,Trigger),"--")</f>
        <v>42748</v>
      </c>
      <c r="U87" s="143">
        <f>IFERROR(_xll.qlRateHelperPillarDate(N87,Trigger),"--")</f>
        <v>44209</v>
      </c>
      <c r="W87" s="4" t="str">
        <f t="shared" si="16"/>
        <v/>
      </c>
      <c r="X87" s="4" t="e">
        <v>#N/A</v>
      </c>
      <c r="Y87" s="4" t="str">
        <f>IFERROR(_xll.qlRateHelperQuoteName(X87,Trigger),"")</f>
        <v/>
      </c>
      <c r="Z87" s="73" t="str">
        <f>IFERROR(_xll.qlRateHelperRate(X87,Trigger),"")</f>
        <v/>
      </c>
      <c r="AA87" s="105" t="str">
        <f>IF(ISERROR(_xll.qlSwapRateHelperSpread($X87)),IF(ISERROR(_xll.qlFuturesRateHelperConvexityAdjustment($X87)),"",_xll.qlFuturesRateHelperConvexityAdjustment($X87)),_xll.qlSwapRateHelperSpread($X87))</f>
        <v/>
      </c>
      <c r="AB87" s="5" t="str">
        <f>IFERROR(_xll.qlRateHelperEarliestDate(X87,Trigger),"")</f>
        <v/>
      </c>
      <c r="AC87" s="5" t="str">
        <f>IFERROR(_xll.qlRateHelperPillarDate(X87,Trigger),"")</f>
        <v/>
      </c>
      <c r="AD87" s="73" t="e">
        <v>#N/A</v>
      </c>
    </row>
    <row r="88" spans="1:30" x14ac:dyDescent="0.2">
      <c r="A88" s="62" t="s">
        <v>91</v>
      </c>
      <c r="B88" s="63" t="s">
        <v>50</v>
      </c>
      <c r="C88" s="64" t="s">
        <v>6</v>
      </c>
      <c r="D88" s="64" t="s">
        <v>8</v>
      </c>
      <c r="E88" s="64" t="s">
        <v>7</v>
      </c>
      <c r="F88" s="64" t="s">
        <v>132</v>
      </c>
      <c r="G88" s="64" t="str">
        <f t="shared" si="15"/>
        <v>Euribor3MMX#0006</v>
      </c>
      <c r="H88" s="62" t="str">
        <f>IF(ISBLANK(Quote!Y73),"",Quote!Y73)</f>
        <v/>
      </c>
      <c r="I88" s="125"/>
      <c r="J88" s="125"/>
      <c r="K88" s="125"/>
      <c r="M88" s="74" t="str">
        <f t="shared" si="17"/>
        <v>SW</v>
      </c>
      <c r="N88" s="140" t="str">
        <f t="shared" si="18"/>
        <v>obj_0032e#0006</v>
      </c>
      <c r="O88" s="149" t="str">
        <f>IFERROR(_xll.qlRateHelperQuoteName(N88,Trigger),"--")</f>
        <v>EUR3MSW5Y_Shifted</v>
      </c>
      <c r="P88" s="142">
        <f>IFERROR(_xll.qlRateHelperQuoteValue($N88,Trigger),"--")</f>
        <v>-4.3000000000000004E-4</v>
      </c>
      <c r="Q88" s="141" t="b">
        <v>1</v>
      </c>
      <c r="R88" s="141">
        <v>50</v>
      </c>
      <c r="S88" s="141">
        <v>1</v>
      </c>
      <c r="T88" s="143">
        <f>IFERROR(_xll.qlRateHelperEarliestDate(N88,Trigger),"--")</f>
        <v>42748</v>
      </c>
      <c r="U88" s="143">
        <f>IFERROR(_xll.qlRateHelperPillarDate(N88,Trigger),"--")</f>
        <v>44574</v>
      </c>
      <c r="W88" s="4" t="str">
        <f t="shared" si="16"/>
        <v/>
      </c>
      <c r="X88" s="4" t="e">
        <v>#N/A</v>
      </c>
      <c r="Y88" s="4" t="str">
        <f>IFERROR(_xll.qlRateHelperQuoteName(X88,Trigger),"")</f>
        <v/>
      </c>
      <c r="Z88" s="73" t="str">
        <f>IFERROR(_xll.qlRateHelperRate(X88,Trigger),"")</f>
        <v/>
      </c>
      <c r="AA88" s="105" t="str">
        <f>IF(ISERROR(_xll.qlSwapRateHelperSpread($X88)),IF(ISERROR(_xll.qlFuturesRateHelperConvexityAdjustment($X88)),"",_xll.qlFuturesRateHelperConvexityAdjustment($X88)),_xll.qlSwapRateHelperSpread($X88))</f>
        <v/>
      </c>
      <c r="AB88" s="5" t="str">
        <f>IFERROR(_xll.qlRateHelperEarliestDate(X88,Trigger),"")</f>
        <v/>
      </c>
      <c r="AC88" s="5" t="str">
        <f>IFERROR(_xll.qlRateHelperPillarDate(X88,Trigger),"")</f>
        <v/>
      </c>
      <c r="AD88" s="73" t="e">
        <v>#N/A</v>
      </c>
    </row>
    <row r="89" spans="1:30" x14ac:dyDescent="0.2">
      <c r="A89" s="62" t="s">
        <v>91</v>
      </c>
      <c r="B89" s="63" t="s">
        <v>155</v>
      </c>
      <c r="C89" s="64" t="s">
        <v>6</v>
      </c>
      <c r="D89" s="64" t="s">
        <v>8</v>
      </c>
      <c r="E89" s="64" t="s">
        <v>7</v>
      </c>
      <c r="F89" s="64" t="s">
        <v>132</v>
      </c>
      <c r="G89" s="64" t="str">
        <f t="shared" si="15"/>
        <v>Euribor3MMX#0006</v>
      </c>
      <c r="H89" s="62"/>
      <c r="I89" s="125"/>
      <c r="J89" s="125"/>
      <c r="K89" s="125"/>
      <c r="M89" s="74" t="str">
        <f t="shared" si="17"/>
        <v>SW</v>
      </c>
      <c r="N89" s="140" t="str">
        <f t="shared" si="18"/>
        <v>obj_00365#0006</v>
      </c>
      <c r="O89" s="149" t="str">
        <f>IFERROR(_xll.qlRateHelperQuoteName(N89,Trigger),"--")</f>
        <v>EUR3MSW6Y_Shifted</v>
      </c>
      <c r="P89" s="142">
        <f>IFERROR(_xll.qlRateHelperQuoteValue($N89,Trigger),"--")</f>
        <v>7.2000000000000005E-4</v>
      </c>
      <c r="Q89" s="141" t="b">
        <v>1</v>
      </c>
      <c r="R89" s="141">
        <v>50</v>
      </c>
      <c r="S89" s="141">
        <v>1</v>
      </c>
      <c r="T89" s="143">
        <f>IFERROR(_xll.qlRateHelperEarliestDate(N89,Trigger),"--")</f>
        <v>42748</v>
      </c>
      <c r="U89" s="143">
        <f>IFERROR(_xll.qlRateHelperPillarDate(N89,Trigger),"--")</f>
        <v>44939</v>
      </c>
      <c r="W89" s="4" t="str">
        <f t="shared" si="16"/>
        <v/>
      </c>
      <c r="X89" s="4" t="e">
        <v>#N/A</v>
      </c>
      <c r="Y89" s="4" t="str">
        <f>IFERROR(_xll.qlRateHelperQuoteName(X89,Trigger),"")</f>
        <v/>
      </c>
      <c r="Z89" s="73" t="str">
        <f>IFERROR(_xll.qlRateHelperRate(X89,Trigger),"")</f>
        <v/>
      </c>
      <c r="AA89" s="105" t="str">
        <f>IF(ISERROR(_xll.qlSwapRateHelperSpread($X89)),IF(ISERROR(_xll.qlFuturesRateHelperConvexityAdjustment($X89)),"",_xll.qlFuturesRateHelperConvexityAdjustment($X89)),_xll.qlSwapRateHelperSpread($X89))</f>
        <v/>
      </c>
      <c r="AB89" s="5" t="str">
        <f>IFERROR(_xll.qlRateHelperEarliestDate(X89,Trigger),"")</f>
        <v/>
      </c>
      <c r="AC89" s="5" t="str">
        <f>IFERROR(_xll.qlRateHelperPillarDate(X89,Trigger),"")</f>
        <v/>
      </c>
      <c r="AD89" s="73" t="e">
        <v>#N/A</v>
      </c>
    </row>
    <row r="90" spans="1:30" x14ac:dyDescent="0.2">
      <c r="A90" s="62" t="s">
        <v>91</v>
      </c>
      <c r="B90" s="63" t="s">
        <v>156</v>
      </c>
      <c r="C90" s="64" t="s">
        <v>6</v>
      </c>
      <c r="D90" s="64" t="s">
        <v>8</v>
      </c>
      <c r="E90" s="64" t="s">
        <v>7</v>
      </c>
      <c r="F90" s="64" t="s">
        <v>132</v>
      </c>
      <c r="G90" s="64" t="str">
        <f t="shared" si="15"/>
        <v>Euribor3MMX#0006</v>
      </c>
      <c r="H90" s="62" t="str">
        <f>IF(ISBLANK(Quote!Y75),"",Quote!Y75)</f>
        <v/>
      </c>
      <c r="I90" s="125"/>
      <c r="J90" s="125"/>
      <c r="K90" s="125"/>
      <c r="L90" s="49" t="s">
        <v>34</v>
      </c>
      <c r="M90" s="74" t="str">
        <f t="shared" si="17"/>
        <v>SW</v>
      </c>
      <c r="N90" s="140" t="str">
        <f t="shared" si="18"/>
        <v>obj_0037b#0006</v>
      </c>
      <c r="O90" s="149" t="str">
        <f>IFERROR(_xll.qlRateHelperQuoteName(N90,Trigger),"--")</f>
        <v>EUR3MSW7Y_Shifted</v>
      </c>
      <c r="P90" s="142">
        <f>IFERROR(_xll.qlRateHelperQuoteValue($N90,Trigger),"--")</f>
        <v>1.9599999999999999E-3</v>
      </c>
      <c r="Q90" s="141" t="b">
        <v>1</v>
      </c>
      <c r="R90" s="141">
        <v>50</v>
      </c>
      <c r="S90" s="141">
        <v>1</v>
      </c>
      <c r="T90" s="143">
        <f>IFERROR(_xll.qlRateHelperEarliestDate(N90,Trigger),"--")</f>
        <v>42748</v>
      </c>
      <c r="U90" s="143">
        <f>IFERROR(_xll.qlRateHelperPillarDate(N90,Trigger),"--")</f>
        <v>45306</v>
      </c>
      <c r="W90" s="4" t="str">
        <f t="shared" si="16"/>
        <v/>
      </c>
      <c r="X90" s="4" t="e">
        <v>#N/A</v>
      </c>
      <c r="Y90" s="4" t="str">
        <f>IFERROR(_xll.qlRateHelperQuoteName(X90,Trigger),"")</f>
        <v/>
      </c>
      <c r="Z90" s="73" t="str">
        <f>IFERROR(_xll.qlRateHelperRate(X90,Trigger),"")</f>
        <v/>
      </c>
      <c r="AA90" s="105" t="str">
        <f>IF(ISERROR(_xll.qlSwapRateHelperSpread($X90)),IF(ISERROR(_xll.qlFuturesRateHelperConvexityAdjustment($X90)),"",_xll.qlFuturesRateHelperConvexityAdjustment($X90)),_xll.qlSwapRateHelperSpread($X90))</f>
        <v/>
      </c>
      <c r="AB90" s="5" t="str">
        <f>IFERROR(_xll.qlRateHelperEarliestDate(X90,Trigger),"")</f>
        <v/>
      </c>
      <c r="AC90" s="5" t="str">
        <f>IFERROR(_xll.qlRateHelperPillarDate(X90,Trigger),"")</f>
        <v/>
      </c>
      <c r="AD90" s="73" t="e">
        <v>#N/A</v>
      </c>
    </row>
    <row r="91" spans="1:30" x14ac:dyDescent="0.2">
      <c r="A91" s="221" t="s">
        <v>91</v>
      </c>
      <c r="B91" s="280" t="s">
        <v>157</v>
      </c>
      <c r="C91" s="223" t="s">
        <v>6</v>
      </c>
      <c r="D91" s="223" t="s">
        <v>8</v>
      </c>
      <c r="E91" s="223" t="s">
        <v>7</v>
      </c>
      <c r="F91" s="223" t="s">
        <v>132</v>
      </c>
      <c r="G91" s="223" t="str">
        <f t="shared" si="15"/>
        <v>Euribor3MMX#0006</v>
      </c>
      <c r="H91" s="221"/>
      <c r="I91" s="278"/>
      <c r="J91" s="278"/>
      <c r="K91" s="278"/>
      <c r="M91" s="74" t="str">
        <f t="shared" si="17"/>
        <v>SW</v>
      </c>
      <c r="N91" s="140" t="str">
        <f t="shared" si="18"/>
        <v>obj_00357#0006</v>
      </c>
      <c r="O91" s="149" t="str">
        <f>IFERROR(_xll.qlRateHelperQuoteName(N91,Trigger),"--")</f>
        <v>EUR3MSW8Y_Shifted</v>
      </c>
      <c r="P91" s="142">
        <f>IFERROR(_xll.qlRateHelperQuoteValue($N91,Trigger),"--")</f>
        <v>3.2200000000000002E-3</v>
      </c>
      <c r="Q91" s="141" t="b">
        <v>1</v>
      </c>
      <c r="R91" s="141">
        <v>50</v>
      </c>
      <c r="S91" s="141">
        <v>1</v>
      </c>
      <c r="T91" s="143">
        <f>IFERROR(_xll.qlRateHelperEarliestDate(N91,Trigger),"--")</f>
        <v>42748</v>
      </c>
      <c r="U91" s="143">
        <f>IFERROR(_xll.qlRateHelperPillarDate(N91,Trigger),"--")</f>
        <v>45670</v>
      </c>
      <c r="W91" s="4" t="str">
        <f t="shared" si="16"/>
        <v/>
      </c>
      <c r="X91" s="4" t="e">
        <v>#N/A</v>
      </c>
      <c r="Y91" s="4" t="str">
        <f>IFERROR(_xll.qlRateHelperQuoteName(X91,Trigger),"")</f>
        <v/>
      </c>
      <c r="Z91" s="73" t="str">
        <f>IFERROR(_xll.qlRateHelperRate(X91,Trigger),"")</f>
        <v/>
      </c>
      <c r="AA91" s="105" t="str">
        <f>IF(ISERROR(_xll.qlSwapRateHelperSpread($X91)),IF(ISERROR(_xll.qlFuturesRateHelperConvexityAdjustment($X91)),"",_xll.qlFuturesRateHelperConvexityAdjustment($X91)),_xll.qlSwapRateHelperSpread($X91))</f>
        <v/>
      </c>
      <c r="AB91" s="5" t="str">
        <f>IFERROR(_xll.qlRateHelperEarliestDate(X91,Trigger),"")</f>
        <v/>
      </c>
      <c r="AC91" s="5" t="str">
        <f>IFERROR(_xll.qlRateHelperPillarDate(X91,Trigger),"")</f>
        <v/>
      </c>
      <c r="AD91" s="73" t="e">
        <v>#N/A</v>
      </c>
    </row>
    <row r="92" spans="1:30" x14ac:dyDescent="0.2">
      <c r="A92" s="62" t="s">
        <v>91</v>
      </c>
      <c r="B92" s="63" t="s">
        <v>51</v>
      </c>
      <c r="C92" s="64" t="s">
        <v>6</v>
      </c>
      <c r="D92" s="64" t="s">
        <v>8</v>
      </c>
      <c r="E92" s="64" t="s">
        <v>7</v>
      </c>
      <c r="F92" s="64" t="s">
        <v>132</v>
      </c>
      <c r="G92" s="64" t="str">
        <f t="shared" si="15"/>
        <v>Euribor3MMX#0006</v>
      </c>
      <c r="H92" s="62" t="str">
        <f>IF(ISBLANK(Quote!Y77),"",Quote!Y77)</f>
        <v>EUR3MSW3Y=#0006</v>
      </c>
      <c r="I92" s="62" t="str">
        <f>_xll.qlCompositeQuote(Currency&amp;"3M"&amp;A92&amp;B92&amp;"_Shifted",H92,BumpValue,"+",Permanent,Trigger,ObjectOverwrite)</f>
        <v>EUR3MSW3Y_Shifted#0006</v>
      </c>
      <c r="J92" s="128">
        <v>0</v>
      </c>
      <c r="K92" s="67" t="str">
        <f>_xll.qlSwapRateHelper2(,IF(Sensitivity,I92,H92),2,B92,Calendar,D92,E92,F92,G92,J92,C92,Discounting,PillarDate,,Permanent,Trigger,ObjectOverwrite)</f>
        <v>obj_00362#0006</v>
      </c>
      <c r="M92" s="74" t="str">
        <f t="shared" si="17"/>
        <v>SW</v>
      </c>
      <c r="N92" s="140" t="str">
        <f t="shared" si="18"/>
        <v>obj_00331#0006</v>
      </c>
      <c r="O92" s="149" t="str">
        <f>IFERROR(_xll.qlRateHelperQuoteName(N92,Trigger),"--")</f>
        <v>EUR3MSW9Y_Shifted</v>
      </c>
      <c r="P92" s="142">
        <f>IFERROR(_xll.qlRateHelperQuoteValue($N92,Trigger),"--")</f>
        <v>4.47E-3</v>
      </c>
      <c r="Q92" s="141" t="b">
        <v>1</v>
      </c>
      <c r="R92" s="141">
        <v>40</v>
      </c>
      <c r="S92" s="141">
        <v>1</v>
      </c>
      <c r="T92" s="143">
        <f>IFERROR(_xll.qlRateHelperEarliestDate(N92,Trigger),"--")</f>
        <v>42748</v>
      </c>
      <c r="U92" s="143">
        <f>IFERROR(_xll.qlRateHelperPillarDate(N92,Trigger),"--")</f>
        <v>46035</v>
      </c>
      <c r="W92" s="4" t="str">
        <f t="shared" si="16"/>
        <v/>
      </c>
      <c r="X92" s="4" t="e">
        <v>#N/A</v>
      </c>
      <c r="Y92" s="4" t="str">
        <f>IFERROR(_xll.qlRateHelperQuoteName(X92,Trigger),"")</f>
        <v/>
      </c>
      <c r="Z92" s="73" t="str">
        <f>IFERROR(_xll.qlRateHelperRate(X92,Trigger),"")</f>
        <v/>
      </c>
      <c r="AA92" s="105" t="str">
        <f>IF(ISERROR(_xll.qlSwapRateHelperSpread($X92)),IF(ISERROR(_xll.qlFuturesRateHelperConvexityAdjustment($X92)),"",_xll.qlFuturesRateHelperConvexityAdjustment($X92)),_xll.qlSwapRateHelperSpread($X92))</f>
        <v/>
      </c>
      <c r="AB92" s="5" t="str">
        <f>IFERROR(_xll.qlRateHelperEarliestDate(X92,Trigger),"")</f>
        <v/>
      </c>
      <c r="AC92" s="5" t="str">
        <f>IFERROR(_xll.qlRateHelperPillarDate(X92,Trigger),"")</f>
        <v/>
      </c>
      <c r="AD92" s="73" t="e">
        <v>#N/A</v>
      </c>
    </row>
    <row r="93" spans="1:30" x14ac:dyDescent="0.2">
      <c r="A93" s="62" t="s">
        <v>91</v>
      </c>
      <c r="B93" s="63" t="s">
        <v>52</v>
      </c>
      <c r="C93" s="64" t="s">
        <v>6</v>
      </c>
      <c r="D93" s="64" t="s">
        <v>8</v>
      </c>
      <c r="E93" s="64" t="s">
        <v>7</v>
      </c>
      <c r="F93" s="64" t="s">
        <v>132</v>
      </c>
      <c r="G93" s="64" t="str">
        <f t="shared" si="15"/>
        <v>Euribor3MMX#0006</v>
      </c>
      <c r="H93" s="62" t="str">
        <f>IF(ISBLANK(Quote!Y78),"",Quote!Y78)</f>
        <v>EUR3MSW4Y=#0006</v>
      </c>
      <c r="I93" s="62" t="str">
        <f>_xll.qlCompositeQuote(Currency&amp;"3M"&amp;A93&amp;B93&amp;"_Shifted",H93,BumpValue,"+",Permanent,Trigger,ObjectOverwrite)</f>
        <v>EUR3MSW4Y_Shifted#0006</v>
      </c>
      <c r="J93" s="128">
        <v>0</v>
      </c>
      <c r="K93" s="67" t="str">
        <f>_xll.qlSwapRateHelper2(,IF(Sensitivity,I93,H93),2,B93,Calendar,D93,E93,F93,G93,J93,C93,Discounting,PillarDate,,Permanent,Trigger,ObjectOverwrite)</f>
        <v>obj_0033c#0006</v>
      </c>
      <c r="M93" s="74" t="str">
        <f t="shared" si="17"/>
        <v>SW</v>
      </c>
      <c r="N93" s="140" t="str">
        <f t="shared" si="18"/>
        <v>obj_003cb#0006</v>
      </c>
      <c r="O93" s="149" t="str">
        <f>IFERROR(_xll.qlRateHelperQuoteName(N93,Trigger),"--")</f>
        <v>EUR3MSW10Y_Shifted</v>
      </c>
      <c r="P93" s="142">
        <f>IFERROR(_xll.qlRateHelperQuoteValue($N93,Trigger),"--")</f>
        <v>5.6200000000000009E-3</v>
      </c>
      <c r="Q93" s="141" t="b">
        <v>1</v>
      </c>
      <c r="R93" s="141">
        <v>40</v>
      </c>
      <c r="S93" s="141">
        <v>1</v>
      </c>
      <c r="T93" s="143">
        <f>IFERROR(_xll.qlRateHelperEarliestDate(N93,Trigger),"--")</f>
        <v>42748</v>
      </c>
      <c r="U93" s="143">
        <f>IFERROR(_xll.qlRateHelperPillarDate(N93,Trigger),"--")</f>
        <v>46400</v>
      </c>
      <c r="W93" s="4" t="str">
        <f t="shared" si="16"/>
        <v/>
      </c>
      <c r="X93" s="4" t="e">
        <v>#N/A</v>
      </c>
      <c r="Y93" s="4" t="str">
        <f>IFERROR(_xll.qlRateHelperQuoteName(X93,Trigger),"")</f>
        <v/>
      </c>
      <c r="Z93" s="73" t="str">
        <f>IFERROR(_xll.qlRateHelperRate(X93,Trigger),"")</f>
        <v/>
      </c>
      <c r="AA93" s="105" t="str">
        <f>IF(ISERROR(_xll.qlSwapRateHelperSpread($X93)),IF(ISERROR(_xll.qlFuturesRateHelperConvexityAdjustment($X93)),"",_xll.qlFuturesRateHelperConvexityAdjustment($X93)),_xll.qlSwapRateHelperSpread($X93))</f>
        <v/>
      </c>
      <c r="AB93" s="5" t="str">
        <f>IFERROR(_xll.qlRateHelperEarliestDate(X93,Trigger),"")</f>
        <v/>
      </c>
      <c r="AC93" s="5" t="str">
        <f>IFERROR(_xll.qlRateHelperPillarDate(X93,Trigger),"")</f>
        <v/>
      </c>
      <c r="AD93" s="73" t="e">
        <v>#N/A</v>
      </c>
    </row>
    <row r="94" spans="1:30" x14ac:dyDescent="0.2">
      <c r="A94" s="62" t="s">
        <v>91</v>
      </c>
      <c r="B94" s="63" t="s">
        <v>53</v>
      </c>
      <c r="C94" s="64" t="s">
        <v>6</v>
      </c>
      <c r="D94" s="64" t="s">
        <v>8</v>
      </c>
      <c r="E94" s="64" t="s">
        <v>7</v>
      </c>
      <c r="F94" s="64" t="s">
        <v>132</v>
      </c>
      <c r="G94" s="64" t="str">
        <f t="shared" si="15"/>
        <v>Euribor3MMX#0006</v>
      </c>
      <c r="H94" s="62" t="str">
        <f>IF(ISBLANK(Quote!Y79),"",Quote!Y79)</f>
        <v>EUR3MSW5Y=#0006</v>
      </c>
      <c r="I94" s="62" t="str">
        <f>_xll.qlCompositeQuote(Currency&amp;"3M"&amp;A94&amp;B94&amp;"_Shifted",H94,BumpValue,"+",Permanent,Trigger,ObjectOverwrite)</f>
        <v>EUR3MSW5Y_Shifted#0006</v>
      </c>
      <c r="J94" s="128">
        <v>0</v>
      </c>
      <c r="K94" s="67" t="str">
        <f>_xll.qlSwapRateHelper2(,IF(Sensitivity,I94,H94),2,B94,Calendar,D94,E94,F94,G94,J94,C94,Discounting,PillarDate,,Permanent,Trigger,ObjectOverwrite)</f>
        <v>obj_0032e#0006</v>
      </c>
      <c r="M94" s="74" t="str">
        <f t="shared" si="17"/>
        <v>SW</v>
      </c>
      <c r="N94" s="140" t="str">
        <f t="shared" si="18"/>
        <v>obj_00355#0006</v>
      </c>
      <c r="O94" s="149" t="str">
        <f>IFERROR(_xll.qlRateHelperQuoteName(N94,Trigger),"--")</f>
        <v>EUR3MSW11Y_Shifted</v>
      </c>
      <c r="P94" s="142">
        <f>IFERROR(_xll.qlRateHelperQuoteValue($N94,Trigger),"--")</f>
        <v>6.6468254800000001E-3</v>
      </c>
      <c r="Q94" s="141" t="b">
        <v>1</v>
      </c>
      <c r="R94" s="141">
        <v>40</v>
      </c>
      <c r="S94" s="141">
        <v>1</v>
      </c>
      <c r="T94" s="143">
        <f>IFERROR(_xll.qlRateHelperEarliestDate(N94,Trigger),"--")</f>
        <v>42748</v>
      </c>
      <c r="U94" s="143">
        <f>IFERROR(_xll.qlRateHelperPillarDate(N94,Trigger),"--")</f>
        <v>46765</v>
      </c>
      <c r="W94" s="4" t="str">
        <f t="shared" si="16"/>
        <v/>
      </c>
      <c r="X94" s="4" t="e">
        <v>#N/A</v>
      </c>
      <c r="Y94" s="4" t="str">
        <f>IFERROR(_xll.qlRateHelperQuoteName(X94,Trigger),"")</f>
        <v/>
      </c>
      <c r="Z94" s="73" t="str">
        <f>IFERROR(_xll.qlRateHelperRate(X94,Trigger),"")</f>
        <v/>
      </c>
      <c r="AA94" s="105" t="str">
        <f>IF(ISERROR(_xll.qlSwapRateHelperSpread($X94)),IF(ISERROR(_xll.qlFuturesRateHelperConvexityAdjustment($X94)),"",_xll.qlFuturesRateHelperConvexityAdjustment($X94)),_xll.qlSwapRateHelperSpread($X94))</f>
        <v/>
      </c>
      <c r="AB94" s="5" t="str">
        <f>IFERROR(_xll.qlRateHelperEarliestDate(X94,Trigger),"")</f>
        <v/>
      </c>
      <c r="AC94" s="5" t="str">
        <f>IFERROR(_xll.qlRateHelperPillarDate(X94,Trigger),"")</f>
        <v/>
      </c>
      <c r="AD94" s="73" t="e">
        <v>#N/A</v>
      </c>
    </row>
    <row r="95" spans="1:30" x14ac:dyDescent="0.2">
      <c r="A95" s="62" t="s">
        <v>91</v>
      </c>
      <c r="B95" s="63" t="s">
        <v>54</v>
      </c>
      <c r="C95" s="64" t="s">
        <v>6</v>
      </c>
      <c r="D95" s="64" t="s">
        <v>8</v>
      </c>
      <c r="E95" s="64" t="s">
        <v>7</v>
      </c>
      <c r="F95" s="64" t="s">
        <v>132</v>
      </c>
      <c r="G95" s="64" t="str">
        <f t="shared" si="15"/>
        <v>Euribor3MMX#0006</v>
      </c>
      <c r="H95" s="62" t="str">
        <f>IF(ISBLANK(Quote!Y80),"",Quote!Y80)</f>
        <v>EUR3MSW6Y=#0006</v>
      </c>
      <c r="I95" s="62" t="str">
        <f>_xll.qlCompositeQuote(Currency&amp;"3M"&amp;A95&amp;B95&amp;"_Shifted",H95,BumpValue,"+",Permanent,Trigger,ObjectOverwrite)</f>
        <v>EUR3MSW6Y_Shifted#0006</v>
      </c>
      <c r="J95" s="128">
        <v>0</v>
      </c>
      <c r="K95" s="67" t="str">
        <f>_xll.qlSwapRateHelper2(,IF(Sensitivity,I95,H95),2,B95,Calendar,D95,E95,F95,G95,J95,C95,Discounting,PillarDate,,Permanent,Trigger,ObjectOverwrite)</f>
        <v>obj_00365#0006</v>
      </c>
      <c r="M95" s="74" t="str">
        <f t="shared" si="17"/>
        <v>SW</v>
      </c>
      <c r="N95" s="140" t="str">
        <f t="shared" si="18"/>
        <v>obj_0039c#0006</v>
      </c>
      <c r="O95" s="149" t="str">
        <f>IFERROR(_xll.qlRateHelperQuoteName(N95,Trigger),"--")</f>
        <v>EUR3MSW12Y_Shifted</v>
      </c>
      <c r="P95" s="142">
        <f>IFERROR(_xll.qlRateHelperQuoteValue($N95,Trigger),"--")</f>
        <v>7.5599999999999999E-3</v>
      </c>
      <c r="Q95" s="141" t="b">
        <v>1</v>
      </c>
      <c r="R95" s="141">
        <v>40</v>
      </c>
      <c r="S95" s="141">
        <v>1</v>
      </c>
      <c r="T95" s="143">
        <f>IFERROR(_xll.qlRateHelperEarliestDate(N95,Trigger),"--")</f>
        <v>42748</v>
      </c>
      <c r="U95" s="143">
        <f>IFERROR(_xll.qlRateHelperPillarDate(N95,Trigger),"--")</f>
        <v>47133</v>
      </c>
      <c r="W95" s="4" t="str">
        <f t="shared" si="16"/>
        <v/>
      </c>
      <c r="X95" s="4" t="e">
        <v>#N/A</v>
      </c>
      <c r="Y95" s="4" t="str">
        <f>IFERROR(_xll.qlRateHelperQuoteName(X95,Trigger),"")</f>
        <v/>
      </c>
      <c r="Z95" s="73" t="str">
        <f>IFERROR(_xll.qlRateHelperRate(X95,Trigger),"")</f>
        <v/>
      </c>
      <c r="AA95" s="105" t="str">
        <f>IF(ISERROR(_xll.qlSwapRateHelperSpread($X95)),IF(ISERROR(_xll.qlFuturesRateHelperConvexityAdjustment($X95)),"",_xll.qlFuturesRateHelperConvexityAdjustment($X95)),_xll.qlSwapRateHelperSpread($X95))</f>
        <v/>
      </c>
      <c r="AB95" s="5" t="str">
        <f>IFERROR(_xll.qlRateHelperEarliestDate(X95,Trigger),"")</f>
        <v/>
      </c>
      <c r="AC95" s="5" t="str">
        <f>IFERROR(_xll.qlRateHelperPillarDate(X95,Trigger),"")</f>
        <v/>
      </c>
      <c r="AD95" s="73" t="e">
        <v>#N/A</v>
      </c>
    </row>
    <row r="96" spans="1:30" x14ac:dyDescent="0.2">
      <c r="A96" s="62" t="s">
        <v>91</v>
      </c>
      <c r="B96" s="63" t="s">
        <v>55</v>
      </c>
      <c r="C96" s="64" t="s">
        <v>6</v>
      </c>
      <c r="D96" s="64" t="s">
        <v>8</v>
      </c>
      <c r="E96" s="64" t="s">
        <v>7</v>
      </c>
      <c r="F96" s="64" t="s">
        <v>132</v>
      </c>
      <c r="G96" s="64" t="str">
        <f t="shared" si="15"/>
        <v>Euribor3MMX#0006</v>
      </c>
      <c r="H96" s="62" t="str">
        <f>IF(ISBLANK(Quote!Y81),"",Quote!Y81)</f>
        <v>EUR3MSW7Y=#0006</v>
      </c>
      <c r="I96" s="62" t="str">
        <f>_xll.qlCompositeQuote(Currency&amp;"3M"&amp;A96&amp;B96&amp;"_Shifted",H96,BumpValue,"+",Permanent,Trigger,ObjectOverwrite)</f>
        <v>EUR3MSW7Y_Shifted#0006</v>
      </c>
      <c r="J96" s="128">
        <v>0</v>
      </c>
      <c r="K96" s="67" t="str">
        <f>_xll.qlSwapRateHelper2(,IF(Sensitivity,I96,H96),2,B96,Calendar,D96,E96,F96,G96,J96,C96,Discounting,PillarDate,,Permanent,Trigger,ObjectOverwrite)</f>
        <v>obj_0037b#0006</v>
      </c>
      <c r="M96" s="74" t="str">
        <f t="shared" si="17"/>
        <v>SW</v>
      </c>
      <c r="N96" s="140" t="str">
        <f t="shared" si="18"/>
        <v>obj_00388#0006</v>
      </c>
      <c r="O96" s="149" t="str">
        <f>IFERROR(_xll.qlRateHelperQuoteName(N96,Trigger),"--")</f>
        <v>EUR3MSW13Y_Shifted</v>
      </c>
      <c r="P96" s="142">
        <f>IFERROR(_xll.qlRateHelperQuoteValue($N96,Trigger),"--")</f>
        <v>8.3428385100000006E-3</v>
      </c>
      <c r="Q96" s="141" t="b">
        <v>1</v>
      </c>
      <c r="R96" s="141">
        <v>40</v>
      </c>
      <c r="S96" s="141">
        <v>1</v>
      </c>
      <c r="T96" s="143">
        <f>IFERROR(_xll.qlRateHelperEarliestDate(N96,Trigger),"--")</f>
        <v>42748</v>
      </c>
      <c r="U96" s="143">
        <f>IFERROR(_xll.qlRateHelperPillarDate(N96,Trigger),"--")</f>
        <v>47497</v>
      </c>
      <c r="W96" s="4" t="str">
        <f t="shared" si="16"/>
        <v/>
      </c>
      <c r="X96" s="4" t="e">
        <v>#N/A</v>
      </c>
      <c r="Y96" s="4" t="str">
        <f>IFERROR(_xll.qlRateHelperQuoteName(X96,Trigger),"")</f>
        <v/>
      </c>
      <c r="Z96" s="73" t="str">
        <f>IFERROR(_xll.qlRateHelperRate(X96,Trigger),"")</f>
        <v/>
      </c>
      <c r="AA96" s="105" t="str">
        <f>IF(ISERROR(_xll.qlSwapRateHelperSpread($X96)),IF(ISERROR(_xll.qlFuturesRateHelperConvexityAdjustment($X96)),"",_xll.qlFuturesRateHelperConvexityAdjustment($X96)),_xll.qlSwapRateHelperSpread($X96))</f>
        <v/>
      </c>
      <c r="AB96" s="5" t="str">
        <f>IFERROR(_xll.qlRateHelperEarliestDate(X96,Trigger),"")</f>
        <v/>
      </c>
      <c r="AC96" s="5" t="str">
        <f>IFERROR(_xll.qlRateHelperPillarDate(X96,Trigger),"")</f>
        <v/>
      </c>
      <c r="AD96" s="73" t="e">
        <v>#N/A</v>
      </c>
    </row>
    <row r="97" spans="1:30" x14ac:dyDescent="0.2">
      <c r="A97" s="62" t="s">
        <v>91</v>
      </c>
      <c r="B97" s="63" t="s">
        <v>56</v>
      </c>
      <c r="C97" s="64" t="s">
        <v>6</v>
      </c>
      <c r="D97" s="64" t="s">
        <v>8</v>
      </c>
      <c r="E97" s="64" t="s">
        <v>7</v>
      </c>
      <c r="F97" s="64" t="s">
        <v>132</v>
      </c>
      <c r="G97" s="64" t="str">
        <f t="shared" si="15"/>
        <v>Euribor3MMX#0006</v>
      </c>
      <c r="H97" s="62" t="str">
        <f>IF(ISBLANK(Quote!Y82),"",Quote!Y82)</f>
        <v>EUR3MSW8Y=#0006</v>
      </c>
      <c r="I97" s="62" t="str">
        <f>_xll.qlCompositeQuote(Currency&amp;"3M"&amp;A97&amp;B97&amp;"_Shifted",H97,BumpValue,"+",Permanent,Trigger,ObjectOverwrite)</f>
        <v>EUR3MSW8Y_Shifted#0006</v>
      </c>
      <c r="J97" s="128">
        <v>0</v>
      </c>
      <c r="K97" s="67" t="str">
        <f>_xll.qlSwapRateHelper2(,IF(Sensitivity,I97,H97),2,B97,Calendar,D97,E97,F97,G97,J97,C97,Discounting,PillarDate,,Permanent,Trigger,ObjectOverwrite)</f>
        <v>obj_00357#0006</v>
      </c>
      <c r="M97" s="74" t="str">
        <f t="shared" si="17"/>
        <v>SW</v>
      </c>
      <c r="N97" s="140" t="str">
        <f t="shared" si="18"/>
        <v>obj_0034e#0006</v>
      </c>
      <c r="O97" s="149" t="str">
        <f>IFERROR(_xll.qlRateHelperQuoteName(N97,Trigger),"--")</f>
        <v>EUR3MSW14Y_Shifted</v>
      </c>
      <c r="P97" s="142">
        <f>IFERROR(_xll.qlRateHelperQuoteValue($N97,Trigger),"--")</f>
        <v>9.0158819200000014E-3</v>
      </c>
      <c r="Q97" s="141" t="b">
        <v>1</v>
      </c>
      <c r="R97" s="141">
        <v>40</v>
      </c>
      <c r="S97" s="141">
        <v>1</v>
      </c>
      <c r="T97" s="143">
        <f>IFERROR(_xll.qlRateHelperEarliestDate(N97,Trigger),"--")</f>
        <v>42748</v>
      </c>
      <c r="U97" s="143">
        <f>IFERROR(_xll.qlRateHelperPillarDate(N97,Trigger),"--")</f>
        <v>47861</v>
      </c>
      <c r="W97" s="4" t="str">
        <f t="shared" si="16"/>
        <v/>
      </c>
      <c r="X97" s="4" t="e">
        <v>#N/A</v>
      </c>
      <c r="Y97" s="4" t="str">
        <f>IFERROR(_xll.qlRateHelperQuoteName(X97,Trigger),"")</f>
        <v/>
      </c>
      <c r="Z97" s="73" t="str">
        <f>IFERROR(_xll.qlRateHelperRate(X97,Trigger),"")</f>
        <v/>
      </c>
      <c r="AA97" s="105" t="str">
        <f>IF(ISERROR(_xll.qlSwapRateHelperSpread($X97)),IF(ISERROR(_xll.qlFuturesRateHelperConvexityAdjustment($X97)),"",_xll.qlFuturesRateHelperConvexityAdjustment($X97)),_xll.qlSwapRateHelperSpread($X97))</f>
        <v/>
      </c>
      <c r="AB97" s="5" t="str">
        <f>IFERROR(_xll.qlRateHelperEarliestDate(X97,Trigger),"")</f>
        <v/>
      </c>
      <c r="AC97" s="5" t="str">
        <f>IFERROR(_xll.qlRateHelperPillarDate(X97,Trigger),"")</f>
        <v/>
      </c>
      <c r="AD97" s="73" t="e">
        <v>#N/A</v>
      </c>
    </row>
    <row r="98" spans="1:30" x14ac:dyDescent="0.2">
      <c r="A98" s="62" t="s">
        <v>91</v>
      </c>
      <c r="B98" s="63" t="s">
        <v>57</v>
      </c>
      <c r="C98" s="64" t="s">
        <v>6</v>
      </c>
      <c r="D98" s="64" t="s">
        <v>8</v>
      </c>
      <c r="E98" s="64" t="s">
        <v>7</v>
      </c>
      <c r="F98" s="64" t="s">
        <v>132</v>
      </c>
      <c r="G98" s="64" t="str">
        <f t="shared" si="15"/>
        <v>Euribor3MMX#0006</v>
      </c>
      <c r="H98" s="62" t="str">
        <f>IF(ISBLANK(Quote!Y83),"",Quote!Y83)</f>
        <v>EUR3MSW9Y=#0006</v>
      </c>
      <c r="I98" s="62" t="str">
        <f>_xll.qlCompositeQuote(Currency&amp;"3M"&amp;A98&amp;B98&amp;"_Shifted",H98,BumpValue,"+",Permanent,Trigger,ObjectOverwrite)</f>
        <v>EUR3MSW9Y_Shifted#0006</v>
      </c>
      <c r="J98" s="128">
        <v>0</v>
      </c>
      <c r="K98" s="67" t="str">
        <f>_xll.qlSwapRateHelper2(,IF(Sensitivity,I98,H98),2,B98,Calendar,D98,E98,F98,G98,J98,C98,Discounting,PillarDate,,Permanent,Trigger,ObjectOverwrite)</f>
        <v>obj_00331#0006</v>
      </c>
      <c r="M98" s="74" t="str">
        <f t="shared" si="17"/>
        <v>SW</v>
      </c>
      <c r="N98" s="140" t="str">
        <f t="shared" si="18"/>
        <v>obj_00344#0006</v>
      </c>
      <c r="O98" s="149" t="str">
        <f>IFERROR(_xll.qlRateHelperQuoteName(N98,Trigger),"--")</f>
        <v>EUR3MSW15Y_Shifted</v>
      </c>
      <c r="P98" s="142">
        <f>IFERROR(_xll.qlRateHelperQuoteValue($N98,Trigger),"--")</f>
        <v>9.5900000000000013E-3</v>
      </c>
      <c r="Q98" s="141" t="b">
        <v>1</v>
      </c>
      <c r="R98" s="141">
        <v>40</v>
      </c>
      <c r="S98" s="141">
        <v>1</v>
      </c>
      <c r="T98" s="143">
        <f>IFERROR(_xll.qlRateHelperEarliestDate(N98,Trigger),"--")</f>
        <v>42748</v>
      </c>
      <c r="U98" s="143">
        <f>IFERROR(_xll.qlRateHelperPillarDate(N98,Trigger),"--")</f>
        <v>48226</v>
      </c>
      <c r="W98" s="4" t="str">
        <f t="shared" si="16"/>
        <v/>
      </c>
      <c r="X98" s="4" t="e">
        <v>#N/A</v>
      </c>
      <c r="Y98" s="4" t="str">
        <f>IFERROR(_xll.qlRateHelperQuoteName(X98,Trigger),"")</f>
        <v/>
      </c>
      <c r="Z98" s="73" t="str">
        <f>IFERROR(_xll.qlRateHelperRate(X98,Trigger),"")</f>
        <v/>
      </c>
      <c r="AA98" s="105" t="str">
        <f>IF(ISERROR(_xll.qlSwapRateHelperSpread($X98)),IF(ISERROR(_xll.qlFuturesRateHelperConvexityAdjustment($X98)),"",_xll.qlFuturesRateHelperConvexityAdjustment($X98)),_xll.qlSwapRateHelperSpread($X98))</f>
        <v/>
      </c>
      <c r="AB98" s="5" t="str">
        <f>IFERROR(_xll.qlRateHelperEarliestDate(X98,Trigger),"")</f>
        <v/>
      </c>
      <c r="AC98" s="5" t="str">
        <f>IFERROR(_xll.qlRateHelperPillarDate(X98,Trigger),"")</f>
        <v/>
      </c>
      <c r="AD98" s="73" t="e">
        <v>#N/A</v>
      </c>
    </row>
    <row r="99" spans="1:30" x14ac:dyDescent="0.2">
      <c r="A99" s="62" t="s">
        <v>91</v>
      </c>
      <c r="B99" s="63" t="s">
        <v>58</v>
      </c>
      <c r="C99" s="64" t="s">
        <v>6</v>
      </c>
      <c r="D99" s="64" t="s">
        <v>8</v>
      </c>
      <c r="E99" s="64" t="s">
        <v>7</v>
      </c>
      <c r="F99" s="64" t="s">
        <v>132</v>
      </c>
      <c r="G99" s="64" t="str">
        <f t="shared" si="15"/>
        <v>Euribor3MMX#0006</v>
      </c>
      <c r="H99" s="62" t="str">
        <f>IF(ISBLANK(Quote!Y84),"",Quote!Y84)</f>
        <v>EUR3MSW10Y=#0006</v>
      </c>
      <c r="I99" s="62" t="str">
        <f>_xll.qlCompositeQuote(Currency&amp;"3M"&amp;A99&amp;B99&amp;"_Shifted",H99,BumpValue,"+",Permanent,Trigger,ObjectOverwrite)</f>
        <v>EUR3MSW10Y_Shifted#0006</v>
      </c>
      <c r="J99" s="128">
        <v>0</v>
      </c>
      <c r="K99" s="67" t="str">
        <f>_xll.qlSwapRateHelper2(,IF(Sensitivity,I99,H99),2,B99,Calendar,D99,E99,F99,G99,J99,C99,Discounting,PillarDate,,Permanent,Trigger,ObjectOverwrite)</f>
        <v>obj_003cb#0006</v>
      </c>
      <c r="M99" s="74" t="str">
        <f t="shared" si="17"/>
        <v>SW</v>
      </c>
      <c r="N99" s="140" t="str">
        <f t="shared" si="18"/>
        <v>obj_0037c#0006</v>
      </c>
      <c r="O99" s="149" t="str">
        <f>IFERROR(_xll.qlRateHelperQuoteName(N99,Trigger),"--")</f>
        <v>EUR3MSW16Y_Shifted</v>
      </c>
      <c r="P99" s="142">
        <f>IFERROR(_xll.qlRateHelperQuoteValue($N99,Trigger),"--")</f>
        <v>1.0075479890000001E-2</v>
      </c>
      <c r="Q99" s="141" t="b">
        <v>1</v>
      </c>
      <c r="R99" s="141">
        <v>40</v>
      </c>
      <c r="S99" s="141">
        <v>1</v>
      </c>
      <c r="T99" s="143">
        <f>IFERROR(_xll.qlRateHelperEarliestDate(N99,Trigger),"--")</f>
        <v>42748</v>
      </c>
      <c r="U99" s="143">
        <f>IFERROR(_xll.qlRateHelperPillarDate(N99,Trigger),"--")</f>
        <v>48592</v>
      </c>
      <c r="W99" s="4" t="str">
        <f t="shared" si="16"/>
        <v/>
      </c>
      <c r="X99" s="4" t="e">
        <v>#N/A</v>
      </c>
      <c r="Y99" s="4" t="str">
        <f>IFERROR(_xll.qlRateHelperQuoteName(X99,Trigger),"")</f>
        <v/>
      </c>
      <c r="Z99" s="73" t="str">
        <f>IFERROR(_xll.qlRateHelperRate(X99,Trigger),"")</f>
        <v/>
      </c>
      <c r="AA99" s="105" t="str">
        <f>IF(ISERROR(_xll.qlSwapRateHelperSpread($X99)),IF(ISERROR(_xll.qlFuturesRateHelperConvexityAdjustment($X99)),"",_xll.qlFuturesRateHelperConvexityAdjustment($X99)),_xll.qlSwapRateHelperSpread($X99))</f>
        <v/>
      </c>
      <c r="AB99" s="5" t="str">
        <f>IFERROR(_xll.qlRateHelperEarliestDate(X99,Trigger),"")</f>
        <v/>
      </c>
      <c r="AC99" s="5" t="str">
        <f>IFERROR(_xll.qlRateHelperPillarDate(X99,Trigger),"")</f>
        <v/>
      </c>
      <c r="AD99" s="73" t="e">
        <v>#N/A</v>
      </c>
    </row>
    <row r="100" spans="1:30" x14ac:dyDescent="0.2">
      <c r="A100" s="62" t="s">
        <v>91</v>
      </c>
      <c r="B100" s="63" t="s">
        <v>99</v>
      </c>
      <c r="C100" s="64" t="s">
        <v>6</v>
      </c>
      <c r="D100" s="64" t="s">
        <v>8</v>
      </c>
      <c r="E100" s="64" t="s">
        <v>7</v>
      </c>
      <c r="F100" s="64" t="s">
        <v>132</v>
      </c>
      <c r="G100" s="64" t="str">
        <f t="shared" si="15"/>
        <v>Euribor3MMX#0006</v>
      </c>
      <c r="H100" s="62" t="str">
        <f>IF(ISBLANK(Quote!Y85),"",Quote!Y85)</f>
        <v>EUR3MSW11Y=#0006</v>
      </c>
      <c r="I100" s="62" t="str">
        <f>_xll.qlCompositeQuote(Currency&amp;"3M"&amp;A100&amp;B100&amp;"_Shifted",H100,BumpValue,"+",Permanent,Trigger,ObjectOverwrite)</f>
        <v>EUR3MSW11Y_Shifted#0006</v>
      </c>
      <c r="J100" s="128">
        <v>0</v>
      </c>
      <c r="K100" s="67" t="str">
        <f>_xll.qlSwapRateHelper2(,IF(Sensitivity,I100,H100),2,B100,Calendar,D100,E100,F100,G100,J100,C100,Discounting,PillarDate,,Permanent,Trigger,ObjectOverwrite)</f>
        <v>obj_00355#0006</v>
      </c>
      <c r="M100" s="74" t="str">
        <f t="shared" si="17"/>
        <v>SW</v>
      </c>
      <c r="N100" s="140" t="str">
        <f t="shared" si="18"/>
        <v>obj_003ab#0006</v>
      </c>
      <c r="O100" s="149" t="str">
        <f>IFERROR(_xll.qlRateHelperQuoteName(N100,Trigger),"--")</f>
        <v>EUR3MSW17Y_Shifted</v>
      </c>
      <c r="P100" s="142">
        <f>IFERROR(_xll.qlRateHelperQuoteValue($N100,Trigger),"--")</f>
        <v>1.047697597E-2</v>
      </c>
      <c r="Q100" s="141" t="b">
        <v>1</v>
      </c>
      <c r="R100" s="141">
        <v>40</v>
      </c>
      <c r="S100" s="141">
        <v>1</v>
      </c>
      <c r="T100" s="143">
        <f>IFERROR(_xll.qlRateHelperEarliestDate(N100,Trigger),"--")</f>
        <v>42748</v>
      </c>
      <c r="U100" s="143">
        <f>IFERROR(_xll.qlRateHelperPillarDate(N100,Trigger),"--")</f>
        <v>48957</v>
      </c>
      <c r="W100" s="4" t="str">
        <f t="shared" si="16"/>
        <v/>
      </c>
      <c r="X100" s="4" t="e">
        <v>#N/A</v>
      </c>
      <c r="Y100" s="4" t="str">
        <f>IFERROR(_xll.qlRateHelperQuoteName(X100,Trigger),"")</f>
        <v/>
      </c>
      <c r="Z100" s="73" t="str">
        <f>IFERROR(_xll.qlRateHelperRate(X100,Trigger),"")</f>
        <v/>
      </c>
      <c r="AA100" s="105" t="str">
        <f>IF(ISERROR(_xll.qlSwapRateHelperSpread($X100)),IF(ISERROR(_xll.qlFuturesRateHelperConvexityAdjustment($X100)),"",_xll.qlFuturesRateHelperConvexityAdjustment($X100)),_xll.qlSwapRateHelperSpread($X100))</f>
        <v/>
      </c>
      <c r="AB100" s="5" t="str">
        <f>IFERROR(_xll.qlRateHelperEarliestDate(X100,Trigger),"")</f>
        <v/>
      </c>
      <c r="AC100" s="5" t="str">
        <f>IFERROR(_xll.qlRateHelperPillarDate(X100,Trigger),"")</f>
        <v/>
      </c>
      <c r="AD100" s="73" t="e">
        <v>#N/A</v>
      </c>
    </row>
    <row r="101" spans="1:30" x14ac:dyDescent="0.2">
      <c r="A101" s="62" t="s">
        <v>91</v>
      </c>
      <c r="B101" s="63" t="s">
        <v>59</v>
      </c>
      <c r="C101" s="64" t="s">
        <v>6</v>
      </c>
      <c r="D101" s="64" t="s">
        <v>8</v>
      </c>
      <c r="E101" s="64" t="s">
        <v>7</v>
      </c>
      <c r="F101" s="64" t="s">
        <v>132</v>
      </c>
      <c r="G101" s="64" t="str">
        <f t="shared" si="15"/>
        <v>Euribor3MMX#0006</v>
      </c>
      <c r="H101" s="62" t="str">
        <f>IF(ISBLANK(Quote!Y86),"",Quote!Y86)</f>
        <v>EUR3MSW12Y=#0006</v>
      </c>
      <c r="I101" s="62" t="str">
        <f>_xll.qlCompositeQuote(Currency&amp;"3M"&amp;A101&amp;B101&amp;"_Shifted",H101,BumpValue,"+",Permanent,Trigger,ObjectOverwrite)</f>
        <v>EUR3MSW12Y_Shifted#0006</v>
      </c>
      <c r="J101" s="128">
        <v>0</v>
      </c>
      <c r="K101" s="67" t="str">
        <f>_xll.qlSwapRateHelper2(,IF(Sensitivity,I101,H101),2,B101,Calendar,D101,E101,F101,G101,J101,C101,Discounting,PillarDate,,Permanent,Trigger,ObjectOverwrite)</f>
        <v>obj_0039c#0006</v>
      </c>
      <c r="M101" s="74" t="str">
        <f t="shared" si="17"/>
        <v>SW</v>
      </c>
      <c r="N101" s="140" t="str">
        <f t="shared" si="18"/>
        <v>obj_0035c#0006</v>
      </c>
      <c r="O101" s="149" t="str">
        <f>IFERROR(_xll.qlRateHelperQuoteName(N101,Trigger),"--")</f>
        <v>EUR3MSW18Y_Shifted</v>
      </c>
      <c r="P101" s="142">
        <f>IFERROR(_xll.qlRateHelperQuoteValue($N101,Trigger),"--")</f>
        <v>1.0809526550000002E-2</v>
      </c>
      <c r="Q101" s="141" t="b">
        <v>1</v>
      </c>
      <c r="R101" s="141">
        <v>40</v>
      </c>
      <c r="S101" s="141">
        <v>1</v>
      </c>
      <c r="T101" s="143">
        <f>IFERROR(_xll.qlRateHelperEarliestDate(N101,Trigger),"--")</f>
        <v>42748</v>
      </c>
      <c r="U101" s="143">
        <f>IFERROR(_xll.qlRateHelperPillarDate(N101,Trigger),"--")</f>
        <v>49324</v>
      </c>
      <c r="W101" s="4" t="str">
        <f t="shared" si="16"/>
        <v/>
      </c>
      <c r="X101" s="4" t="e">
        <v>#N/A</v>
      </c>
      <c r="Y101" s="4" t="str">
        <f>IFERROR(_xll.qlRateHelperQuoteName(X101,Trigger),"")</f>
        <v/>
      </c>
      <c r="Z101" s="73" t="str">
        <f>IFERROR(_xll.qlRateHelperRate(X101,Trigger),"")</f>
        <v/>
      </c>
      <c r="AA101" s="105" t="str">
        <f>IF(ISERROR(_xll.qlSwapRateHelperSpread($X101)),IF(ISERROR(_xll.qlFuturesRateHelperConvexityAdjustment($X101)),"",_xll.qlFuturesRateHelperConvexityAdjustment($X101)),_xll.qlSwapRateHelperSpread($X101))</f>
        <v/>
      </c>
      <c r="AB101" s="5" t="str">
        <f>IFERROR(_xll.qlRateHelperEarliestDate(X101,Trigger),"")</f>
        <v/>
      </c>
      <c r="AC101" s="5" t="str">
        <f>IFERROR(_xll.qlRateHelperPillarDate(X101,Trigger),"")</f>
        <v/>
      </c>
      <c r="AD101" s="73" t="e">
        <v>#N/A</v>
      </c>
    </row>
    <row r="102" spans="1:30" x14ac:dyDescent="0.2">
      <c r="A102" s="62" t="s">
        <v>91</v>
      </c>
      <c r="B102" s="63" t="s">
        <v>100</v>
      </c>
      <c r="C102" s="64" t="s">
        <v>6</v>
      </c>
      <c r="D102" s="64" t="s">
        <v>8</v>
      </c>
      <c r="E102" s="64" t="s">
        <v>7</v>
      </c>
      <c r="F102" s="64" t="s">
        <v>132</v>
      </c>
      <c r="G102" s="64" t="str">
        <f t="shared" si="15"/>
        <v>Euribor3MMX#0006</v>
      </c>
      <c r="H102" s="62" t="str">
        <f>IF(ISBLANK(Quote!Y87),"",Quote!Y87)</f>
        <v>EUR3MSW13Y=#0006</v>
      </c>
      <c r="I102" s="62" t="str">
        <f>_xll.qlCompositeQuote(Currency&amp;"3M"&amp;A102&amp;B102&amp;"_Shifted",H102,BumpValue,"+",Permanent,Trigger,ObjectOverwrite)</f>
        <v>EUR3MSW13Y_Shifted#0006</v>
      </c>
      <c r="J102" s="128">
        <v>0</v>
      </c>
      <c r="K102" s="67" t="str">
        <f>_xll.qlSwapRateHelper2(,IF(Sensitivity,I102,H102),2,B102,Calendar,D102,E102,F102,G102,J102,C102,Discounting,PillarDate,,Permanent,Trigger,ObjectOverwrite)</f>
        <v>obj_00388#0006</v>
      </c>
      <c r="M102" s="74" t="str">
        <f t="shared" si="17"/>
        <v>SW</v>
      </c>
      <c r="N102" s="140" t="str">
        <f t="shared" si="18"/>
        <v>obj_003a5#0006</v>
      </c>
      <c r="O102" s="149" t="str">
        <f>IFERROR(_xll.qlRateHelperQuoteName(N102,Trigger),"--")</f>
        <v>EUR3MSW19Y_Shifted</v>
      </c>
      <c r="P102" s="142">
        <f>IFERROR(_xll.qlRateHelperQuoteValue($N102,Trigger),"--")</f>
        <v>1.1079011620000001E-2</v>
      </c>
      <c r="Q102" s="141" t="b">
        <v>1</v>
      </c>
      <c r="R102" s="141">
        <v>40</v>
      </c>
      <c r="S102" s="141">
        <v>1</v>
      </c>
      <c r="T102" s="143">
        <f>IFERROR(_xll.qlRateHelperEarliestDate(N102,Trigger),"--")</f>
        <v>42748</v>
      </c>
      <c r="U102" s="143">
        <f>IFERROR(_xll.qlRateHelperPillarDate(N102,Trigger),"--")</f>
        <v>49688</v>
      </c>
      <c r="W102" s="4" t="str">
        <f t="shared" si="16"/>
        <v/>
      </c>
      <c r="X102" s="4" t="e">
        <v>#N/A</v>
      </c>
      <c r="Y102" s="4" t="str">
        <f>IFERROR(_xll.qlRateHelperQuoteName(X102,Trigger),"")</f>
        <v/>
      </c>
      <c r="Z102" s="73" t="str">
        <f>IFERROR(_xll.qlRateHelperRate(X102,Trigger),"")</f>
        <v/>
      </c>
      <c r="AA102" s="105" t="str">
        <f>IF(ISERROR(_xll.qlSwapRateHelperSpread($X102)),IF(ISERROR(_xll.qlFuturesRateHelperConvexityAdjustment($X102)),"",_xll.qlFuturesRateHelperConvexityAdjustment($X102)),_xll.qlSwapRateHelperSpread($X102))</f>
        <v/>
      </c>
      <c r="AB102" s="5" t="str">
        <f>IFERROR(_xll.qlRateHelperEarliestDate(X102,Trigger),"")</f>
        <v/>
      </c>
      <c r="AC102" s="5" t="str">
        <f>IFERROR(_xll.qlRateHelperPillarDate(X102,Trigger),"")</f>
        <v/>
      </c>
      <c r="AD102" s="73" t="e">
        <v>#N/A</v>
      </c>
    </row>
    <row r="103" spans="1:30" x14ac:dyDescent="0.2">
      <c r="A103" s="62" t="s">
        <v>91</v>
      </c>
      <c r="B103" s="63" t="s">
        <v>101</v>
      </c>
      <c r="C103" s="64" t="s">
        <v>6</v>
      </c>
      <c r="D103" s="64" t="s">
        <v>8</v>
      </c>
      <c r="E103" s="64" t="s">
        <v>7</v>
      </c>
      <c r="F103" s="64" t="s">
        <v>132</v>
      </c>
      <c r="G103" s="64" t="str">
        <f t="shared" si="15"/>
        <v>Euribor3MMX#0006</v>
      </c>
      <c r="H103" s="62" t="str">
        <f>IF(ISBLANK(Quote!Y88),"",Quote!Y88)</f>
        <v>EUR3MSW14Y=#0006</v>
      </c>
      <c r="I103" s="62" t="str">
        <f>_xll.qlCompositeQuote(Currency&amp;"3M"&amp;A103&amp;B103&amp;"_Shifted",H103,BumpValue,"+",Permanent,Trigger,ObjectOverwrite)</f>
        <v>EUR3MSW14Y_Shifted#0006</v>
      </c>
      <c r="J103" s="128">
        <v>0</v>
      </c>
      <c r="K103" s="67" t="str">
        <f>_xll.qlSwapRateHelper2(,IF(Sensitivity,I103,H103),2,B103,Calendar,D103,E103,F103,G103,J103,C103,Discounting,PillarDate,,Permanent,Trigger,ObjectOverwrite)</f>
        <v>obj_0034e#0006</v>
      </c>
      <c r="M103" s="74" t="str">
        <f t="shared" si="17"/>
        <v>SW</v>
      </c>
      <c r="N103" s="140" t="str">
        <f t="shared" si="18"/>
        <v>obj_0035e#0006</v>
      </c>
      <c r="O103" s="149" t="str">
        <f>IFERROR(_xll.qlRateHelperQuoteName(N103,Trigger),"--")</f>
        <v>EUR3MSW20Y_Shifted</v>
      </c>
      <c r="P103" s="142">
        <f>IFERROR(_xll.qlRateHelperQuoteValue($N103,Trigger),"--")</f>
        <v>1.1300000000000001E-2</v>
      </c>
      <c r="Q103" s="141" t="b">
        <v>1</v>
      </c>
      <c r="R103" s="141">
        <v>40</v>
      </c>
      <c r="S103" s="141">
        <v>1</v>
      </c>
      <c r="T103" s="143">
        <f>IFERROR(_xll.qlRateHelperEarliestDate(N103,Trigger),"--")</f>
        <v>42748</v>
      </c>
      <c r="U103" s="143">
        <f>IFERROR(_xll.qlRateHelperPillarDate(N103,Trigger),"--")</f>
        <v>50053</v>
      </c>
      <c r="W103" s="4" t="str">
        <f t="shared" si="16"/>
        <v/>
      </c>
      <c r="X103" s="4" t="e">
        <v>#N/A</v>
      </c>
      <c r="Y103" s="4" t="str">
        <f>IFERROR(_xll.qlRateHelperQuoteName(X103,Trigger),"")</f>
        <v/>
      </c>
      <c r="Z103" s="73" t="str">
        <f>IFERROR(_xll.qlRateHelperRate(X103,Trigger),"")</f>
        <v/>
      </c>
      <c r="AA103" s="105" t="str">
        <f>IF(ISERROR(_xll.qlSwapRateHelperSpread($X103)),IF(ISERROR(_xll.qlFuturesRateHelperConvexityAdjustment($X103)),"",_xll.qlFuturesRateHelperConvexityAdjustment($X103)),_xll.qlSwapRateHelperSpread($X103))</f>
        <v/>
      </c>
      <c r="AB103" s="5" t="str">
        <f>IFERROR(_xll.qlRateHelperEarliestDate(X103,Trigger),"")</f>
        <v/>
      </c>
      <c r="AC103" s="5" t="str">
        <f>IFERROR(_xll.qlRateHelperPillarDate(X103,Trigger),"")</f>
        <v/>
      </c>
      <c r="AD103" s="73" t="e">
        <v>#N/A</v>
      </c>
    </row>
    <row r="104" spans="1:30" x14ac:dyDescent="0.2">
      <c r="A104" s="62" t="s">
        <v>91</v>
      </c>
      <c r="B104" s="63" t="s">
        <v>60</v>
      </c>
      <c r="C104" s="64" t="s">
        <v>6</v>
      </c>
      <c r="D104" s="64" t="s">
        <v>8</v>
      </c>
      <c r="E104" s="64" t="s">
        <v>7</v>
      </c>
      <c r="F104" s="64" t="s">
        <v>132</v>
      </c>
      <c r="G104" s="64" t="str">
        <f t="shared" si="15"/>
        <v>Euribor3MMX#0006</v>
      </c>
      <c r="H104" s="62" t="str">
        <f>IF(ISBLANK(Quote!Y89),"",Quote!Y89)</f>
        <v>EUR3MSW15Y=#0006</v>
      </c>
      <c r="I104" s="62" t="str">
        <f>_xll.qlCompositeQuote(Currency&amp;"3M"&amp;A104&amp;B104&amp;"_Shifted",H104,BumpValue,"+",Permanent,Trigger,ObjectOverwrite)</f>
        <v>EUR3MSW15Y_Shifted#0006</v>
      </c>
      <c r="J104" s="128">
        <v>0</v>
      </c>
      <c r="K104" s="67" t="str">
        <f>_xll.qlSwapRateHelper2(,IF(Sensitivity,I104,H104),2,B104,Calendar,D104,E104,F104,G104,J104,C104,Discounting,PillarDate,,Permanent,Trigger,ObjectOverwrite)</f>
        <v>obj_00344#0006</v>
      </c>
      <c r="M104" s="74" t="str">
        <f t="shared" si="17"/>
        <v>SW</v>
      </c>
      <c r="N104" s="140" t="str">
        <f t="shared" si="18"/>
        <v>obj_003bb#0006</v>
      </c>
      <c r="O104" s="149" t="str">
        <f>IFERROR(_xll.qlRateHelperQuoteName(N104,Trigger),"--")</f>
        <v>EUR3MSW21Y_Shifted</v>
      </c>
      <c r="P104" s="142">
        <f>IFERROR(_xll.qlRateHelperQuoteValue($N104,Trigger),"--")</f>
        <v>1.1478016360000001E-2</v>
      </c>
      <c r="Q104" s="141" t="b">
        <v>1</v>
      </c>
      <c r="R104" s="141">
        <v>40</v>
      </c>
      <c r="S104" s="141">
        <v>1</v>
      </c>
      <c r="T104" s="143">
        <f>IFERROR(_xll.qlRateHelperEarliestDate(N104,Trigger),"--")</f>
        <v>42748</v>
      </c>
      <c r="U104" s="143">
        <f>IFERROR(_xll.qlRateHelperPillarDate(N104,Trigger),"--")</f>
        <v>50418</v>
      </c>
      <c r="W104" s="4" t="str">
        <f t="shared" si="16"/>
        <v/>
      </c>
      <c r="X104" s="4" t="e">
        <v>#N/A</v>
      </c>
      <c r="Y104" s="4" t="str">
        <f>IFERROR(_xll.qlRateHelperQuoteName(X104,Trigger),"")</f>
        <v/>
      </c>
      <c r="Z104" s="73" t="str">
        <f>IFERROR(_xll.qlRateHelperRate(X104,Trigger),"")</f>
        <v/>
      </c>
      <c r="AA104" s="105" t="str">
        <f>IF(ISERROR(_xll.qlSwapRateHelperSpread($X104)),IF(ISERROR(_xll.qlFuturesRateHelperConvexityAdjustment($X104)),"",_xll.qlFuturesRateHelperConvexityAdjustment($X104)),_xll.qlSwapRateHelperSpread($X104))</f>
        <v/>
      </c>
      <c r="AB104" s="5" t="str">
        <f>IFERROR(_xll.qlRateHelperEarliestDate(X104,Trigger),"")</f>
        <v/>
      </c>
      <c r="AC104" s="5" t="str">
        <f>IFERROR(_xll.qlRateHelperPillarDate(X104,Trigger),"")</f>
        <v/>
      </c>
      <c r="AD104" s="73" t="e">
        <v>#N/A</v>
      </c>
    </row>
    <row r="105" spans="1:30" x14ac:dyDescent="0.2">
      <c r="A105" s="62" t="s">
        <v>91</v>
      </c>
      <c r="B105" s="63" t="s">
        <v>102</v>
      </c>
      <c r="C105" s="64" t="s">
        <v>6</v>
      </c>
      <c r="D105" s="64" t="s">
        <v>8</v>
      </c>
      <c r="E105" s="64" t="s">
        <v>7</v>
      </c>
      <c r="F105" s="64" t="s">
        <v>132</v>
      </c>
      <c r="G105" s="64" t="str">
        <f t="shared" si="15"/>
        <v>Euribor3MMX#0006</v>
      </c>
      <c r="H105" s="62" t="str">
        <f>IF(ISBLANK(Quote!Y90),"",Quote!Y90)</f>
        <v>EUR3MSW16Y=#0006</v>
      </c>
      <c r="I105" s="62" t="str">
        <f>_xll.qlCompositeQuote(Currency&amp;"3M"&amp;A105&amp;B105&amp;"_Shifted",H105,BumpValue,"+",Permanent,Trigger,ObjectOverwrite)</f>
        <v>EUR3MSW16Y_Shifted#0006</v>
      </c>
      <c r="J105" s="128">
        <v>0</v>
      </c>
      <c r="K105" s="67" t="str">
        <f>_xll.qlSwapRateHelper2(,IF(Sensitivity,I105,H105),2,B105,Calendar,D105,E105,F105,G105,J105,C105,Discounting,PillarDate,,Permanent,Trigger,ObjectOverwrite)</f>
        <v>obj_0037c#0006</v>
      </c>
      <c r="M105" s="74" t="str">
        <f t="shared" si="17"/>
        <v>SW</v>
      </c>
      <c r="N105" s="140" t="str">
        <f t="shared" si="18"/>
        <v>obj_00349#0006</v>
      </c>
      <c r="O105" s="149" t="str">
        <f>IFERROR(_xll.qlRateHelperQuoteName(N105,Trigger),"--")</f>
        <v>EUR3MSW22Y_Shifted</v>
      </c>
      <c r="P105" s="142">
        <f>IFERROR(_xll.qlRateHelperQuoteValue($N105,Trigger),"--")</f>
        <v>1.1621513810000001E-2</v>
      </c>
      <c r="Q105" s="141" t="b">
        <v>1</v>
      </c>
      <c r="R105" s="141">
        <v>40</v>
      </c>
      <c r="S105" s="141">
        <v>1</v>
      </c>
      <c r="T105" s="143">
        <f>IFERROR(_xll.qlRateHelperEarliestDate(N105,Trigger),"--")</f>
        <v>42748</v>
      </c>
      <c r="U105" s="143">
        <f>IFERROR(_xll.qlRateHelperPillarDate(N105,Trigger),"--")</f>
        <v>50783</v>
      </c>
      <c r="W105" s="4" t="str">
        <f t="shared" si="16"/>
        <v/>
      </c>
      <c r="X105" s="4" t="e">
        <v>#N/A</v>
      </c>
      <c r="Y105" s="4" t="str">
        <f>IFERROR(_xll.qlRateHelperQuoteName(X105,Trigger),"")</f>
        <v/>
      </c>
      <c r="Z105" s="73" t="str">
        <f>IFERROR(_xll.qlRateHelperRate(X105,Trigger),"")</f>
        <v/>
      </c>
      <c r="AA105" s="105" t="str">
        <f>IF(ISERROR(_xll.qlSwapRateHelperSpread($X105)),IF(ISERROR(_xll.qlFuturesRateHelperConvexityAdjustment($X105)),"",_xll.qlFuturesRateHelperConvexityAdjustment($X105)),_xll.qlSwapRateHelperSpread($X105))</f>
        <v/>
      </c>
      <c r="AB105" s="5" t="str">
        <f>IFERROR(_xll.qlRateHelperEarliestDate(X105,Trigger),"")</f>
        <v/>
      </c>
      <c r="AC105" s="5" t="str">
        <f>IFERROR(_xll.qlRateHelperPillarDate(X105,Trigger),"")</f>
        <v/>
      </c>
      <c r="AD105" s="73" t="e">
        <v>#N/A</v>
      </c>
    </row>
    <row r="106" spans="1:30" x14ac:dyDescent="0.2">
      <c r="A106" s="62" t="s">
        <v>91</v>
      </c>
      <c r="B106" s="63" t="s">
        <v>103</v>
      </c>
      <c r="C106" s="64" t="s">
        <v>6</v>
      </c>
      <c r="D106" s="64" t="s">
        <v>8</v>
      </c>
      <c r="E106" s="64" t="s">
        <v>7</v>
      </c>
      <c r="F106" s="64" t="s">
        <v>132</v>
      </c>
      <c r="G106" s="64" t="str">
        <f t="shared" si="15"/>
        <v>Euribor3MMX#0006</v>
      </c>
      <c r="H106" s="62" t="str">
        <f>IF(ISBLANK(Quote!Y91),"",Quote!Y91)</f>
        <v>EUR3MSW17Y=#0006</v>
      </c>
      <c r="I106" s="62" t="str">
        <f>_xll.qlCompositeQuote(Currency&amp;"3M"&amp;A106&amp;B106&amp;"_Shifted",H106,BumpValue,"+",Permanent,Trigger,ObjectOverwrite)</f>
        <v>EUR3MSW17Y_Shifted#0006</v>
      </c>
      <c r="J106" s="128">
        <v>0</v>
      </c>
      <c r="K106" s="67" t="str">
        <f>_xll.qlSwapRateHelper2(,IF(Sensitivity,I106,H106),2,B106,Calendar,D106,E106,F106,G106,J106,C106,Discounting,PillarDate,,Permanent,Trigger,ObjectOverwrite)</f>
        <v>obj_003ab#0006</v>
      </c>
      <c r="M106" s="74" t="str">
        <f t="shared" si="17"/>
        <v>SW</v>
      </c>
      <c r="N106" s="140" t="str">
        <f t="shared" si="18"/>
        <v>obj_003b4#0006</v>
      </c>
      <c r="O106" s="149" t="str">
        <f>IFERROR(_xll.qlRateHelperQuoteName(N106,Trigger),"--")</f>
        <v>EUR3MSW23Y_Shifted</v>
      </c>
      <c r="P106" s="142">
        <f>IFERROR(_xll.qlRateHelperQuoteValue($N106,Trigger),"--")</f>
        <v>1.1736941690000001E-2</v>
      </c>
      <c r="Q106" s="141" t="b">
        <v>1</v>
      </c>
      <c r="R106" s="141">
        <v>40</v>
      </c>
      <c r="S106" s="141">
        <v>1</v>
      </c>
      <c r="T106" s="143">
        <f>IFERROR(_xll.qlRateHelperEarliestDate(N106,Trigger),"--")</f>
        <v>42748</v>
      </c>
      <c r="U106" s="143">
        <f>IFERROR(_xll.qlRateHelperPillarDate(N106,Trigger),"--")</f>
        <v>51148</v>
      </c>
      <c r="W106" s="4" t="str">
        <f t="shared" si="16"/>
        <v/>
      </c>
      <c r="X106" s="4" t="e">
        <v>#N/A</v>
      </c>
      <c r="Y106" s="4" t="str">
        <f>IFERROR(_xll.qlRateHelperQuoteName(X106,Trigger),"")</f>
        <v/>
      </c>
      <c r="Z106" s="73" t="str">
        <f>IFERROR(_xll.qlRateHelperRate(X106,Trigger),"")</f>
        <v/>
      </c>
      <c r="AA106" s="105" t="str">
        <f>IF(ISERROR(_xll.qlSwapRateHelperSpread($X106)),IF(ISERROR(_xll.qlFuturesRateHelperConvexityAdjustment($X106)),"",_xll.qlFuturesRateHelperConvexityAdjustment($X106)),_xll.qlSwapRateHelperSpread($X106))</f>
        <v/>
      </c>
      <c r="AB106" s="5" t="str">
        <f>IFERROR(_xll.qlRateHelperEarliestDate(X106,Trigger),"")</f>
        <v/>
      </c>
      <c r="AC106" s="5" t="str">
        <f>IFERROR(_xll.qlRateHelperPillarDate(X106,Trigger),"")</f>
        <v/>
      </c>
      <c r="AD106" s="73" t="e">
        <v>#N/A</v>
      </c>
    </row>
    <row r="107" spans="1:30" x14ac:dyDescent="0.2">
      <c r="A107" s="62" t="s">
        <v>91</v>
      </c>
      <c r="B107" s="63" t="s">
        <v>104</v>
      </c>
      <c r="C107" s="64" t="s">
        <v>6</v>
      </c>
      <c r="D107" s="64" t="s">
        <v>8</v>
      </c>
      <c r="E107" s="64" t="s">
        <v>7</v>
      </c>
      <c r="F107" s="64" t="s">
        <v>132</v>
      </c>
      <c r="G107" s="64" t="str">
        <f t="shared" si="15"/>
        <v>Euribor3MMX#0006</v>
      </c>
      <c r="H107" s="62" t="str">
        <f>IF(ISBLANK(Quote!Y92),"",Quote!Y92)</f>
        <v>EUR3MSW18Y=#0006</v>
      </c>
      <c r="I107" s="62" t="str">
        <f>_xll.qlCompositeQuote(Currency&amp;"3M"&amp;A107&amp;B107&amp;"_Shifted",H107,BumpValue,"+",Permanent,Trigger,ObjectOverwrite)</f>
        <v>EUR3MSW18Y_Shifted#0006</v>
      </c>
      <c r="J107" s="128">
        <v>0</v>
      </c>
      <c r="K107" s="67" t="str">
        <f>_xll.qlSwapRateHelper2(,IF(Sensitivity,I107,H107),2,B107,Calendar,D107,E107,F107,G107,J107,C107,Discounting,PillarDate,,Permanent,Trigger,ObjectOverwrite)</f>
        <v>obj_0035c#0006</v>
      </c>
      <c r="M107" s="74" t="str">
        <f t="shared" si="17"/>
        <v>SW</v>
      </c>
      <c r="N107" s="140" t="str">
        <f t="shared" si="18"/>
        <v>obj_00356#0006</v>
      </c>
      <c r="O107" s="149" t="str">
        <f>IFERROR(_xll.qlRateHelperQuoteName(N107,Trigger),"--")</f>
        <v>EUR3MSW24Y_Shifted</v>
      </c>
      <c r="P107" s="142">
        <f>IFERROR(_xll.qlRateHelperQuoteValue($N107,Trigger),"--")</f>
        <v>1.1832203110000002E-2</v>
      </c>
      <c r="Q107" s="141" t="b">
        <v>1</v>
      </c>
      <c r="R107" s="141">
        <v>40</v>
      </c>
      <c r="S107" s="141">
        <v>1</v>
      </c>
      <c r="T107" s="143">
        <f>IFERROR(_xll.qlRateHelperEarliestDate(N107,Trigger),"--")</f>
        <v>42748</v>
      </c>
      <c r="U107" s="143">
        <f>IFERROR(_xll.qlRateHelperPillarDate(N107,Trigger),"--")</f>
        <v>51515</v>
      </c>
      <c r="W107" s="4" t="str">
        <f t="shared" si="16"/>
        <v/>
      </c>
      <c r="X107" s="4" t="e">
        <v>#N/A</v>
      </c>
      <c r="Y107" s="4" t="str">
        <f>IFERROR(_xll.qlRateHelperQuoteName(X107,Trigger),"")</f>
        <v/>
      </c>
      <c r="Z107" s="73" t="str">
        <f>IFERROR(_xll.qlRateHelperRate(X107,Trigger),"")</f>
        <v/>
      </c>
      <c r="AA107" s="105" t="str">
        <f>IF(ISERROR(_xll.qlSwapRateHelperSpread($X107)),IF(ISERROR(_xll.qlFuturesRateHelperConvexityAdjustment($X107)),"",_xll.qlFuturesRateHelperConvexityAdjustment($X107)),_xll.qlSwapRateHelperSpread($X107))</f>
        <v/>
      </c>
      <c r="AB107" s="5" t="str">
        <f>IFERROR(_xll.qlRateHelperEarliestDate(X107,Trigger),"")</f>
        <v/>
      </c>
      <c r="AC107" s="5" t="str">
        <f>IFERROR(_xll.qlRateHelperPillarDate(X107,Trigger),"")</f>
        <v/>
      </c>
      <c r="AD107" s="73" t="e">
        <v>#N/A</v>
      </c>
    </row>
    <row r="108" spans="1:30" x14ac:dyDescent="0.2">
      <c r="A108" s="62" t="s">
        <v>91</v>
      </c>
      <c r="B108" s="63" t="s">
        <v>105</v>
      </c>
      <c r="C108" s="64" t="s">
        <v>6</v>
      </c>
      <c r="D108" s="64" t="s">
        <v>8</v>
      </c>
      <c r="E108" s="64" t="s">
        <v>7</v>
      </c>
      <c r="F108" s="64" t="s">
        <v>132</v>
      </c>
      <c r="G108" s="64" t="str">
        <f t="shared" si="15"/>
        <v>Euribor3MMX#0006</v>
      </c>
      <c r="H108" s="62" t="str">
        <f>IF(ISBLANK(Quote!Y93),"",Quote!Y93)</f>
        <v>EUR3MSW19Y=#0006</v>
      </c>
      <c r="I108" s="62" t="str">
        <f>_xll.qlCompositeQuote(Currency&amp;"3M"&amp;A108&amp;B108&amp;"_Shifted",H108,BumpValue,"+",Permanent,Trigger,ObjectOverwrite)</f>
        <v>EUR3MSW19Y_Shifted#0006</v>
      </c>
      <c r="J108" s="128">
        <v>0</v>
      </c>
      <c r="K108" s="67" t="str">
        <f>_xll.qlSwapRateHelper2(,IF(Sensitivity,I108,H108),2,B108,Calendar,D108,E108,F108,G108,J108,C108,Discounting,PillarDate,,Permanent,Trigger,ObjectOverwrite)</f>
        <v>obj_003a5#0006</v>
      </c>
      <c r="M108" s="74" t="str">
        <f t="shared" si="17"/>
        <v>SW</v>
      </c>
      <c r="N108" s="140" t="str">
        <f t="shared" si="18"/>
        <v>obj_003c4#0006</v>
      </c>
      <c r="O108" s="149" t="str">
        <f>IFERROR(_xll.qlRateHelperQuoteName(N108,Trigger),"--")</f>
        <v>EUR3MSW25Y_Shifted</v>
      </c>
      <c r="P108" s="142">
        <f>IFERROR(_xll.qlRateHelperQuoteValue($N108,Trigger),"--")</f>
        <v>1.191E-2</v>
      </c>
      <c r="Q108" s="141" t="b">
        <v>1</v>
      </c>
      <c r="R108" s="141">
        <v>40</v>
      </c>
      <c r="S108" s="141">
        <v>1</v>
      </c>
      <c r="T108" s="143">
        <f>IFERROR(_xll.qlRateHelperEarliestDate(N108,Trigger),"--")</f>
        <v>42748</v>
      </c>
      <c r="U108" s="143">
        <f>IFERROR(_xll.qlRateHelperPillarDate(N108,Trigger),"--")</f>
        <v>51879</v>
      </c>
      <c r="W108" s="4" t="str">
        <f t="shared" si="16"/>
        <v/>
      </c>
      <c r="X108" s="4" t="e">
        <v>#N/A</v>
      </c>
      <c r="Y108" s="4" t="str">
        <f>IFERROR(_xll.qlRateHelperQuoteName(X108,Trigger),"")</f>
        <v/>
      </c>
      <c r="Z108" s="73" t="str">
        <f>IFERROR(_xll.qlRateHelperRate(X108,Trigger),"")</f>
        <v/>
      </c>
      <c r="AA108" s="105" t="str">
        <f>IF(ISERROR(_xll.qlSwapRateHelperSpread($X108)),IF(ISERROR(_xll.qlFuturesRateHelperConvexityAdjustment($X108)),"",_xll.qlFuturesRateHelperConvexityAdjustment($X108)),_xll.qlSwapRateHelperSpread($X108))</f>
        <v/>
      </c>
      <c r="AB108" s="5" t="str">
        <f>IFERROR(_xll.qlRateHelperEarliestDate(X108,Trigger),"")</f>
        <v/>
      </c>
      <c r="AC108" s="5" t="str">
        <f>IFERROR(_xll.qlRateHelperPillarDate(X108,Trigger),"")</f>
        <v/>
      </c>
      <c r="AD108" s="73" t="e">
        <v>#N/A</v>
      </c>
    </row>
    <row r="109" spans="1:30" x14ac:dyDescent="0.2">
      <c r="A109" s="62" t="s">
        <v>91</v>
      </c>
      <c r="B109" s="63" t="s">
        <v>61</v>
      </c>
      <c r="C109" s="64" t="s">
        <v>6</v>
      </c>
      <c r="D109" s="64" t="s">
        <v>8</v>
      </c>
      <c r="E109" s="64" t="s">
        <v>7</v>
      </c>
      <c r="F109" s="64" t="s">
        <v>132</v>
      </c>
      <c r="G109" s="64" t="str">
        <f t="shared" si="15"/>
        <v>Euribor3MMX#0006</v>
      </c>
      <c r="H109" s="62" t="str">
        <f>IF(ISBLANK(Quote!Y94),"",Quote!Y94)</f>
        <v>EUR3MSW20Y=#0006</v>
      </c>
      <c r="I109" s="62" t="str">
        <f>_xll.qlCompositeQuote(Currency&amp;"3M"&amp;A109&amp;B109&amp;"_Shifted",H109,BumpValue,"+",Permanent,Trigger,ObjectOverwrite)</f>
        <v>EUR3MSW20Y_Shifted#0006</v>
      </c>
      <c r="J109" s="128">
        <v>0</v>
      </c>
      <c r="K109" s="67" t="str">
        <f>_xll.qlSwapRateHelper2(,IF(Sensitivity,I109,H109),2,B109,Calendar,D109,E109,F109,G109,J109,C109,Discounting,PillarDate,,Permanent,Trigger,ObjectOverwrite)</f>
        <v>obj_0035e#0006</v>
      </c>
      <c r="M109" s="74" t="str">
        <f t="shared" si="17"/>
        <v>SW</v>
      </c>
      <c r="N109" s="140" t="str">
        <f t="shared" si="18"/>
        <v>obj_003a9#0006</v>
      </c>
      <c r="O109" s="149" t="str">
        <f>IFERROR(_xll.qlRateHelperQuoteName(N109,Trigger),"--")</f>
        <v>EUR3MSW26Y_Shifted</v>
      </c>
      <c r="P109" s="142">
        <f>IFERROR(_xll.qlRateHelperQuoteValue($N109,Trigger),"--")</f>
        <v>1.1977744699999999E-2</v>
      </c>
      <c r="Q109" s="141" t="b">
        <v>1</v>
      </c>
      <c r="R109" s="141">
        <v>40</v>
      </c>
      <c r="S109" s="141">
        <v>1</v>
      </c>
      <c r="T109" s="143">
        <f>IFERROR(_xll.qlRateHelperEarliestDate(N109,Trigger),"--")</f>
        <v>42748</v>
      </c>
      <c r="U109" s="143">
        <f>IFERROR(_xll.qlRateHelperPillarDate(N109,Trigger),"--")</f>
        <v>52244</v>
      </c>
      <c r="W109" s="4" t="str">
        <f t="shared" si="16"/>
        <v/>
      </c>
      <c r="X109" s="4" t="e">
        <v>#N/A</v>
      </c>
      <c r="Y109" s="4" t="str">
        <f>IFERROR(_xll.qlRateHelperQuoteName(X109,Trigger),"")</f>
        <v/>
      </c>
      <c r="Z109" s="73" t="str">
        <f>IFERROR(_xll.qlRateHelperRate(X109,Trigger),"")</f>
        <v/>
      </c>
      <c r="AA109" s="105" t="str">
        <f>IF(ISERROR(_xll.qlSwapRateHelperSpread($X109)),IF(ISERROR(_xll.qlFuturesRateHelperConvexityAdjustment($X109)),"",_xll.qlFuturesRateHelperConvexityAdjustment($X109)),_xll.qlSwapRateHelperSpread($X109))</f>
        <v/>
      </c>
      <c r="AB109" s="5" t="str">
        <f>IFERROR(_xll.qlRateHelperEarliestDate(X109,Trigger),"")</f>
        <v/>
      </c>
      <c r="AC109" s="5" t="str">
        <f>IFERROR(_xll.qlRateHelperPillarDate(X109,Trigger),"")</f>
        <v/>
      </c>
      <c r="AD109" s="73" t="e">
        <v>#N/A</v>
      </c>
    </row>
    <row r="110" spans="1:30" x14ac:dyDescent="0.2">
      <c r="A110" s="62" t="s">
        <v>91</v>
      </c>
      <c r="B110" s="63" t="s">
        <v>106</v>
      </c>
      <c r="C110" s="64" t="s">
        <v>6</v>
      </c>
      <c r="D110" s="64" t="s">
        <v>8</v>
      </c>
      <c r="E110" s="64" t="s">
        <v>7</v>
      </c>
      <c r="F110" s="64" t="s">
        <v>132</v>
      </c>
      <c r="G110" s="64" t="str">
        <f t="shared" si="15"/>
        <v>Euribor3MMX#0006</v>
      </c>
      <c r="H110" s="62" t="str">
        <f>IF(ISBLANK(Quote!Y95),"",Quote!Y95)</f>
        <v>EUR3MSW21Y=#0006</v>
      </c>
      <c r="I110" s="62" t="str">
        <f>_xll.qlCompositeQuote(Currency&amp;"3M"&amp;A110&amp;B110&amp;"_Shifted",H110,BumpValue,"+",Permanent,Trigger,ObjectOverwrite)</f>
        <v>EUR3MSW21Y_Shifted#0006</v>
      </c>
      <c r="J110" s="128">
        <v>0</v>
      </c>
      <c r="K110" s="67" t="str">
        <f>_xll.qlSwapRateHelper2(,IF(Sensitivity,I110,H110),2,B110,Calendar,D110,E110,F110,G110,J110,C110,Discounting,PillarDate,,Permanent,Trigger,ObjectOverwrite)</f>
        <v>obj_003bb#0006</v>
      </c>
      <c r="M110" s="74" t="str">
        <f t="shared" si="17"/>
        <v>SW</v>
      </c>
      <c r="N110" s="140" t="str">
        <f t="shared" si="18"/>
        <v>obj_003bd#0006</v>
      </c>
      <c r="O110" s="149" t="str">
        <f>IFERROR(_xll.qlRateHelperQuoteName(N110,Trigger),"--")</f>
        <v>EUR3MSW27Y_Shifted</v>
      </c>
      <c r="P110" s="142">
        <f>IFERROR(_xll.qlRateHelperQuoteValue($N110,Trigger),"--")</f>
        <v>1.2037272110000002E-2</v>
      </c>
      <c r="Q110" s="141" t="b">
        <v>1</v>
      </c>
      <c r="R110" s="141">
        <v>40</v>
      </c>
      <c r="S110" s="141">
        <v>1</v>
      </c>
      <c r="T110" s="143">
        <f>IFERROR(_xll.qlRateHelperEarliestDate(N110,Trigger),"--")</f>
        <v>42748</v>
      </c>
      <c r="U110" s="143">
        <f>IFERROR(_xll.qlRateHelperPillarDate(N110,Trigger),"--")</f>
        <v>52609</v>
      </c>
      <c r="W110" s="4" t="str">
        <f t="shared" si="16"/>
        <v/>
      </c>
      <c r="X110" s="4" t="e">
        <v>#N/A</v>
      </c>
      <c r="Y110" s="4" t="str">
        <f>IFERROR(_xll.qlRateHelperQuoteName(X110,Trigger),"")</f>
        <v/>
      </c>
      <c r="Z110" s="73" t="str">
        <f>IFERROR(_xll.qlRateHelperRate(X110,Trigger),"")</f>
        <v/>
      </c>
      <c r="AA110" s="105" t="str">
        <f>IF(ISERROR(_xll.qlSwapRateHelperSpread($X110)),IF(ISERROR(_xll.qlFuturesRateHelperConvexityAdjustment($X110)),"",_xll.qlFuturesRateHelperConvexityAdjustment($X110)),_xll.qlSwapRateHelperSpread($X110))</f>
        <v/>
      </c>
      <c r="AB110" s="5" t="str">
        <f>IFERROR(_xll.qlRateHelperEarliestDate(X110,Trigger),"")</f>
        <v/>
      </c>
      <c r="AC110" s="5" t="str">
        <f>IFERROR(_xll.qlRateHelperPillarDate(X110,Trigger),"")</f>
        <v/>
      </c>
      <c r="AD110" s="73" t="e">
        <v>#N/A</v>
      </c>
    </row>
    <row r="111" spans="1:30" x14ac:dyDescent="0.2">
      <c r="A111" s="62" t="s">
        <v>91</v>
      </c>
      <c r="B111" s="63" t="s">
        <v>107</v>
      </c>
      <c r="C111" s="64" t="s">
        <v>6</v>
      </c>
      <c r="D111" s="64" t="s">
        <v>8</v>
      </c>
      <c r="E111" s="64" t="s">
        <v>7</v>
      </c>
      <c r="F111" s="64" t="s">
        <v>132</v>
      </c>
      <c r="G111" s="64" t="str">
        <f t="shared" si="15"/>
        <v>Euribor3MMX#0006</v>
      </c>
      <c r="H111" s="62" t="str">
        <f>IF(ISBLANK(Quote!Y96),"",Quote!Y96)</f>
        <v>EUR3MSW22Y=#0006</v>
      </c>
      <c r="I111" s="62" t="str">
        <f>_xll.qlCompositeQuote(Currency&amp;"3M"&amp;A111&amp;B111&amp;"_Shifted",H111,BumpValue,"+",Permanent,Trigger,ObjectOverwrite)</f>
        <v>EUR3MSW22Y_Shifted#0006</v>
      </c>
      <c r="J111" s="128">
        <v>0</v>
      </c>
      <c r="K111" s="67" t="str">
        <f>_xll.qlSwapRateHelper2(,IF(Sensitivity,I111,H111),2,B111,Calendar,D111,E111,F111,G111,J111,C111,Discounting,PillarDate,,Permanent,Trigger,ObjectOverwrite)</f>
        <v>obj_00349#0006</v>
      </c>
      <c r="M111" s="74" t="str">
        <f t="shared" si="17"/>
        <v>SW</v>
      </c>
      <c r="N111" s="140" t="str">
        <f t="shared" si="18"/>
        <v>obj_00395#0006</v>
      </c>
      <c r="O111" s="149" t="str">
        <f>IFERROR(_xll.qlRateHelperQuoteName(N111,Trigger),"--")</f>
        <v>EUR3MSW28Y_Shifted</v>
      </c>
      <c r="P111" s="142">
        <f>IFERROR(_xll.qlRateHelperQuoteValue($N111,Trigger),"--")</f>
        <v>1.2090932170000002E-2</v>
      </c>
      <c r="Q111" s="141" t="b">
        <v>1</v>
      </c>
      <c r="R111" s="141">
        <v>40</v>
      </c>
      <c r="S111" s="141">
        <v>1</v>
      </c>
      <c r="T111" s="143">
        <f>IFERROR(_xll.qlRateHelperEarliestDate(N111,Trigger),"--")</f>
        <v>42748</v>
      </c>
      <c r="U111" s="143">
        <f>IFERROR(_xll.qlRateHelperPillarDate(N111,Trigger),"--")</f>
        <v>52975</v>
      </c>
      <c r="W111" s="4" t="str">
        <f t="shared" si="16"/>
        <v/>
      </c>
      <c r="X111" s="4" t="e">
        <v>#N/A</v>
      </c>
      <c r="Y111" s="4" t="str">
        <f>IFERROR(_xll.qlRateHelperQuoteName(X111,Trigger),"")</f>
        <v/>
      </c>
      <c r="Z111" s="73" t="str">
        <f>IFERROR(_xll.qlRateHelperRate(X111,Trigger),"")</f>
        <v/>
      </c>
      <c r="AA111" s="105" t="str">
        <f>IF(ISERROR(_xll.qlSwapRateHelperSpread($X111)),IF(ISERROR(_xll.qlFuturesRateHelperConvexityAdjustment($X111)),"",_xll.qlFuturesRateHelperConvexityAdjustment($X111)),_xll.qlSwapRateHelperSpread($X111))</f>
        <v/>
      </c>
      <c r="AB111" s="5" t="str">
        <f>IFERROR(_xll.qlRateHelperEarliestDate(X111,Trigger),"")</f>
        <v/>
      </c>
      <c r="AC111" s="5" t="str">
        <f>IFERROR(_xll.qlRateHelperPillarDate(X111,Trigger),"")</f>
        <v/>
      </c>
      <c r="AD111" s="73" t="e">
        <v>#N/A</v>
      </c>
    </row>
    <row r="112" spans="1:30" x14ac:dyDescent="0.2">
      <c r="A112" s="62" t="s">
        <v>91</v>
      </c>
      <c r="B112" s="63" t="s">
        <v>108</v>
      </c>
      <c r="C112" s="64" t="s">
        <v>6</v>
      </c>
      <c r="D112" s="64" t="s">
        <v>8</v>
      </c>
      <c r="E112" s="64" t="s">
        <v>7</v>
      </c>
      <c r="F112" s="64" t="s">
        <v>132</v>
      </c>
      <c r="G112" s="64" t="str">
        <f t="shared" si="15"/>
        <v>Euribor3MMX#0006</v>
      </c>
      <c r="H112" s="62" t="str">
        <f>IF(ISBLANK(Quote!Y97),"",Quote!Y97)</f>
        <v>EUR3MSW23Y=#0006</v>
      </c>
      <c r="I112" s="62" t="str">
        <f>_xll.qlCompositeQuote(Currency&amp;"3M"&amp;A112&amp;B112&amp;"_Shifted",H112,BumpValue,"+",Permanent,Trigger,ObjectOverwrite)</f>
        <v>EUR3MSW23Y_Shifted#0006</v>
      </c>
      <c r="J112" s="128">
        <v>0</v>
      </c>
      <c r="K112" s="67" t="str">
        <f>_xll.qlSwapRateHelper2(,IF(Sensitivity,I112,H112),2,B112,Calendar,D112,E112,F112,G112,J112,C112,Discounting,PillarDate,,Permanent,Trigger,ObjectOverwrite)</f>
        <v>obj_003b4#0006</v>
      </c>
      <c r="M112" s="74" t="str">
        <f t="shared" si="17"/>
        <v>SW</v>
      </c>
      <c r="N112" s="140" t="str">
        <f t="shared" si="18"/>
        <v>obj_0033a#0006</v>
      </c>
      <c r="O112" s="149" t="str">
        <f>IFERROR(_xll.qlRateHelperQuoteName(N112,Trigger),"--")</f>
        <v>EUR3MSW29Y_Shifted</v>
      </c>
      <c r="P112" s="142">
        <f>IFERROR(_xll.qlRateHelperQuoteValue($N112,Trigger),"--")</f>
        <v>1.2137921370000001E-2</v>
      </c>
      <c r="Q112" s="141" t="b">
        <v>1</v>
      </c>
      <c r="R112" s="141">
        <v>40</v>
      </c>
      <c r="S112" s="141">
        <v>1</v>
      </c>
      <c r="T112" s="143">
        <f>IFERROR(_xll.qlRateHelperEarliestDate(N112,Trigger),"--")</f>
        <v>42748</v>
      </c>
      <c r="U112" s="143">
        <f>IFERROR(_xll.qlRateHelperPillarDate(N112,Trigger),"--")</f>
        <v>53342</v>
      </c>
      <c r="W112" s="4" t="str">
        <f t="shared" si="16"/>
        <v/>
      </c>
      <c r="X112" s="4" t="e">
        <v>#N/A</v>
      </c>
      <c r="Y112" s="4" t="str">
        <f>IFERROR(_xll.qlRateHelperQuoteName(X112,Trigger),"")</f>
        <v/>
      </c>
      <c r="Z112" s="73" t="str">
        <f>IFERROR(_xll.qlRateHelperRate(X112,Trigger),"")</f>
        <v/>
      </c>
      <c r="AA112" s="105" t="str">
        <f>IF(ISERROR(_xll.qlSwapRateHelperSpread($X112)),IF(ISERROR(_xll.qlFuturesRateHelperConvexityAdjustment($X112)),"",_xll.qlFuturesRateHelperConvexityAdjustment($X112)),_xll.qlSwapRateHelperSpread($X112))</f>
        <v/>
      </c>
      <c r="AB112" s="5" t="str">
        <f>IFERROR(_xll.qlRateHelperEarliestDate(X112,Trigger),"")</f>
        <v/>
      </c>
      <c r="AC112" s="5" t="str">
        <f>IFERROR(_xll.qlRateHelperPillarDate(X112,Trigger),"")</f>
        <v/>
      </c>
      <c r="AD112" s="73" t="e">
        <v>#N/A</v>
      </c>
    </row>
    <row r="113" spans="1:30" x14ac:dyDescent="0.2">
      <c r="A113" s="62" t="s">
        <v>91</v>
      </c>
      <c r="B113" s="63" t="s">
        <v>109</v>
      </c>
      <c r="C113" s="64" t="s">
        <v>6</v>
      </c>
      <c r="D113" s="64" t="s">
        <v>8</v>
      </c>
      <c r="E113" s="64" t="s">
        <v>7</v>
      </c>
      <c r="F113" s="64" t="s">
        <v>132</v>
      </c>
      <c r="G113" s="64" t="str">
        <f t="shared" si="15"/>
        <v>Euribor3MMX#0006</v>
      </c>
      <c r="H113" s="62" t="str">
        <f>IF(ISBLANK(Quote!Y98),"",Quote!Y98)</f>
        <v>EUR3MSW24Y=#0006</v>
      </c>
      <c r="I113" s="62" t="str">
        <f>_xll.qlCompositeQuote(Currency&amp;"3M"&amp;A113&amp;B113&amp;"_Shifted",H113,BumpValue,"+",Permanent,Trigger,ObjectOverwrite)</f>
        <v>EUR3MSW24Y_Shifted#0006</v>
      </c>
      <c r="J113" s="128">
        <v>0</v>
      </c>
      <c r="K113" s="67" t="str">
        <f>_xll.qlSwapRateHelper2(,IF(Sensitivity,I113,H113),2,B113,Calendar,D113,E113,F113,G113,J113,C113,Discounting,PillarDate,,Permanent,Trigger,ObjectOverwrite)</f>
        <v>obj_00356#0006</v>
      </c>
      <c r="M113" s="74" t="str">
        <f t="shared" si="17"/>
        <v>SW</v>
      </c>
      <c r="N113" s="140" t="str">
        <f t="shared" si="18"/>
        <v>obj_003b0#0006</v>
      </c>
      <c r="O113" s="149" t="str">
        <f>IFERROR(_xll.qlRateHelperQuoteName(N113,Trigger),"--")</f>
        <v>EUR3MSW30Y_Shifted</v>
      </c>
      <c r="P113" s="142">
        <f>IFERROR(_xll.qlRateHelperQuoteValue($N113,Trigger),"--")</f>
        <v>1.218E-2</v>
      </c>
      <c r="Q113" s="141" t="b">
        <v>1</v>
      </c>
      <c r="R113" s="141">
        <v>40</v>
      </c>
      <c r="S113" s="141">
        <v>1</v>
      </c>
      <c r="T113" s="143">
        <f>IFERROR(_xll.qlRateHelperEarliestDate(N113,Trigger),"--")</f>
        <v>42748</v>
      </c>
      <c r="U113" s="143">
        <f>IFERROR(_xll.qlRateHelperPillarDate(N113,Trigger),"--")</f>
        <v>53706</v>
      </c>
      <c r="W113" s="4" t="str">
        <f t="shared" si="16"/>
        <v/>
      </c>
      <c r="X113" s="4" t="e">
        <v>#N/A</v>
      </c>
      <c r="Y113" s="4" t="str">
        <f>IFERROR(_xll.qlRateHelperQuoteName(X113,Trigger),"")</f>
        <v/>
      </c>
      <c r="Z113" s="73" t="str">
        <f>IFERROR(_xll.qlRateHelperRate(X113,Trigger),"")</f>
        <v/>
      </c>
      <c r="AA113" s="105" t="str">
        <f>IF(ISERROR(_xll.qlSwapRateHelperSpread($X113)),IF(ISERROR(_xll.qlFuturesRateHelperConvexityAdjustment($X113)),"",_xll.qlFuturesRateHelperConvexityAdjustment($X113)),_xll.qlSwapRateHelperSpread($X113))</f>
        <v/>
      </c>
      <c r="AB113" s="5" t="str">
        <f>IFERROR(_xll.qlRateHelperEarliestDate(X113,Trigger),"")</f>
        <v/>
      </c>
      <c r="AC113" s="5" t="str">
        <f>IFERROR(_xll.qlRateHelperPillarDate(X113,Trigger),"")</f>
        <v/>
      </c>
      <c r="AD113" s="73" t="e">
        <v>#N/A</v>
      </c>
    </row>
    <row r="114" spans="1:30" x14ac:dyDescent="0.2">
      <c r="A114" s="62" t="s">
        <v>91</v>
      </c>
      <c r="B114" s="63" t="s">
        <v>62</v>
      </c>
      <c r="C114" s="64" t="s">
        <v>6</v>
      </c>
      <c r="D114" s="64" t="s">
        <v>8</v>
      </c>
      <c r="E114" s="64" t="s">
        <v>7</v>
      </c>
      <c r="F114" s="64" t="s">
        <v>132</v>
      </c>
      <c r="G114" s="64" t="str">
        <f t="shared" si="15"/>
        <v>Euribor3MMX#0006</v>
      </c>
      <c r="H114" s="62" t="str">
        <f>IF(ISBLANK(Quote!Y99),"",Quote!Y99)</f>
        <v>EUR3MSW25Y=#0006</v>
      </c>
      <c r="I114" s="62" t="str">
        <f>_xll.qlCompositeQuote(Currency&amp;"3M"&amp;A114&amp;B114&amp;"_Shifted",H114,BumpValue,"+",Permanent,Trigger,ObjectOverwrite)</f>
        <v>EUR3MSW25Y_Shifted#0006</v>
      </c>
      <c r="J114" s="128">
        <v>0</v>
      </c>
      <c r="K114" s="67" t="str">
        <f>_xll.qlSwapRateHelper2(,IF(Sensitivity,I114,H114),2,B114,Calendar,D114,E114,F114,G114,J114,C114,Discounting,PillarDate,,Permanent,Trigger,ObjectOverwrite)</f>
        <v>obj_003c4#0006</v>
      </c>
      <c r="M114" s="74" t="str">
        <f t="shared" si="17"/>
        <v>SW</v>
      </c>
      <c r="N114" s="140" t="str">
        <f t="shared" si="18"/>
        <v>obj_00336#0006</v>
      </c>
      <c r="O114" s="149" t="str">
        <f>IFERROR(_xll.qlRateHelperQuoteName(N114,Trigger),"--")</f>
        <v>EUR3MSW31Y_Shifted</v>
      </c>
      <c r="P114" s="142">
        <f>IFERROR(_xll.qlRateHelperQuoteValue($N114,Trigger),"--")</f>
        <v>1.2218275390000002E-2</v>
      </c>
      <c r="Q114" s="141" t="b">
        <v>1</v>
      </c>
      <c r="R114" s="141">
        <v>40</v>
      </c>
      <c r="S114" s="141">
        <v>1</v>
      </c>
      <c r="T114" s="143">
        <f>IFERROR(_xll.qlRateHelperEarliestDate(N114,Trigger),"--")</f>
        <v>42748</v>
      </c>
      <c r="U114" s="143">
        <f>IFERROR(_xll.qlRateHelperPillarDate(N114,Trigger),"--")</f>
        <v>54070</v>
      </c>
      <c r="W114" s="4" t="str">
        <f t="shared" si="16"/>
        <v/>
      </c>
      <c r="X114" s="4" t="e">
        <v>#N/A</v>
      </c>
      <c r="Y114" s="4" t="str">
        <f>IFERROR(_xll.qlRateHelperQuoteName(X114,Trigger),"")</f>
        <v/>
      </c>
      <c r="Z114" s="73" t="str">
        <f>IFERROR(_xll.qlRateHelperRate(X114,Trigger),"")</f>
        <v/>
      </c>
      <c r="AA114" s="105" t="str">
        <f>IF(ISERROR(_xll.qlSwapRateHelperSpread($X114)),IF(ISERROR(_xll.qlFuturesRateHelperConvexityAdjustment($X114)),"",_xll.qlFuturesRateHelperConvexityAdjustment($X114)),_xll.qlSwapRateHelperSpread($X114))</f>
        <v/>
      </c>
      <c r="AB114" s="5" t="str">
        <f>IFERROR(_xll.qlRateHelperEarliestDate(X114,Trigger),"")</f>
        <v/>
      </c>
      <c r="AC114" s="5" t="str">
        <f>IFERROR(_xll.qlRateHelperPillarDate(X114,Trigger),"")</f>
        <v/>
      </c>
      <c r="AD114" s="73" t="e">
        <v>#N/A</v>
      </c>
    </row>
    <row r="115" spans="1:30" x14ac:dyDescent="0.2">
      <c r="A115" s="62" t="s">
        <v>91</v>
      </c>
      <c r="B115" s="63" t="s">
        <v>110</v>
      </c>
      <c r="C115" s="64" t="s">
        <v>6</v>
      </c>
      <c r="D115" s="64" t="s">
        <v>8</v>
      </c>
      <c r="E115" s="64" t="s">
        <v>7</v>
      </c>
      <c r="F115" s="64" t="s">
        <v>132</v>
      </c>
      <c r="G115" s="64" t="str">
        <f t="shared" si="15"/>
        <v>Euribor3MMX#0006</v>
      </c>
      <c r="H115" s="62" t="str">
        <f>IF(ISBLANK(Quote!Y100),"",Quote!Y100)</f>
        <v>EUR3MSW26Y=#0006</v>
      </c>
      <c r="I115" s="62" t="str">
        <f>_xll.qlCompositeQuote(Currency&amp;"3M"&amp;A115&amp;B115&amp;"_Shifted",H115,BumpValue,"+",Permanent,Trigger,ObjectOverwrite)</f>
        <v>EUR3MSW26Y_Shifted#0006</v>
      </c>
      <c r="J115" s="128">
        <v>0</v>
      </c>
      <c r="K115" s="67" t="str">
        <f>_xll.qlSwapRateHelper2(,IF(Sensitivity,I115,H115),2,B115,Calendar,D115,E115,F115,G115,J115,C115,Discounting,PillarDate,,Permanent,Trigger,ObjectOverwrite)</f>
        <v>obj_003a9#0006</v>
      </c>
      <c r="M115" s="74" t="str">
        <f t="shared" si="17"/>
        <v>SW</v>
      </c>
      <c r="N115" s="140" t="str">
        <f t="shared" si="18"/>
        <v>obj_0034a#0006</v>
      </c>
      <c r="O115" s="149" t="str">
        <f>IFERROR(_xll.qlRateHelperQuoteName(N115,Trigger),"--")</f>
        <v>EUR3MSW32Y_Shifted</v>
      </c>
      <c r="P115" s="142">
        <f>IFERROR(_xll.qlRateHelperQuoteValue($N115,Trigger),"--")</f>
        <v>1.2253425690000002E-2</v>
      </c>
      <c r="Q115" s="141" t="b">
        <v>1</v>
      </c>
      <c r="R115" s="141">
        <v>40</v>
      </c>
      <c r="S115" s="141">
        <v>1</v>
      </c>
      <c r="T115" s="143">
        <f>IFERROR(_xll.qlRateHelperEarliestDate(N115,Trigger),"--")</f>
        <v>42748</v>
      </c>
      <c r="U115" s="143">
        <f>IFERROR(_xll.qlRateHelperPillarDate(N115,Trigger),"--")</f>
        <v>54436</v>
      </c>
      <c r="W115" s="4" t="str">
        <f t="shared" si="16"/>
        <v/>
      </c>
      <c r="X115" s="4" t="e">
        <v>#N/A</v>
      </c>
      <c r="Y115" s="4" t="str">
        <f>IFERROR(_xll.qlRateHelperQuoteName(X115,Trigger),"")</f>
        <v/>
      </c>
      <c r="Z115" s="73" t="str">
        <f>IFERROR(_xll.qlRateHelperRate(X115,Trigger),"")</f>
        <v/>
      </c>
      <c r="AA115" s="105" t="str">
        <f>IF(ISERROR(_xll.qlSwapRateHelperSpread($X115)),IF(ISERROR(_xll.qlFuturesRateHelperConvexityAdjustment($X115)),"",_xll.qlFuturesRateHelperConvexityAdjustment($X115)),_xll.qlSwapRateHelperSpread($X115))</f>
        <v/>
      </c>
      <c r="AB115" s="5" t="str">
        <f>IFERROR(_xll.qlRateHelperEarliestDate(X115,Trigger),"")</f>
        <v/>
      </c>
      <c r="AC115" s="5" t="str">
        <f>IFERROR(_xll.qlRateHelperPillarDate(X115,Trigger),"")</f>
        <v/>
      </c>
      <c r="AD115" s="73" t="e">
        <v>#N/A</v>
      </c>
    </row>
    <row r="116" spans="1:30" x14ac:dyDescent="0.2">
      <c r="A116" s="62" t="s">
        <v>91</v>
      </c>
      <c r="B116" s="63" t="s">
        <v>63</v>
      </c>
      <c r="C116" s="64" t="s">
        <v>6</v>
      </c>
      <c r="D116" s="64" t="s">
        <v>8</v>
      </c>
      <c r="E116" s="64" t="s">
        <v>7</v>
      </c>
      <c r="F116" s="64" t="s">
        <v>132</v>
      </c>
      <c r="G116" s="64" t="str">
        <f t="shared" si="15"/>
        <v>Euribor3MMX#0006</v>
      </c>
      <c r="H116" s="62" t="str">
        <f>IF(ISBLANK(Quote!Y101),"",Quote!Y101)</f>
        <v>EUR3MSW27Y=#0006</v>
      </c>
      <c r="I116" s="62" t="str">
        <f>_xll.qlCompositeQuote(Currency&amp;"3M"&amp;A116&amp;B116&amp;"_Shifted",H116,BumpValue,"+",Permanent,Trigger,ObjectOverwrite)</f>
        <v>EUR3MSW27Y_Shifted#0006</v>
      </c>
      <c r="J116" s="128">
        <v>0</v>
      </c>
      <c r="K116" s="67" t="str">
        <f>_xll.qlSwapRateHelper2(,IF(Sensitivity,I116,H116),2,B116,Calendar,D116,E116,F116,G116,J116,C116,Discounting,PillarDate,,Permanent,Trigger,ObjectOverwrite)</f>
        <v>obj_003bd#0006</v>
      </c>
      <c r="M116" s="74" t="str">
        <f t="shared" si="17"/>
        <v>SW</v>
      </c>
      <c r="N116" s="140" t="str">
        <f t="shared" si="18"/>
        <v>obj_003dc#0006</v>
      </c>
      <c r="O116" s="149" t="str">
        <f>IFERROR(_xll.qlRateHelperQuoteName(N116,Trigger),"--")</f>
        <v>EUR3MSW33Y_Shifted</v>
      </c>
      <c r="P116" s="142">
        <f>IFERROR(_xll.qlRateHelperQuoteValue($N116,Trigger),"--")</f>
        <v>1.2283053770000002E-2</v>
      </c>
      <c r="Q116" s="141" t="b">
        <v>1</v>
      </c>
      <c r="R116" s="141">
        <v>40</v>
      </c>
      <c r="S116" s="141">
        <v>1</v>
      </c>
      <c r="T116" s="143">
        <f>IFERROR(_xll.qlRateHelperEarliestDate(N116,Trigger),"--")</f>
        <v>42748</v>
      </c>
      <c r="U116" s="143">
        <f>IFERROR(_xll.qlRateHelperPillarDate(N116,Trigger),"--")</f>
        <v>54801</v>
      </c>
      <c r="W116" s="4" t="str">
        <f t="shared" si="16"/>
        <v/>
      </c>
      <c r="X116" s="4" t="e">
        <v>#N/A</v>
      </c>
      <c r="Y116" s="4" t="str">
        <f>IFERROR(_xll.qlRateHelperQuoteName(X116,Trigger),"")</f>
        <v/>
      </c>
      <c r="Z116" s="73" t="str">
        <f>IFERROR(_xll.qlRateHelperRate(X116,Trigger),"")</f>
        <v/>
      </c>
      <c r="AA116" s="105" t="str">
        <f>IF(ISERROR(_xll.qlSwapRateHelperSpread($X116)),IF(ISERROR(_xll.qlFuturesRateHelperConvexityAdjustment($X116)),"",_xll.qlFuturesRateHelperConvexityAdjustment($X116)),_xll.qlSwapRateHelperSpread($X116))</f>
        <v/>
      </c>
      <c r="AB116" s="5" t="str">
        <f>IFERROR(_xll.qlRateHelperEarliestDate(X116,Trigger),"")</f>
        <v/>
      </c>
      <c r="AC116" s="5" t="str">
        <f>IFERROR(_xll.qlRateHelperPillarDate(X116,Trigger),"")</f>
        <v/>
      </c>
      <c r="AD116" s="73" t="e">
        <v>#N/A</v>
      </c>
    </row>
    <row r="117" spans="1:30" x14ac:dyDescent="0.2">
      <c r="A117" s="62" t="s">
        <v>91</v>
      </c>
      <c r="B117" s="63" t="s">
        <v>111</v>
      </c>
      <c r="C117" s="64" t="s">
        <v>6</v>
      </c>
      <c r="D117" s="64" t="s">
        <v>8</v>
      </c>
      <c r="E117" s="64" t="s">
        <v>7</v>
      </c>
      <c r="F117" s="64" t="s">
        <v>132</v>
      </c>
      <c r="G117" s="64" t="str">
        <f t="shared" si="15"/>
        <v>Euribor3MMX#0006</v>
      </c>
      <c r="H117" s="62" t="str">
        <f>IF(ISBLANK(Quote!Y102),"",Quote!Y102)</f>
        <v>EUR3MSW28Y=#0006</v>
      </c>
      <c r="I117" s="62" t="str">
        <f>_xll.qlCompositeQuote(Currency&amp;"3M"&amp;A117&amp;B117&amp;"_Shifted",H117,BumpValue,"+",Permanent,Trigger,ObjectOverwrite)</f>
        <v>EUR3MSW28Y_Shifted#0006</v>
      </c>
      <c r="J117" s="128">
        <v>0</v>
      </c>
      <c r="K117" s="67" t="str">
        <f>_xll.qlSwapRateHelper2(,IF(Sensitivity,I117,H117),2,B117,Calendar,D117,E117,F117,G117,J117,C117,Discounting,PillarDate,,Permanent,Trigger,ObjectOverwrite)</f>
        <v>obj_00395#0006</v>
      </c>
      <c r="M117" s="74" t="str">
        <f t="shared" si="17"/>
        <v>SW</v>
      </c>
      <c r="N117" s="140" t="str">
        <f t="shared" si="18"/>
        <v>obj_00335#0006</v>
      </c>
      <c r="O117" s="149" t="str">
        <f>IFERROR(_xll.qlRateHelperQuoteName(N117,Trigger),"--")</f>
        <v>EUR3MSW34Y_Shifted</v>
      </c>
      <c r="P117" s="142">
        <f>IFERROR(_xll.qlRateHelperQuoteValue($N117,Trigger),"--")</f>
        <v>1.230771101E-2</v>
      </c>
      <c r="Q117" s="141" t="b">
        <v>1</v>
      </c>
      <c r="R117" s="141">
        <v>40</v>
      </c>
      <c r="S117" s="141">
        <v>1</v>
      </c>
      <c r="T117" s="143">
        <f>IFERROR(_xll.qlRateHelperEarliestDate(N117,Trigger),"--")</f>
        <v>42748</v>
      </c>
      <c r="U117" s="143">
        <f>IFERROR(_xll.qlRateHelperPillarDate(N117,Trigger),"--")</f>
        <v>55166</v>
      </c>
      <c r="W117" s="4" t="str">
        <f t="shared" si="16"/>
        <v/>
      </c>
      <c r="X117" s="4" t="e">
        <v>#N/A</v>
      </c>
      <c r="Y117" s="4" t="str">
        <f>IFERROR(_xll.qlRateHelperQuoteName(X117,Trigger),"")</f>
        <v/>
      </c>
      <c r="Z117" s="73" t="str">
        <f>IFERROR(_xll.qlRateHelperRate(X117,Trigger),"")</f>
        <v/>
      </c>
      <c r="AA117" s="105" t="str">
        <f>IF(ISERROR(_xll.qlSwapRateHelperSpread($X117)),IF(ISERROR(_xll.qlFuturesRateHelperConvexityAdjustment($X117)),"",_xll.qlFuturesRateHelperConvexityAdjustment($X117)),_xll.qlSwapRateHelperSpread($X117))</f>
        <v/>
      </c>
      <c r="AB117" s="5" t="str">
        <f>IFERROR(_xll.qlRateHelperEarliestDate(X117,Trigger),"")</f>
        <v/>
      </c>
      <c r="AC117" s="5" t="str">
        <f>IFERROR(_xll.qlRateHelperPillarDate(X117,Trigger),"")</f>
        <v/>
      </c>
      <c r="AD117" s="73" t="e">
        <v>#N/A</v>
      </c>
    </row>
    <row r="118" spans="1:30" x14ac:dyDescent="0.2">
      <c r="A118" s="62" t="s">
        <v>91</v>
      </c>
      <c r="B118" s="63" t="s">
        <v>112</v>
      </c>
      <c r="C118" s="64" t="s">
        <v>6</v>
      </c>
      <c r="D118" s="64" t="s">
        <v>8</v>
      </c>
      <c r="E118" s="64" t="s">
        <v>7</v>
      </c>
      <c r="F118" s="64" t="s">
        <v>132</v>
      </c>
      <c r="G118" s="64" t="str">
        <f t="shared" si="15"/>
        <v>Euribor3MMX#0006</v>
      </c>
      <c r="H118" s="62" t="str">
        <f>IF(ISBLANK(Quote!Y103),"",Quote!Y103)</f>
        <v>EUR3MSW29Y=#0006</v>
      </c>
      <c r="I118" s="62" t="str">
        <f>_xll.qlCompositeQuote(Currency&amp;"3M"&amp;A118&amp;B118&amp;"_Shifted",H118,BumpValue,"+",Permanent,Trigger,ObjectOverwrite)</f>
        <v>EUR3MSW29Y_Shifted#0006</v>
      </c>
      <c r="J118" s="128">
        <v>0</v>
      </c>
      <c r="K118" s="67" t="str">
        <f>_xll.qlSwapRateHelper2(,IF(Sensitivity,I118,H118),2,B118,Calendar,D118,E118,F118,G118,J118,C118,Discounting,PillarDate,,Permanent,Trigger,ObjectOverwrite)</f>
        <v>obj_0033a#0006</v>
      </c>
      <c r="M118" s="74" t="str">
        <f t="shared" si="17"/>
        <v>SW</v>
      </c>
      <c r="N118" s="140" t="str">
        <f t="shared" si="18"/>
        <v>obj_003ce#0006</v>
      </c>
      <c r="O118" s="149" t="str">
        <f>IFERROR(_xll.qlRateHelperQuoteName(N118,Trigger),"--")</f>
        <v>EUR3MSW35Y_Shifted</v>
      </c>
      <c r="P118" s="142">
        <f>IFERROR(_xll.qlRateHelperQuoteValue($N118,Trigger),"--")</f>
        <v>1.2327074239999999E-2</v>
      </c>
      <c r="Q118" s="141" t="b">
        <v>1</v>
      </c>
      <c r="R118" s="141">
        <v>40</v>
      </c>
      <c r="S118" s="141">
        <v>1</v>
      </c>
      <c r="T118" s="143">
        <f>IFERROR(_xll.qlRateHelperEarliestDate(N118,Trigger),"--")</f>
        <v>42748</v>
      </c>
      <c r="U118" s="143">
        <f>IFERROR(_xll.qlRateHelperPillarDate(N118,Trigger),"--")</f>
        <v>55533</v>
      </c>
      <c r="W118" s="4" t="str">
        <f t="shared" si="16"/>
        <v/>
      </c>
      <c r="X118" s="4" t="e">
        <v>#N/A</v>
      </c>
      <c r="Y118" s="4" t="str">
        <f>IFERROR(_xll.qlRateHelperQuoteName(X118,Trigger),"")</f>
        <v/>
      </c>
      <c r="Z118" s="73" t="str">
        <f>IFERROR(_xll.qlRateHelperRate(X118,Trigger),"")</f>
        <v/>
      </c>
      <c r="AA118" s="105" t="str">
        <f>IF(ISERROR(_xll.qlSwapRateHelperSpread($X118)),IF(ISERROR(_xll.qlFuturesRateHelperConvexityAdjustment($X118)),"",_xll.qlFuturesRateHelperConvexityAdjustment($X118)),_xll.qlSwapRateHelperSpread($X118))</f>
        <v/>
      </c>
      <c r="AB118" s="5" t="str">
        <f>IFERROR(_xll.qlRateHelperEarliestDate(X118,Trigger),"")</f>
        <v/>
      </c>
      <c r="AC118" s="5" t="str">
        <f>IFERROR(_xll.qlRateHelperPillarDate(X118,Trigger),"")</f>
        <v/>
      </c>
      <c r="AD118" s="73" t="e">
        <v>#N/A</v>
      </c>
    </row>
    <row r="119" spans="1:30" x14ac:dyDescent="0.2">
      <c r="A119" s="62" t="s">
        <v>91</v>
      </c>
      <c r="B119" s="63" t="s">
        <v>64</v>
      </c>
      <c r="C119" s="64" t="s">
        <v>6</v>
      </c>
      <c r="D119" s="64" t="s">
        <v>8</v>
      </c>
      <c r="E119" s="64" t="s">
        <v>7</v>
      </c>
      <c r="F119" s="64" t="s">
        <v>132</v>
      </c>
      <c r="G119" s="64" t="str">
        <f t="shared" si="15"/>
        <v>Euribor3MMX#0006</v>
      </c>
      <c r="H119" s="62" t="str">
        <f>IF(ISBLANK(Quote!Y104),"",Quote!Y104)</f>
        <v>EUR3MSW30Y=#0006</v>
      </c>
      <c r="I119" s="62" t="str">
        <f>_xll.qlCompositeQuote(Currency&amp;"3M"&amp;A119&amp;B119&amp;"_Shifted",H119,BumpValue,"+",Permanent,Trigger,ObjectOverwrite)</f>
        <v>EUR3MSW30Y_Shifted#0006</v>
      </c>
      <c r="J119" s="128">
        <v>0</v>
      </c>
      <c r="K119" s="67" t="str">
        <f>_xll.qlSwapRateHelper2(,IF(Sensitivity,I119,H119),2,B119,Calendar,D119,E119,F119,G119,J119,C119,Discounting,PillarDate,,Permanent,Trigger,ObjectOverwrite)</f>
        <v>obj_003b0#0006</v>
      </c>
      <c r="M119" s="74" t="str">
        <f t="shared" ref="M119" si="19">A125</f>
        <v>SW</v>
      </c>
      <c r="N119" s="140" t="str">
        <f t="shared" ref="N119" si="20">IF(ISBLANK(K125),"--",K125)</f>
        <v>obj_003d0#0006</v>
      </c>
      <c r="O119" s="149" t="str">
        <f>IFERROR(_xll.qlRateHelperQuoteName(N119,Trigger),"--")</f>
        <v>EUR3MSW36Y_Shifted</v>
      </c>
      <c r="P119" s="142">
        <f>IFERROR(_xll.qlRateHelperQuoteValue($N119,Trigger),"--")</f>
        <v>1.234126638E-2</v>
      </c>
      <c r="Q119" s="141" t="b">
        <v>1</v>
      </c>
      <c r="R119" s="141">
        <v>40</v>
      </c>
      <c r="S119" s="141">
        <v>1</v>
      </c>
      <c r="T119" s="143">
        <f>IFERROR(_xll.qlRateHelperEarliestDate(N119,Trigger),"--")</f>
        <v>42748</v>
      </c>
      <c r="U119" s="143">
        <f>IFERROR(_xll.qlRateHelperPillarDate(N119,Trigger),"--")</f>
        <v>55897</v>
      </c>
      <c r="W119" s="4" t="str">
        <f t="shared" si="16"/>
        <v/>
      </c>
      <c r="X119" s="4" t="e">
        <v>#N/A</v>
      </c>
      <c r="Y119" s="4" t="str">
        <f>IFERROR(_xll.qlRateHelperQuoteName(X119,Trigger),"")</f>
        <v/>
      </c>
      <c r="Z119" s="73" t="str">
        <f>IFERROR(_xll.qlRateHelperRate(X119,Trigger),"")</f>
        <v/>
      </c>
      <c r="AA119" s="105" t="str">
        <f>IF(ISERROR(_xll.qlSwapRateHelperSpread($X119)),IF(ISERROR(_xll.qlFuturesRateHelperConvexityAdjustment($X119)),"",_xll.qlFuturesRateHelperConvexityAdjustment($X119)),_xll.qlSwapRateHelperSpread($X119))</f>
        <v/>
      </c>
      <c r="AB119" s="5" t="str">
        <f>IFERROR(_xll.qlRateHelperEarliestDate(X119,Trigger),"")</f>
        <v/>
      </c>
      <c r="AC119" s="5" t="str">
        <f>IFERROR(_xll.qlRateHelperPillarDate(X119,Trigger),"")</f>
        <v/>
      </c>
      <c r="AD119" s="73" t="e">
        <v>#N/A</v>
      </c>
    </row>
    <row r="120" spans="1:30" x14ac:dyDescent="0.2">
      <c r="A120" s="62" t="s">
        <v>91</v>
      </c>
      <c r="B120" s="63" t="s">
        <v>158</v>
      </c>
      <c r="C120" s="64" t="s">
        <v>6</v>
      </c>
      <c r="D120" s="64" t="s">
        <v>8</v>
      </c>
      <c r="E120" s="64" t="s">
        <v>7</v>
      </c>
      <c r="F120" s="64" t="s">
        <v>132</v>
      </c>
      <c r="G120" s="64" t="str">
        <f t="shared" si="15"/>
        <v>Euribor3MMX#0006</v>
      </c>
      <c r="H120" s="62" t="str">
        <f>IF(ISBLANK(Quote!Y105),"",Quote!Y105)</f>
        <v>EUR3MSW31Y=#0006</v>
      </c>
      <c r="I120" s="62" t="str">
        <f>_xll.qlCompositeQuote(Currency&amp;"3M"&amp;A120&amp;B120&amp;"_Shifted",H120,BumpValue,"+",Permanent,Trigger,ObjectOverwrite)</f>
        <v>EUR3MSW31Y_Shifted#0006</v>
      </c>
      <c r="J120" s="128">
        <v>0</v>
      </c>
      <c r="K120" s="67" t="str">
        <f>_xll.qlSwapRateHelper2(,IF(Sensitivity,I120,H120),2,B120,Calendar,D120,E120,F120,G120,J120,C120,Discounting,PillarDate,,Permanent,Trigger,ObjectOverwrite)</f>
        <v>obj_00336#0006</v>
      </c>
      <c r="M120" s="74" t="str">
        <f t="shared" ref="M120:M121" si="21">A126</f>
        <v>SW</v>
      </c>
      <c r="N120" s="140" t="str">
        <f t="shared" ref="N120:N121" si="22">IF(ISBLANK(K126),"--",K126)</f>
        <v>obj_0036b#0006</v>
      </c>
      <c r="O120" s="149" t="str">
        <f>IFERROR(_xll.qlRateHelperQuoteName(N120,Trigger),"--")</f>
        <v>EUR3MSW37Y_Shifted</v>
      </c>
      <c r="P120" s="142">
        <f>IFERROR(_xll.qlRateHelperQuoteValue($N120,Trigger),"--")</f>
        <v>1.234857608E-2</v>
      </c>
      <c r="Q120" s="141" t="b">
        <v>1</v>
      </c>
      <c r="R120" s="141">
        <v>40</v>
      </c>
      <c r="S120" s="141">
        <v>1</v>
      </c>
      <c r="T120" s="143">
        <f>IFERROR(_xll.qlRateHelperEarliestDate(N120,Trigger),"--")</f>
        <v>42748</v>
      </c>
      <c r="U120" s="143">
        <f>IFERROR(_xll.qlRateHelperPillarDate(N120,Trigger),"--")</f>
        <v>56262</v>
      </c>
      <c r="W120" s="4" t="str">
        <f t="shared" si="16"/>
        <v/>
      </c>
      <c r="X120" s="4" t="e">
        <v>#N/A</v>
      </c>
      <c r="Y120" s="4" t="str">
        <f>IFERROR(_xll.qlRateHelperQuoteName(X120,Trigger),"")</f>
        <v/>
      </c>
      <c r="Z120" s="73" t="str">
        <f>IFERROR(_xll.qlRateHelperRate(X120,Trigger),"")</f>
        <v/>
      </c>
      <c r="AA120" s="105" t="str">
        <f>IF(ISERROR(_xll.qlSwapRateHelperSpread($X120)),IF(ISERROR(_xll.qlFuturesRateHelperConvexityAdjustment($X120)),"",_xll.qlFuturesRateHelperConvexityAdjustment($X120)),_xll.qlSwapRateHelperSpread($X120))</f>
        <v/>
      </c>
      <c r="AB120" s="5" t="str">
        <f>IFERROR(_xll.qlRateHelperEarliestDate(X120,Trigger),"")</f>
        <v/>
      </c>
      <c r="AC120" s="5" t="str">
        <f>IFERROR(_xll.qlRateHelperPillarDate(X120,Trigger),"")</f>
        <v/>
      </c>
      <c r="AD120" s="73" t="e">
        <v>#N/A</v>
      </c>
    </row>
    <row r="121" spans="1:30" x14ac:dyDescent="0.2">
      <c r="A121" s="62" t="s">
        <v>91</v>
      </c>
      <c r="B121" s="63" t="s">
        <v>159</v>
      </c>
      <c r="C121" s="64" t="s">
        <v>6</v>
      </c>
      <c r="D121" s="64" t="s">
        <v>8</v>
      </c>
      <c r="E121" s="64" t="s">
        <v>7</v>
      </c>
      <c r="F121" s="64" t="s">
        <v>132</v>
      </c>
      <c r="G121" s="64" t="str">
        <f t="shared" si="15"/>
        <v>Euribor3MMX#0006</v>
      </c>
      <c r="H121" s="62" t="str">
        <f>IF(ISBLANK(Quote!Y106),"",Quote!Y106)</f>
        <v>EUR3MSW32Y=#0006</v>
      </c>
      <c r="I121" s="62" t="str">
        <f>_xll.qlCompositeQuote(Currency&amp;"3M"&amp;A121&amp;B121&amp;"_Shifted",H121,BumpValue,"+",Permanent,Trigger,ObjectOverwrite)</f>
        <v>EUR3MSW32Y_Shifted#0006</v>
      </c>
      <c r="J121" s="128">
        <v>0</v>
      </c>
      <c r="K121" s="67" t="str">
        <f>_xll.qlSwapRateHelper2(,IF(Sensitivity,I121,H121),2,B121,Calendar,D121,E121,F121,G121,J121,C121,Discounting,PillarDate,,Permanent,Trigger,ObjectOverwrite)</f>
        <v>obj_0034a#0006</v>
      </c>
      <c r="M121" s="74" t="str">
        <f t="shared" si="21"/>
        <v>SW</v>
      </c>
      <c r="N121" s="140" t="str">
        <f t="shared" si="22"/>
        <v>obj_0035f#0006</v>
      </c>
      <c r="O121" s="149" t="str">
        <f>IFERROR(_xll.qlRateHelperQuoteName(N121,Trigger),"--")</f>
        <v>EUR3MSW38Y_Shifted</v>
      </c>
      <c r="P121" s="142">
        <f>IFERROR(_xll.qlRateHelperQuoteValue($N121,Trigger),"--")</f>
        <v>1.234931895E-2</v>
      </c>
      <c r="Q121" s="141" t="b">
        <v>1</v>
      </c>
      <c r="R121" s="141">
        <v>40</v>
      </c>
      <c r="S121" s="141">
        <v>1</v>
      </c>
      <c r="T121" s="143">
        <f>IFERROR(_xll.qlRateHelperEarliestDate(N121,Trigger),"--")</f>
        <v>42748</v>
      </c>
      <c r="U121" s="143">
        <f>IFERROR(_xll.qlRateHelperPillarDate(N121,Trigger),"--")</f>
        <v>56627</v>
      </c>
      <c r="W121" s="4" t="str">
        <f t="shared" si="16"/>
        <v/>
      </c>
      <c r="X121" s="4" t="e">
        <v>#N/A</v>
      </c>
      <c r="Y121" s="4" t="str">
        <f>IFERROR(_xll.qlRateHelperQuoteName(X121,Trigger),"")</f>
        <v/>
      </c>
      <c r="Z121" s="73" t="str">
        <f>IFERROR(_xll.qlRateHelperRate(X121,Trigger),"")</f>
        <v/>
      </c>
      <c r="AA121" s="105" t="str">
        <f>IF(ISERROR(_xll.qlSwapRateHelperSpread($X121)),IF(ISERROR(_xll.qlFuturesRateHelperConvexityAdjustment($X121)),"",_xll.qlFuturesRateHelperConvexityAdjustment($X121)),_xll.qlSwapRateHelperSpread($X121))</f>
        <v/>
      </c>
      <c r="AB121" s="5" t="str">
        <f>IFERROR(_xll.qlRateHelperEarliestDate(X121,Trigger),"")</f>
        <v/>
      </c>
      <c r="AC121" s="5" t="str">
        <f>IFERROR(_xll.qlRateHelperPillarDate(X121,Trigger),"")</f>
        <v/>
      </c>
      <c r="AD121" s="73" t="e">
        <v>#N/A</v>
      </c>
    </row>
    <row r="122" spans="1:30" x14ac:dyDescent="0.2">
      <c r="A122" s="62" t="s">
        <v>91</v>
      </c>
      <c r="B122" s="63" t="s">
        <v>160</v>
      </c>
      <c r="C122" s="64" t="s">
        <v>6</v>
      </c>
      <c r="D122" s="64" t="s">
        <v>8</v>
      </c>
      <c r="E122" s="64" t="s">
        <v>7</v>
      </c>
      <c r="F122" s="64" t="s">
        <v>132</v>
      </c>
      <c r="G122" s="64" t="str">
        <f t="shared" si="15"/>
        <v>Euribor3MMX#0006</v>
      </c>
      <c r="H122" s="62" t="str">
        <f>IF(ISBLANK(Quote!Y107),"",Quote!Y107)</f>
        <v>EUR3MSW33Y=#0006</v>
      </c>
      <c r="I122" s="62" t="str">
        <f>_xll.qlCompositeQuote(Currency&amp;"3M"&amp;A122&amp;B122&amp;"_Shifted",H122,BumpValue,"+",Permanent,Trigger,ObjectOverwrite)</f>
        <v>EUR3MSW33Y_Shifted#0006</v>
      </c>
      <c r="J122" s="128">
        <v>0</v>
      </c>
      <c r="K122" s="67" t="str">
        <f>_xll.qlSwapRateHelper2(,IF(Sensitivity,I122,H122),2,B122,Calendar,D122,E122,F122,G122,J122,C122,Discounting,PillarDate,,Permanent,Trigger,ObjectOverwrite)</f>
        <v>obj_003dc#0006</v>
      </c>
      <c r="M122" s="74" t="str">
        <f>A128</f>
        <v>SW</v>
      </c>
      <c r="N122" s="140" t="str">
        <f>IF(ISBLANK(K128),"--",K128)</f>
        <v>obj_003c2#0006</v>
      </c>
      <c r="O122" s="149" t="str">
        <f>IFERROR(_xll.qlRateHelperQuoteName(N122,Trigger),"--")</f>
        <v>EUR3MSW39Y_Shifted</v>
      </c>
      <c r="P122" s="142">
        <f>IFERROR(_xll.qlRateHelperQuoteValue($N122,Trigger),"--")</f>
        <v>1.2343097670000001E-2</v>
      </c>
      <c r="Q122" s="141" t="b">
        <v>1</v>
      </c>
      <c r="R122" s="141">
        <v>40</v>
      </c>
      <c r="S122" s="141">
        <v>1</v>
      </c>
      <c r="T122" s="143">
        <f>IFERROR(_xll.qlRateHelperEarliestDate(N122,Trigger),"--")</f>
        <v>42748</v>
      </c>
      <c r="U122" s="143">
        <f>IFERROR(_xll.qlRateHelperPillarDate(N122,Trigger),"--")</f>
        <v>56992</v>
      </c>
      <c r="W122" s="4" t="str">
        <f t="shared" si="16"/>
        <v/>
      </c>
      <c r="X122" s="4" t="e">
        <v>#N/A</v>
      </c>
      <c r="Y122" s="4" t="str">
        <f>IFERROR(_xll.qlRateHelperQuoteName(X122,Trigger),"")</f>
        <v/>
      </c>
      <c r="Z122" s="73" t="str">
        <f>IFERROR(_xll.qlRateHelperRate(X122,Trigger),"")</f>
        <v/>
      </c>
      <c r="AA122" s="105" t="str">
        <f>IF(ISERROR(_xll.qlSwapRateHelperSpread($X122)),IF(ISERROR(_xll.qlFuturesRateHelperConvexityAdjustment($X122)),"",_xll.qlFuturesRateHelperConvexityAdjustment($X122)),_xll.qlSwapRateHelperSpread($X122))</f>
        <v/>
      </c>
      <c r="AB122" s="5" t="str">
        <f>IFERROR(_xll.qlRateHelperEarliestDate(X122,Trigger),"")</f>
        <v/>
      </c>
      <c r="AC122" s="5" t="str">
        <f>IFERROR(_xll.qlRateHelperPillarDate(X122,Trigger),"")</f>
        <v/>
      </c>
      <c r="AD122" s="73" t="e">
        <v>#N/A</v>
      </c>
    </row>
    <row r="123" spans="1:30" x14ac:dyDescent="0.2">
      <c r="A123" s="62" t="s">
        <v>91</v>
      </c>
      <c r="B123" s="63" t="s">
        <v>161</v>
      </c>
      <c r="C123" s="64" t="s">
        <v>6</v>
      </c>
      <c r="D123" s="64" t="s">
        <v>8</v>
      </c>
      <c r="E123" s="64" t="s">
        <v>7</v>
      </c>
      <c r="F123" s="64" t="s">
        <v>132</v>
      </c>
      <c r="G123" s="64" t="str">
        <f t="shared" si="15"/>
        <v>Euribor3MMX#0006</v>
      </c>
      <c r="H123" s="62" t="str">
        <f>IF(ISBLANK(Quote!Y108),"",Quote!Y108)</f>
        <v>EUR3MSW34Y=#0006</v>
      </c>
      <c r="I123" s="62" t="str">
        <f>_xll.qlCompositeQuote(Currency&amp;"3M"&amp;A123&amp;B123&amp;"_Shifted",H123,BumpValue,"+",Permanent,Trigger,ObjectOverwrite)</f>
        <v>EUR3MSW34Y_Shifted#0006</v>
      </c>
      <c r="J123" s="128">
        <v>0</v>
      </c>
      <c r="K123" s="67" t="str">
        <f>_xll.qlSwapRateHelper2(,IF(Sensitivity,I123,H123),2,B123,Calendar,D123,E123,F123,G123,J123,C123,Discounting,PillarDate,,Permanent,Trigger,ObjectOverwrite)</f>
        <v>obj_00335#0006</v>
      </c>
      <c r="M123" s="74" t="str">
        <f t="shared" ref="M123:M125" si="23">A129</f>
        <v>SW</v>
      </c>
      <c r="N123" s="140" t="str">
        <f t="shared" ref="N123:N125" si="24">IF(ISBLANK(K129),"--",K129)</f>
        <v>obj_003dd#0006</v>
      </c>
      <c r="O123" s="149" t="str">
        <f>IFERROR(_xll.qlRateHelperQuoteName(N123,Trigger),"--")</f>
        <v>EUR3MSW40Y_Shifted</v>
      </c>
      <c r="P123" s="142">
        <f>IFERROR(_xll.qlRateHelperQuoteValue($N123,Trigger),"--")</f>
        <v>1.2330000000000001E-2</v>
      </c>
      <c r="Q123" s="141" t="b">
        <v>1</v>
      </c>
      <c r="R123" s="141">
        <v>40</v>
      </c>
      <c r="S123" s="141">
        <v>1</v>
      </c>
      <c r="T123" s="143">
        <f>IFERROR(_xll.qlRateHelperEarliestDate(N123,Trigger),"--")</f>
        <v>42748</v>
      </c>
      <c r="U123" s="143">
        <f>IFERROR(_xll.qlRateHelperPillarDate(N123,Trigger),"--")</f>
        <v>57360</v>
      </c>
      <c r="W123" s="4" t="str">
        <f t="shared" si="16"/>
        <v/>
      </c>
      <c r="X123" s="4" t="e">
        <v>#N/A</v>
      </c>
      <c r="Y123" s="4" t="str">
        <f>IFERROR(_xll.qlRateHelperQuoteName(X123,Trigger),"")</f>
        <v/>
      </c>
      <c r="Z123" s="73" t="str">
        <f>IFERROR(_xll.qlRateHelperRate(X123,Trigger),"")</f>
        <v/>
      </c>
      <c r="AA123" s="105" t="str">
        <f>IF(ISERROR(_xll.qlSwapRateHelperSpread($X123)),IF(ISERROR(_xll.qlFuturesRateHelperConvexityAdjustment($X123)),"",_xll.qlFuturesRateHelperConvexityAdjustment($X123)),_xll.qlSwapRateHelperSpread($X123))</f>
        <v/>
      </c>
      <c r="AB123" s="5" t="str">
        <f>IFERROR(_xll.qlRateHelperEarliestDate(X123,Trigger),"")</f>
        <v/>
      </c>
      <c r="AC123" s="5" t="str">
        <f>IFERROR(_xll.qlRateHelperPillarDate(X123,Trigger),"")</f>
        <v/>
      </c>
      <c r="AD123" s="73" t="e">
        <v>#N/A</v>
      </c>
    </row>
    <row r="124" spans="1:30" x14ac:dyDescent="0.2">
      <c r="A124" s="62" t="s">
        <v>91</v>
      </c>
      <c r="B124" s="63" t="s">
        <v>65</v>
      </c>
      <c r="C124" s="64" t="s">
        <v>6</v>
      </c>
      <c r="D124" s="64" t="s">
        <v>8</v>
      </c>
      <c r="E124" s="64" t="s">
        <v>7</v>
      </c>
      <c r="F124" s="64" t="s">
        <v>132</v>
      </c>
      <c r="G124" s="64" t="str">
        <f t="shared" si="15"/>
        <v>Euribor3MMX#0006</v>
      </c>
      <c r="H124" s="62" t="str">
        <f>IF(ISBLANK(Quote!Y109),"",Quote!Y109)</f>
        <v>EUR3MSW35Y=#0006</v>
      </c>
      <c r="I124" s="62" t="str">
        <f>_xll.qlCompositeQuote(Currency&amp;"3M"&amp;A124&amp;B124&amp;"_Shifted",H124,BumpValue,"+",Permanent,Trigger,ObjectOverwrite)</f>
        <v>EUR3MSW35Y_Shifted#0006</v>
      </c>
      <c r="J124" s="128">
        <v>0</v>
      </c>
      <c r="K124" s="67" t="str">
        <f>_xll.qlSwapRateHelper2(,IF(Sensitivity,I124,H124),2,B124,Calendar,D124,E124,F124,G124,J124,C124,Discounting,PillarDate,,Permanent,Trigger,ObjectOverwrite)</f>
        <v>obj_003ce#0006</v>
      </c>
      <c r="M124" s="74" t="str">
        <f t="shared" si="23"/>
        <v>SW</v>
      </c>
      <c r="N124" s="140" t="str">
        <f t="shared" si="24"/>
        <v>obj_0039b#0006</v>
      </c>
      <c r="O124" s="149" t="str">
        <f>IFERROR(_xll.qlRateHelperQuoteName(N124,Trigger),"--")</f>
        <v>EUR3MSW50Y_Shifted</v>
      </c>
      <c r="P124" s="142">
        <f>IFERROR(_xll.qlRateHelperQuoteValue($N124,Trigger),"--")</f>
        <v>1.192E-2</v>
      </c>
      <c r="Q124" s="141" t="b">
        <v>1</v>
      </c>
      <c r="R124" s="141">
        <v>40</v>
      </c>
      <c r="S124" s="141">
        <v>1</v>
      </c>
      <c r="T124" s="143">
        <f>IFERROR(_xll.qlRateHelperEarliestDate(N124,Trigger),"--")</f>
        <v>42748</v>
      </c>
      <c r="U124" s="143">
        <f>IFERROR(_xll.qlRateHelperPillarDate(N124,Trigger),"--")</f>
        <v>61010</v>
      </c>
      <c r="W124" s="4" t="str">
        <f t="shared" si="16"/>
        <v/>
      </c>
      <c r="X124" s="4" t="e">
        <v>#N/A</v>
      </c>
      <c r="Y124" s="4" t="str">
        <f>IFERROR(_xll.qlRateHelperQuoteName(X124,Trigger),"")</f>
        <v/>
      </c>
      <c r="Z124" s="73" t="str">
        <f>IFERROR(_xll.qlRateHelperRate(X124,Trigger),"")</f>
        <v/>
      </c>
      <c r="AA124" s="105" t="str">
        <f>IF(ISERROR(_xll.qlSwapRateHelperSpread($X124)),IF(ISERROR(_xll.qlFuturesRateHelperConvexityAdjustment($X124)),"",_xll.qlFuturesRateHelperConvexityAdjustment($X124)),_xll.qlSwapRateHelperSpread($X124))</f>
        <v/>
      </c>
      <c r="AB124" s="5" t="str">
        <f>IFERROR(_xll.qlRateHelperEarliestDate(X124,Trigger),"")</f>
        <v/>
      </c>
      <c r="AC124" s="5" t="str">
        <f>IFERROR(_xll.qlRateHelperPillarDate(X124,Trigger),"")</f>
        <v/>
      </c>
      <c r="AD124" s="73" t="e">
        <v>#N/A</v>
      </c>
    </row>
    <row r="125" spans="1:30" x14ac:dyDescent="0.2">
      <c r="A125" s="62" t="s">
        <v>91</v>
      </c>
      <c r="B125" s="63" t="s">
        <v>162</v>
      </c>
      <c r="C125" s="64" t="s">
        <v>6</v>
      </c>
      <c r="D125" s="64" t="s">
        <v>8</v>
      </c>
      <c r="E125" s="64" t="s">
        <v>7</v>
      </c>
      <c r="F125" s="64" t="s">
        <v>132</v>
      </c>
      <c r="G125" s="64" t="str">
        <f t="shared" si="15"/>
        <v>Euribor3MMX#0006</v>
      </c>
      <c r="H125" s="62" t="str">
        <f>IF(ISBLANK(Quote!Y110),"",Quote!Y110)</f>
        <v>EUR3MSW36Y=#0006</v>
      </c>
      <c r="I125" s="62" t="str">
        <f>_xll.qlCompositeQuote(Currency&amp;"3M"&amp;A125&amp;B125&amp;"_Shifted",H125,BumpValue,"+",Permanent,Trigger,ObjectOverwrite)</f>
        <v>EUR3MSW36Y_Shifted#0006</v>
      </c>
      <c r="J125" s="128">
        <v>0</v>
      </c>
      <c r="K125" s="67" t="str">
        <f>_xll.qlSwapRateHelper2(,IF(Sensitivity,I125,H125),2,B125,Calendar,D125,E125,F125,G125,J125,C125,Discounting,PillarDate,,Permanent,Trigger,ObjectOverwrite)</f>
        <v>obj_003d0#0006</v>
      </c>
      <c r="M125" s="75" t="str">
        <f t="shared" si="23"/>
        <v>SW</v>
      </c>
      <c r="N125" s="181" t="str">
        <f t="shared" si="24"/>
        <v>obj_003ae#0006</v>
      </c>
      <c r="O125" s="154" t="str">
        <f>IFERROR(_xll.qlRateHelperQuoteName(N125,Trigger),"--")</f>
        <v>EUR3MSW60Y_Shifted</v>
      </c>
      <c r="P125" s="155">
        <f>IFERROR(_xll.qlRateHelperQuoteValue($N125,Trigger),"--")</f>
        <v>1.1610000000000001E-2</v>
      </c>
      <c r="Q125" s="144" t="b">
        <v>1</v>
      </c>
      <c r="R125" s="144">
        <v>40</v>
      </c>
      <c r="S125" s="144">
        <v>1</v>
      </c>
      <c r="T125" s="153">
        <f>IFERROR(_xll.qlRateHelperEarliestDate(N125,Trigger),"--")</f>
        <v>42748</v>
      </c>
      <c r="U125" s="153">
        <f>IFERROR(_xll.qlRateHelperPillarDate(N125,Trigger),"--")</f>
        <v>64663</v>
      </c>
      <c r="W125" s="6" t="str">
        <f t="shared" si="16"/>
        <v/>
      </c>
      <c r="X125" s="6" t="e">
        <v>#N/A</v>
      </c>
      <c r="Y125" s="6" t="str">
        <f>IFERROR(_xll.qlRateHelperQuoteName(X125,Trigger),"")</f>
        <v/>
      </c>
      <c r="Z125" s="80" t="str">
        <f>IFERROR(_xll.qlRateHelperRate(X125,Trigger),"")</f>
        <v/>
      </c>
      <c r="AA125" s="106" t="str">
        <f>IF(ISERROR(_xll.qlSwapRateHelperSpread($X125)),IF(ISERROR(_xll.qlFuturesRateHelperConvexityAdjustment($X125)),"",_xll.qlFuturesRateHelperConvexityAdjustment($X125)),_xll.qlSwapRateHelperSpread($X125))</f>
        <v/>
      </c>
      <c r="AB125" s="12" t="str">
        <f>IFERROR(_xll.qlRateHelperEarliestDate(X125,Trigger),"")</f>
        <v/>
      </c>
      <c r="AC125" s="12" t="str">
        <f>IFERROR(_xll.qlRateHelperPillarDate(X125,Trigger),"")</f>
        <v/>
      </c>
      <c r="AD125" s="80" t="e">
        <v>#N/A</v>
      </c>
    </row>
    <row r="126" spans="1:30" x14ac:dyDescent="0.2">
      <c r="A126" s="62" t="s">
        <v>91</v>
      </c>
      <c r="B126" s="63" t="s">
        <v>163</v>
      </c>
      <c r="C126" s="64" t="s">
        <v>6</v>
      </c>
      <c r="D126" s="64" t="s">
        <v>8</v>
      </c>
      <c r="E126" s="64" t="s">
        <v>7</v>
      </c>
      <c r="F126" s="64" t="s">
        <v>132</v>
      </c>
      <c r="G126" s="64" t="str">
        <f t="shared" ref="G126:G131" si="25">$G$11</f>
        <v>Euribor3MMX#0006</v>
      </c>
      <c r="H126" s="62" t="str">
        <f>IF(ISBLANK(Quote!Y111),"",Quote!Y111)</f>
        <v>EUR3MSW37Y=#0006</v>
      </c>
      <c r="I126" s="62" t="str">
        <f>_xll.qlCompositeQuote(Currency&amp;"3M"&amp;A126&amp;B126&amp;"_Shifted",H126,BumpValue,"+",Permanent,Trigger,ObjectOverwrite)</f>
        <v>EUR3MSW37Y_Shifted#0006</v>
      </c>
      <c r="J126" s="128">
        <v>0</v>
      </c>
      <c r="K126" s="67" t="str">
        <f>_xll.qlSwapRateHelper2(,IF(Sensitivity,I126,H126),2,B126,Calendar,D126,E126,F126,G126,J126,C126,Discounting,PillarDate,,Permanent,Trigger,ObjectOverwrite)</f>
        <v>obj_0036b#0006</v>
      </c>
      <c r="M126" s="179"/>
    </row>
    <row r="127" spans="1:30" x14ac:dyDescent="0.2">
      <c r="A127" s="62" t="s">
        <v>91</v>
      </c>
      <c r="B127" s="63" t="s">
        <v>164</v>
      </c>
      <c r="C127" s="64" t="s">
        <v>6</v>
      </c>
      <c r="D127" s="64" t="s">
        <v>8</v>
      </c>
      <c r="E127" s="64" t="s">
        <v>7</v>
      </c>
      <c r="F127" s="64" t="s">
        <v>132</v>
      </c>
      <c r="G127" s="64" t="str">
        <f t="shared" si="25"/>
        <v>Euribor3MMX#0006</v>
      </c>
      <c r="H127" s="62" t="str">
        <f>IF(ISBLANK(Quote!Y112),"",Quote!Y112)</f>
        <v>EUR3MSW38Y=#0006</v>
      </c>
      <c r="I127" s="62" t="str">
        <f>_xll.qlCompositeQuote(Currency&amp;"3M"&amp;A127&amp;B127&amp;"_Shifted",H127,BumpValue,"+",Permanent,Trigger,ObjectOverwrite)</f>
        <v>EUR3MSW38Y_Shifted#0006</v>
      </c>
      <c r="J127" s="128">
        <v>0</v>
      </c>
      <c r="K127" s="67" t="str">
        <f>_xll.qlSwapRateHelper2(,IF(Sensitivity,I127,H127),2,B127,Calendar,D127,E127,F127,G127,J127,C127,Discounting,PillarDate,,Permanent,Trigger,ObjectOverwrite)</f>
        <v>obj_0035f#0006</v>
      </c>
      <c r="M127" s="179"/>
    </row>
    <row r="128" spans="1:30" x14ac:dyDescent="0.2">
      <c r="A128" s="62" t="s">
        <v>91</v>
      </c>
      <c r="B128" s="63" t="s">
        <v>165</v>
      </c>
      <c r="C128" s="64" t="s">
        <v>6</v>
      </c>
      <c r="D128" s="64" t="s">
        <v>8</v>
      </c>
      <c r="E128" s="64" t="s">
        <v>7</v>
      </c>
      <c r="F128" s="64" t="s">
        <v>132</v>
      </c>
      <c r="G128" s="64" t="str">
        <f t="shared" si="25"/>
        <v>Euribor3MMX#0006</v>
      </c>
      <c r="H128" s="62" t="str">
        <f>IF(ISBLANK(Quote!Y113),"",Quote!Y113)</f>
        <v>EUR3MSW39Y=#0006</v>
      </c>
      <c r="I128" s="62" t="str">
        <f>_xll.qlCompositeQuote(Currency&amp;"3M"&amp;A128&amp;B128&amp;"_Shifted",H128,BumpValue,"+",Permanent,Trigger,ObjectOverwrite)</f>
        <v>EUR3MSW39Y_Shifted#0006</v>
      </c>
      <c r="J128" s="128">
        <v>0</v>
      </c>
      <c r="K128" s="67" t="str">
        <f>_xll.qlSwapRateHelper2(,IF(Sensitivity,I128,H128),2,B128,Calendar,D128,E128,F128,G128,J128,C128,Discounting,PillarDate,,Permanent,Trigger,ObjectOverwrite)</f>
        <v>obj_003c2#0006</v>
      </c>
      <c r="M128" s="179"/>
    </row>
    <row r="129" spans="1:13" x14ac:dyDescent="0.2">
      <c r="A129" s="62" t="s">
        <v>91</v>
      </c>
      <c r="B129" s="63" t="s">
        <v>66</v>
      </c>
      <c r="C129" s="64" t="s">
        <v>6</v>
      </c>
      <c r="D129" s="64" t="s">
        <v>8</v>
      </c>
      <c r="E129" s="64" t="s">
        <v>7</v>
      </c>
      <c r="F129" s="64" t="s">
        <v>132</v>
      </c>
      <c r="G129" s="64" t="str">
        <f t="shared" si="25"/>
        <v>Euribor3MMX#0006</v>
      </c>
      <c r="H129" s="62" t="str">
        <f>IF(ISBLANK(Quote!Y114),"",Quote!Y114)</f>
        <v>EUR3MSW40Y=#0006</v>
      </c>
      <c r="I129" s="62" t="str">
        <f>_xll.qlCompositeQuote(Currency&amp;"3M"&amp;A129&amp;B129&amp;"_Shifted",H129,BumpValue,"+",Permanent,Trigger,ObjectOverwrite)</f>
        <v>EUR3MSW40Y_Shifted#0006</v>
      </c>
      <c r="J129" s="128">
        <v>0</v>
      </c>
      <c r="K129" s="67" t="str">
        <f>_xll.qlSwapRateHelper2(,IF(Sensitivity,I129,H129),2,B129,Calendar,D129,E129,F129,G129,J129,C129,Discounting,PillarDate,,Permanent,Trigger,ObjectOverwrite)</f>
        <v>obj_003dd#0006</v>
      </c>
      <c r="M129" s="179"/>
    </row>
    <row r="130" spans="1:13" x14ac:dyDescent="0.2">
      <c r="A130" s="62" t="s">
        <v>91</v>
      </c>
      <c r="B130" s="63" t="s">
        <v>67</v>
      </c>
      <c r="C130" s="64" t="s">
        <v>6</v>
      </c>
      <c r="D130" s="64" t="s">
        <v>8</v>
      </c>
      <c r="E130" s="64" t="s">
        <v>7</v>
      </c>
      <c r="F130" s="64" t="s">
        <v>132</v>
      </c>
      <c r="G130" s="64" t="str">
        <f t="shared" si="25"/>
        <v>Euribor3MMX#0006</v>
      </c>
      <c r="H130" s="62" t="str">
        <f>IF(ISBLANK(Quote!Y115),"",Quote!Y115)</f>
        <v>EUR3MSW50Y=#0006</v>
      </c>
      <c r="I130" s="62" t="str">
        <f>_xll.qlCompositeQuote(Currency&amp;"3M"&amp;A130&amp;B130&amp;"_Shifted",H130,BumpValue,"+",Permanent,Trigger,ObjectOverwrite)</f>
        <v>EUR3MSW50Y_Shifted#0006</v>
      </c>
      <c r="J130" s="128">
        <v>0</v>
      </c>
      <c r="K130" s="67" t="str">
        <f>_xll.qlSwapRateHelper2(,IF(Sensitivity,I130,H130),2,B130,Calendar,D130,E130,F130,G130,J130,C130,Discounting,PillarDate,,Permanent,Trigger,ObjectOverwrite)</f>
        <v>obj_0039b#0006</v>
      </c>
    </row>
    <row r="131" spans="1:13" x14ac:dyDescent="0.2">
      <c r="A131" s="1" t="s">
        <v>91</v>
      </c>
      <c r="B131" s="8" t="s">
        <v>113</v>
      </c>
      <c r="C131" s="7" t="s">
        <v>6</v>
      </c>
      <c r="D131" s="7" t="s">
        <v>8</v>
      </c>
      <c r="E131" s="7" t="s">
        <v>7</v>
      </c>
      <c r="F131" s="7" t="s">
        <v>132</v>
      </c>
      <c r="G131" s="7" t="str">
        <f t="shared" si="25"/>
        <v>Euribor3MMX#0006</v>
      </c>
      <c r="H131" s="1" t="str">
        <f>IF(ISBLANK(Quote!Y116),"",Quote!Y116)</f>
        <v>EUR3MSW60Y=#0006</v>
      </c>
      <c r="I131" s="1" t="str">
        <f>_xll.qlCompositeQuote(Currency&amp;"3M"&amp;A131&amp;B131&amp;"_Shifted",H131,BumpValue,"+",Permanent,Trigger,ObjectOverwrite)</f>
        <v>EUR3MSW60Y_Shifted#0006</v>
      </c>
      <c r="J131" s="130">
        <v>0</v>
      </c>
      <c r="K131" s="3" t="str">
        <f>_xll.qlSwapRateHelper2(,IF(Sensitivity,I131,H131),2,B131,Calendar,D131,E131,F131,G131,J131,C131,Discounting,PillarDate,,Permanent,Trigger,ObjectOverwrite)</f>
        <v>obj_003ae#0006</v>
      </c>
    </row>
  </sheetData>
  <dataValidations count="5">
    <dataValidation type="list" allowBlank="1" showInputMessage="1" showErrorMessage="1" sqref="E3 E61:E131">
      <formula1>"Following,Modified Following,Preceding,Modified Preceding,Unadjusted,Half-Month Modified Following"</formula1>
    </dataValidation>
    <dataValidation type="list" allowBlank="1" showInputMessage="1" showErrorMessage="1" sqref="F3 F61:F13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D61:D131">
      <formula1>"Annual,Semiannual,EveryFourthMonth,Quarterly,Bimonthly,Monthly,Biweekly,Weekly,Daily,Once,NoFrequency"</formula1>
    </dataValidation>
    <dataValidation type="list" allowBlank="1" showInputMessage="1" showErrorMessage="1" sqref="AK8">
      <formula1>"true,false"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19"/>
  <sheetViews>
    <sheetView showGridLines="0" topLeftCell="M1" zoomScaleNormal="100" workbookViewId="0">
      <selection activeCell="AE1" sqref="AE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28.5703125" style="55" hidden="1" customWidth="1" outlineLevel="1"/>
    <col min="10" max="10" width="12.5703125" style="55" hidden="1" customWidth="1" outlineLevel="1"/>
    <col min="11" max="11" width="9" style="49" hidden="1" customWidth="1" outlineLevel="1"/>
    <col min="12" max="12" width="15.140625" style="49" hidden="1" customWidth="1" outlineLevel="1"/>
    <col min="13" max="13" width="2.7109375" style="49" customWidth="1" collapsed="1"/>
    <col min="14" max="14" width="6" style="49" hidden="1" customWidth="1" outlineLevel="1"/>
    <col min="15" max="15" width="15.140625" style="104" hidden="1" customWidth="1" outlineLevel="1"/>
    <col min="16" max="16" width="22.42578125" style="104" hidden="1" customWidth="1" outlineLevel="1"/>
    <col min="17" max="17" width="9.7109375" style="104" hidden="1" customWidth="1" outlineLevel="1"/>
    <col min="18" max="18" width="7.85546875" style="104" hidden="1" customWidth="1" outlineLevel="1"/>
    <col min="19" max="19" width="9" style="104" hidden="1" customWidth="1" outlineLevel="1"/>
    <col min="20" max="20" width="5.85546875" style="104" hidden="1" customWidth="1" outlineLevel="1"/>
    <col min="21" max="22" width="10.7109375" style="104" hidden="1" customWidth="1" outlineLevel="1"/>
    <col min="23" max="23" width="2.7109375" style="51" hidden="1" customWidth="1" outlineLevel="1"/>
    <col min="24" max="24" width="6" style="49" bestFit="1" customWidth="1" collapsed="1"/>
    <col min="25" max="25" width="10.140625" style="49" hidden="1" customWidth="1" outlineLevel="1"/>
    <col min="26" max="26" width="24.7109375" style="49" customWidth="1" collapsed="1"/>
    <col min="27" max="28" width="9.7109375" style="49" customWidth="1"/>
    <col min="29" max="30" width="17.28515625" style="49" bestFit="1" customWidth="1"/>
    <col min="31" max="31" width="10" style="49" bestFit="1" customWidth="1"/>
    <col min="32" max="32" width="2.7109375" style="49" customWidth="1"/>
    <col min="33" max="33" width="3" style="49" bestFit="1" customWidth="1"/>
    <col min="34" max="34" width="24.42578125" style="49" bestFit="1" customWidth="1"/>
    <col min="35" max="35" width="24.42578125" style="49" hidden="1" customWidth="1" outlineLevel="1"/>
    <col min="36" max="36" width="7" style="49" hidden="1" customWidth="1" outlineLevel="1"/>
    <col min="37" max="37" width="11" style="49" hidden="1" customWidth="1" outlineLevel="1"/>
    <col min="38" max="38" width="9" style="49" bestFit="1" customWidth="1" collapsed="1"/>
    <col min="39" max="39" width="10" style="49" bestFit="1" customWidth="1"/>
    <col min="40" max="40" width="24.42578125" style="49" bestFit="1" customWidth="1"/>
    <col min="41" max="42" width="9.140625" style="49"/>
    <col min="43" max="43" width="12" style="49" bestFit="1" customWidth="1"/>
    <col min="44" max="16384" width="9.140625" style="49"/>
  </cols>
  <sheetData>
    <row r="1" spans="1:40" ht="18" customHeight="1" x14ac:dyDescent="0.2">
      <c r="G1" s="53" t="s">
        <v>3</v>
      </c>
      <c r="H1" s="53"/>
      <c r="I1" s="53"/>
      <c r="J1" s="53"/>
      <c r="N1" s="70" t="s">
        <v>25</v>
      </c>
      <c r="O1" s="107"/>
      <c r="P1" s="107"/>
      <c r="Q1" s="107"/>
      <c r="R1" s="107"/>
      <c r="S1" s="107"/>
      <c r="T1" s="107"/>
      <c r="U1" s="107"/>
      <c r="V1" s="97"/>
      <c r="W1" s="94"/>
      <c r="X1" s="78" t="str">
        <f>Currency&amp;$G$1</f>
        <v>EUR6M</v>
      </c>
      <c r="Y1" s="69"/>
      <c r="Z1" s="69"/>
      <c r="AA1" s="72"/>
      <c r="AB1" s="72"/>
      <c r="AC1" s="69"/>
      <c r="AD1" s="69"/>
      <c r="AE1" s="76" t="s">
        <v>134</v>
      </c>
    </row>
    <row r="2" spans="1:40" ht="21.75" customHeight="1" x14ac:dyDescent="0.2">
      <c r="A2" s="68" t="s">
        <v>9</v>
      </c>
      <c r="B2" s="68" t="s">
        <v>28</v>
      </c>
      <c r="C2" s="68" t="s">
        <v>92</v>
      </c>
      <c r="D2" s="68" t="s">
        <v>130</v>
      </c>
      <c r="E2" s="68" t="s">
        <v>32</v>
      </c>
      <c r="F2" s="68" t="s">
        <v>115</v>
      </c>
      <c r="G2" s="68" t="s">
        <v>4</v>
      </c>
      <c r="H2" s="68" t="s">
        <v>1</v>
      </c>
      <c r="I2" s="68" t="s">
        <v>171</v>
      </c>
      <c r="J2" s="68" t="s">
        <v>189</v>
      </c>
      <c r="K2" s="68"/>
      <c r="L2" s="68" t="s">
        <v>25</v>
      </c>
      <c r="N2" s="77" t="s">
        <v>9</v>
      </c>
      <c r="O2" s="77" t="s">
        <v>25</v>
      </c>
      <c r="P2" s="77" t="s">
        <v>79</v>
      </c>
      <c r="Q2" s="77" t="s">
        <v>82</v>
      </c>
      <c r="R2" s="77" t="s">
        <v>80</v>
      </c>
      <c r="S2" s="77" t="s">
        <v>81</v>
      </c>
      <c r="T2" s="77" t="s">
        <v>83</v>
      </c>
      <c r="U2" s="77" t="s">
        <v>23</v>
      </c>
      <c r="V2" s="77" t="s">
        <v>76</v>
      </c>
      <c r="W2" s="94"/>
      <c r="X2" s="77" t="s">
        <v>9</v>
      </c>
      <c r="Y2" s="77" t="s">
        <v>25</v>
      </c>
      <c r="Z2" s="77" t="s">
        <v>79</v>
      </c>
      <c r="AA2" s="79" t="s">
        <v>24</v>
      </c>
      <c r="AB2" s="79" t="s">
        <v>84</v>
      </c>
      <c r="AC2" s="77" t="s">
        <v>23</v>
      </c>
      <c r="AD2" s="77" t="s">
        <v>76</v>
      </c>
      <c r="AE2" s="207">
        <f t="array" ref="AE2:AE115">_xll.qlPiecewiseYieldCurveData(YieldCurve_6M,Trigger)</f>
        <v>-2.4095389658738775E-3</v>
      </c>
      <c r="AH2" s="204" t="s">
        <v>85</v>
      </c>
      <c r="AI2" s="205"/>
      <c r="AJ2" s="205"/>
      <c r="AK2" s="205"/>
      <c r="AL2" s="206"/>
    </row>
    <row r="3" spans="1:40" ht="11.25" customHeight="1" x14ac:dyDescent="0.2">
      <c r="A3" s="111" t="str">
        <f>Quote!AF4</f>
        <v>DP</v>
      </c>
      <c r="B3" s="112" t="str">
        <f>Quote!AG4</f>
        <v>ON</v>
      </c>
      <c r="C3" s="113" t="s">
        <v>73</v>
      </c>
      <c r="D3" s="113" t="b">
        <v>0</v>
      </c>
      <c r="E3" s="114" t="s">
        <v>131</v>
      </c>
      <c r="F3" s="113" t="s">
        <v>26</v>
      </c>
      <c r="G3" s="125"/>
      <c r="H3" s="121" t="str">
        <f>IF(ISBLANK(Quote!AI4),"",Quote!AI4)</f>
        <v/>
      </c>
      <c r="I3" s="124"/>
      <c r="J3" s="124"/>
      <c r="K3" s="124"/>
      <c r="L3" s="124"/>
      <c r="M3" s="52"/>
      <c r="N3" s="71" t="str">
        <f>A3</f>
        <v>DP</v>
      </c>
      <c r="O3" s="131" t="str">
        <f>IF(ISBLANK(L3),"--",L3)</f>
        <v>--</v>
      </c>
      <c r="P3" s="145" t="str">
        <f>IFERROR(_xll.qlRateHelperQuoteName(O3,Trigger),"--")</f>
        <v>--</v>
      </c>
      <c r="Q3" s="133" t="str">
        <f>IFERROR(_xll.qlRateHelperQuoteValue($O3,Trigger),"--")</f>
        <v>--</v>
      </c>
      <c r="R3" s="132" t="b">
        <v>0</v>
      </c>
      <c r="S3" s="131">
        <v>10</v>
      </c>
      <c r="T3" s="131">
        <v>1</v>
      </c>
      <c r="U3" s="134" t="str">
        <f>IFERROR(_xll.qlRateHelperEarliestDate(O3,Trigger),"--")</f>
        <v>--</v>
      </c>
      <c r="V3" s="134" t="str">
        <f>IFERROR(_xll.qlRateHelperPillarDate(O3,Trigger),"--")</f>
        <v>--</v>
      </c>
      <c r="X3" s="4" t="str">
        <f>IFERROR(INDEX($N$3:$N$115,MATCH(Z3,$P$3:$P$115,0),1),"")</f>
        <v>DP</v>
      </c>
      <c r="Y3" s="4" t="str">
        <f t="array" ref="Y3:Y115">_xll.qlRateHelperSelection(_xll.ohFilter(RateHelpers,IncludeFlag),_xll.ohFilter(Priority,IncludeFlag),$AL$3,$AL$4,$AL$5,$AL$6,_xll.ohFilter(MinDistance,IncludeFlag),Trigger)</f>
        <v>obj_002ae</v>
      </c>
      <c r="Z3" s="4" t="str">
        <f>IFERROR(_xll.qlRateHelperQuoteName(Y3,Trigger),"")</f>
        <v>EUR6MDPSN_Shifted</v>
      </c>
      <c r="AA3" s="73">
        <f>IFERROR(_xll.qlRateHelperRate(Y3,Trigger),"")</f>
        <v>-2.3765080500000001E-3</v>
      </c>
      <c r="AB3" s="105" t="str">
        <f>IF(ISERROR(_xll.qlSwapRateHelperSpread($Y3)),IF(ISERROR(_xll.qlFuturesRateHelperConvexityAdjustment($Y3)),"",_xll.qlFuturesRateHelperConvexityAdjustment($Y3)),_xll.qlSwapRateHelperSpread($Y3))</f>
        <v/>
      </c>
      <c r="AC3" s="5">
        <f>IFERROR(_xll.qlRateHelperEarliestDate(Y3,Trigger),"")</f>
        <v>42748</v>
      </c>
      <c r="AD3" s="5">
        <f>IFERROR(_xll.qlRateHelperPillarDate(Y3,Trigger),"")</f>
        <v>42751</v>
      </c>
      <c r="AE3" s="73">
        <v>-2.4095389658738775E-3</v>
      </c>
      <c r="AH3" s="202" t="s">
        <v>86</v>
      </c>
      <c r="AL3" s="203">
        <v>0</v>
      </c>
    </row>
    <row r="4" spans="1:40" ht="11.25" customHeight="1" x14ac:dyDescent="0.2">
      <c r="A4" s="56" t="str">
        <f>Quote!AF5</f>
        <v>DP</v>
      </c>
      <c r="B4" s="57" t="str">
        <f>Quote!AG5</f>
        <v>TN</v>
      </c>
      <c r="C4" s="59" t="s">
        <v>36</v>
      </c>
      <c r="D4" s="129"/>
      <c r="E4" s="129"/>
      <c r="F4" s="129"/>
      <c r="G4" s="125"/>
      <c r="H4" s="156" t="str">
        <f>IF(ISBLANK(Quote!AI5),"",Quote!AI5)</f>
        <v/>
      </c>
      <c r="I4" s="129"/>
      <c r="J4" s="129"/>
      <c r="K4" s="129"/>
      <c r="L4" s="129"/>
      <c r="M4" s="51"/>
      <c r="N4" s="10" t="str">
        <f t="shared" ref="N4:N20" si="0">A4</f>
        <v>DP</v>
      </c>
      <c r="O4" s="95" t="str">
        <f t="shared" ref="O4:O20" si="1">IF(ISBLANK(L4),"--",L4)</f>
        <v>--</v>
      </c>
      <c r="P4" s="146" t="str">
        <f>IFERROR(_xll.qlRateHelperQuoteName(O4,Trigger),"--")</f>
        <v>--</v>
      </c>
      <c r="Q4" s="99" t="str">
        <f>IFERROR(_xll.qlRateHelperQuoteValue($O4,Trigger),"--")</f>
        <v>--</v>
      </c>
      <c r="R4" s="98" t="b">
        <v>0</v>
      </c>
      <c r="S4" s="95">
        <v>10</v>
      </c>
      <c r="T4" s="95">
        <v>1</v>
      </c>
      <c r="U4" s="100" t="str">
        <f>IFERROR(_xll.qlRateHelperEarliestDate(O4,Trigger),"--")</f>
        <v>--</v>
      </c>
      <c r="V4" s="100" t="str">
        <f>IFERROR(_xll.qlRateHelperPillarDate(O4,Trigger),"--")</f>
        <v>--</v>
      </c>
      <c r="X4" s="4" t="str">
        <f t="shared" ref="X4:X67" si="2">IFERROR(INDEX($N$3:$N$115,MATCH(Z4,$P$3:$P$115,0),1),"")</f>
        <v>DP</v>
      </c>
      <c r="Y4" s="4" t="str">
        <v>obj_002e5</v>
      </c>
      <c r="Z4" s="4" t="str">
        <f>IFERROR(_xll.qlRateHelperQuoteName(Y4,Trigger),"")</f>
        <v>EUR6MDPSW_Shifted</v>
      </c>
      <c r="AA4" s="73">
        <f>IFERROR(_xll.qlRateHelperRate(Y4,Trigger),"")</f>
        <v>-2.3764766800000001E-3</v>
      </c>
      <c r="AB4" s="105" t="str">
        <f>IF(ISERROR(_xll.qlSwapRateHelperSpread($Y4)),IF(ISERROR(_xll.qlFuturesRateHelperConvexityAdjustment($Y4)),"",_xll.qlFuturesRateHelperConvexityAdjustment($Y4)),_xll.qlSwapRateHelperSpread($Y4))</f>
        <v/>
      </c>
      <c r="AC4" s="5">
        <f>IFERROR(_xll.qlRateHelperEarliestDate(Y4,Trigger),"")</f>
        <v>42748</v>
      </c>
      <c r="AD4" s="5">
        <f>IFERROR(_xll.qlRateHelperPillarDate(Y4,Trigger),"")</f>
        <v>42755</v>
      </c>
      <c r="AE4" s="73">
        <v>-2.409538970978026E-3</v>
      </c>
      <c r="AH4" s="108" t="s">
        <v>87</v>
      </c>
      <c r="AL4" s="109">
        <v>0</v>
      </c>
    </row>
    <row r="5" spans="1:40" ht="11.25" customHeight="1" x14ac:dyDescent="0.2">
      <c r="A5" s="216" t="str">
        <f>Quote!AF6</f>
        <v>DP</v>
      </c>
      <c r="B5" s="284" t="str">
        <f>Quote!AG6</f>
        <v>SN</v>
      </c>
      <c r="C5" s="333" t="s">
        <v>74</v>
      </c>
      <c r="D5" s="275"/>
      <c r="E5" s="275"/>
      <c r="F5" s="275"/>
      <c r="G5" s="218" t="str">
        <f>Euribor!E4</f>
        <v>EoniaMX#0006</v>
      </c>
      <c r="H5" s="334" t="str">
        <f>IF(ISBLANK(Quote!AI6),"",Quote!AI6)</f>
        <v>EUR6MDPSN=#0006</v>
      </c>
      <c r="I5" s="334" t="str">
        <f>_xll.qlCompositeQuote(Currency&amp;"6M"&amp;A5&amp;B5&amp;"_Shifted",H5,IF(J5=0,BumpValue,J5),"+",Permanent,Trigger,ObjectOverwrite)</f>
        <v>EUR6MDPSN_Shifted#0006</v>
      </c>
      <c r="J5" s="334">
        <v>0</v>
      </c>
      <c r="K5" s="275"/>
      <c r="L5" s="220" t="str">
        <f>_xll.qlFraRateHelper(,IF(Sensitivity,I5,H5),C5,G5,PillarDate,,Permanent,Trigger,ObjectOverwrite)</f>
        <v>obj_002ae#0006</v>
      </c>
      <c r="M5" s="51"/>
      <c r="N5" s="10" t="str">
        <f t="shared" si="0"/>
        <v>DP</v>
      </c>
      <c r="O5" s="95" t="str">
        <f t="shared" si="1"/>
        <v>obj_002ae#0006</v>
      </c>
      <c r="P5" s="146" t="str">
        <f>IFERROR(_xll.qlRateHelperQuoteName(O5,Trigger),"--")</f>
        <v>EUR6MDPSN_Shifted</v>
      </c>
      <c r="Q5" s="99">
        <f>IFERROR(_xll.qlRateHelperQuoteValue($O5,Trigger),"--")</f>
        <v>-2.3765080500000001E-3</v>
      </c>
      <c r="R5" s="98" t="b">
        <v>1</v>
      </c>
      <c r="S5" s="95">
        <v>10</v>
      </c>
      <c r="T5" s="95">
        <v>1</v>
      </c>
      <c r="U5" s="100">
        <f>IFERROR(_xll.qlRateHelperEarliestDate(O5,Trigger),"--")</f>
        <v>42748</v>
      </c>
      <c r="V5" s="100">
        <f>IFERROR(_xll.qlRateHelperPillarDate(O5,Trigger),"--")</f>
        <v>42751</v>
      </c>
      <c r="X5" s="4" t="str">
        <f t="shared" si="2"/>
        <v>DP</v>
      </c>
      <c r="Y5" s="4" t="str">
        <v>obj_002c8</v>
      </c>
      <c r="Z5" s="4" t="str">
        <f>IFERROR(_xll.qlRateHelperQuoteName(Y5,Trigger),"")</f>
        <v>EUR6MDP2W_Shifted</v>
      </c>
      <c r="AA5" s="73">
        <f>IFERROR(_xll.qlRateHelperRate(Y5,Trigger),"")</f>
        <v>-2.37642177E-3</v>
      </c>
      <c r="AB5" s="105" t="str">
        <f>IF(ISERROR(_xll.qlSwapRateHelperSpread($Y5)),IF(ISERROR(_xll.qlFuturesRateHelperConvexityAdjustment($Y5)),"",_xll.qlFuturesRateHelperConvexityAdjustment($Y5)),_xll.qlSwapRateHelperSpread($Y5))</f>
        <v/>
      </c>
      <c r="AC5" s="5">
        <f>IFERROR(_xll.qlRateHelperEarliestDate(Y5,Trigger),"")</f>
        <v>42748</v>
      </c>
      <c r="AD5" s="5">
        <f>IFERROR(_xll.qlRateHelperPillarDate(Y5,Trigger),"")</f>
        <v>42762</v>
      </c>
      <c r="AE5" s="73">
        <v>-2.4095389695582455E-3</v>
      </c>
      <c r="AG5" s="81"/>
      <c r="AH5" s="108" t="s">
        <v>88</v>
      </c>
      <c r="AL5" s="109">
        <v>0</v>
      </c>
    </row>
    <row r="6" spans="1:40" ht="11.25" customHeight="1" x14ac:dyDescent="0.2">
      <c r="A6" s="62" t="str">
        <f>Quote!AF7</f>
        <v>DP</v>
      </c>
      <c r="B6" s="63" t="str">
        <f>Quote!AG7</f>
        <v>SW</v>
      </c>
      <c r="C6" s="65" t="s">
        <v>36</v>
      </c>
      <c r="D6" s="125"/>
      <c r="E6" s="125"/>
      <c r="F6" s="125"/>
      <c r="G6" s="64" t="str">
        <f>Euribor!E5</f>
        <v>EuriborSWMX#0006</v>
      </c>
      <c r="H6" s="122" t="str">
        <f>IF(ISBLANK(Quote!AI7),"",Quote!AI7)</f>
        <v>EUR6MDPSW=#0006</v>
      </c>
      <c r="I6" s="122" t="str">
        <f>_xll.qlCompositeQuote(Currency&amp;"6M"&amp;A6&amp;B6&amp;"_Shifted",H6,IF(J6=0,BumpValue,J6),"+",Permanent,Trigger,ObjectOverwrite)</f>
        <v>EUR6MDPSW_Shifted#0006</v>
      </c>
      <c r="J6" s="122">
        <v>0</v>
      </c>
      <c r="K6" s="125"/>
      <c r="L6" s="67" t="str">
        <f>_xll.qlDepositRateHelper(,IF(Sensitivity,I6,H6),G6,Permanent,Trigger,ObjectOverwrite)</f>
        <v>obj_002e5#0006</v>
      </c>
      <c r="M6" s="51"/>
      <c r="N6" s="10" t="str">
        <f t="shared" si="0"/>
        <v>DP</v>
      </c>
      <c r="O6" s="95" t="str">
        <f t="shared" si="1"/>
        <v>obj_002e5#0006</v>
      </c>
      <c r="P6" s="146" t="str">
        <f>IFERROR(_xll.qlRateHelperQuoteName(O6,Trigger),"--")</f>
        <v>EUR6MDPSW_Shifted</v>
      </c>
      <c r="Q6" s="99">
        <f>IFERROR(_xll.qlRateHelperQuoteValue($O6,Trigger),"--")</f>
        <v>-2.3764766800000001E-3</v>
      </c>
      <c r="R6" s="98" t="b">
        <v>1</v>
      </c>
      <c r="S6" s="95">
        <v>10</v>
      </c>
      <c r="T6" s="95">
        <v>1</v>
      </c>
      <c r="U6" s="100">
        <f>IFERROR(_xll.qlRateHelperEarliestDate(O6,Trigger),"--")</f>
        <v>42748</v>
      </c>
      <c r="V6" s="100">
        <f>IFERROR(_xll.qlRateHelperPillarDate(O6,Trigger),"--")</f>
        <v>42755</v>
      </c>
      <c r="X6" s="4" t="str">
        <f t="shared" si="2"/>
        <v>DP</v>
      </c>
      <c r="Y6" s="4" t="str">
        <v>obj_002b3</v>
      </c>
      <c r="Z6" s="4" t="str">
        <f>IFERROR(_xll.qlRateHelperQuoteName(Y6,Trigger),"")</f>
        <v>EUR6MDP3W_Shifted</v>
      </c>
      <c r="AA6" s="73">
        <f>IFERROR(_xll.qlRateHelperRate(Y6,Trigger),"")</f>
        <v>-2.3626544700000003E-3</v>
      </c>
      <c r="AB6" s="105" t="str">
        <f>IF(ISERROR(_xll.qlSwapRateHelperSpread($Y6)),IF(ISERROR(_xll.qlFuturesRateHelperConvexityAdjustment($Y6)),"",_xll.qlFuturesRateHelperConvexityAdjustment($Y6)),_xll.qlSwapRateHelperSpread($Y6))</f>
        <v/>
      </c>
      <c r="AC6" s="5">
        <f>IFERROR(_xll.qlRateHelperEarliestDate(Y6,Trigger),"")</f>
        <v>42748</v>
      </c>
      <c r="AD6" s="5">
        <f>IFERROR(_xll.qlRateHelperPillarDate(Y6,Trigger),"")</f>
        <v>42769</v>
      </c>
      <c r="AE6" s="73">
        <v>-2.3968433138338656E-3</v>
      </c>
      <c r="AH6" s="108" t="s">
        <v>89</v>
      </c>
      <c r="AL6" s="110" t="s">
        <v>90</v>
      </c>
    </row>
    <row r="7" spans="1:40" ht="11.25" customHeight="1" x14ac:dyDescent="0.2">
      <c r="A7" s="62" t="str">
        <f>Quote!AF8</f>
        <v>DP</v>
      </c>
      <c r="B7" s="63" t="str">
        <f>Quote!AG8</f>
        <v>2W</v>
      </c>
      <c r="C7" s="65" t="s">
        <v>37</v>
      </c>
      <c r="D7" s="125"/>
      <c r="E7" s="125"/>
      <c r="F7" s="125"/>
      <c r="G7" s="64" t="str">
        <f>Euribor!E6</f>
        <v>Euribor2WMX#0006</v>
      </c>
      <c r="H7" s="122" t="str">
        <f>IF(ISBLANK(Quote!AI8),"",Quote!AI8)</f>
        <v>EUR6MDP2W=#0006</v>
      </c>
      <c r="I7" s="122" t="str">
        <f>_xll.qlCompositeQuote(Currency&amp;"6M"&amp;A7&amp;B7&amp;"_Shifted",H7,IF(J7=0,BumpValue,J7),"+",Permanent,Trigger,ObjectOverwrite)</f>
        <v>EUR6MDP2W_Shifted#0006</v>
      </c>
      <c r="J7" s="122">
        <v>0</v>
      </c>
      <c r="K7" s="125"/>
      <c r="L7" s="67" t="str">
        <f>_xll.qlDepositRateHelper(,IF(Sensitivity,I7,H7),G7,Permanent,Trigger,ObjectOverwrite)</f>
        <v>obj_002c8#0006</v>
      </c>
      <c r="M7" s="51"/>
      <c r="N7" s="10" t="str">
        <f t="shared" si="0"/>
        <v>DP</v>
      </c>
      <c r="O7" s="95" t="str">
        <f t="shared" si="1"/>
        <v>obj_002c8#0006</v>
      </c>
      <c r="P7" s="146" t="str">
        <f>IFERROR(_xll.qlRateHelperQuoteName(O7,Trigger),"--")</f>
        <v>EUR6MDP2W_Shifted</v>
      </c>
      <c r="Q7" s="99">
        <f>IFERROR(_xll.qlRateHelperQuoteValue($O7,Trigger),"--")</f>
        <v>-2.37642177E-3</v>
      </c>
      <c r="R7" s="98" t="b">
        <v>1</v>
      </c>
      <c r="S7" s="95">
        <v>10</v>
      </c>
      <c r="T7" s="95">
        <v>1</v>
      </c>
      <c r="U7" s="100">
        <f>IFERROR(_xll.qlRateHelperEarliestDate(O7,Trigger),"--")</f>
        <v>42748</v>
      </c>
      <c r="V7" s="100">
        <f>IFERROR(_xll.qlRateHelperPillarDate(O7,Trigger),"--")</f>
        <v>42762</v>
      </c>
      <c r="X7" s="4" t="str">
        <f t="shared" si="2"/>
        <v>DP</v>
      </c>
      <c r="Y7" s="4" t="str">
        <v>obj_002ab</v>
      </c>
      <c r="Z7" s="4" t="str">
        <f>IFERROR(_xll.qlRateHelperQuoteName(Y7,Trigger),"")</f>
        <v>EUR6MDP1M_Shifted</v>
      </c>
      <c r="AA7" s="73">
        <f>IFERROR(_xll.qlRateHelperRate(Y7,Trigger),"")</f>
        <v>-2.3670000000000002E-3</v>
      </c>
      <c r="AB7" s="105" t="str">
        <f>IF(ISERROR(_xll.qlSwapRateHelperSpread($Y7)),IF(ISERROR(_xll.qlFuturesRateHelperConvexityAdjustment($Y7)),"",_xll.qlFuturesRateHelperConvexityAdjustment($Y7)),_xll.qlSwapRateHelperSpread($Y7))</f>
        <v/>
      </c>
      <c r="AC7" s="5">
        <f>IFERROR(_xll.qlRateHelperEarliestDate(Y7,Trigger),"")</f>
        <v>42748</v>
      </c>
      <c r="AD7" s="5">
        <f>IFERROR(_xll.qlRateHelperPillarDate(Y7,Trigger),"")</f>
        <v>42779</v>
      </c>
      <c r="AE7" s="73">
        <v>-2.4006904803177092E-3</v>
      </c>
    </row>
    <row r="8" spans="1:40" ht="11.25" customHeight="1" x14ac:dyDescent="0.2">
      <c r="A8" s="62" t="str">
        <f>Quote!AF9</f>
        <v>DP</v>
      </c>
      <c r="B8" s="63" t="str">
        <f>Quote!AG9</f>
        <v>3W</v>
      </c>
      <c r="C8" s="65" t="s">
        <v>38</v>
      </c>
      <c r="D8" s="125"/>
      <c r="E8" s="125"/>
      <c r="F8" s="125"/>
      <c r="G8" s="64" t="str">
        <f>_xll.qlEuribor(,C8,,,Trigger)</f>
        <v>obj_00105#0006</v>
      </c>
      <c r="H8" s="122" t="str">
        <f>IF(ISBLANK(Quote!AI9),"",Quote!AI9)</f>
        <v>EUR6MDP3W=#0006</v>
      </c>
      <c r="I8" s="122" t="str">
        <f>_xll.qlCompositeQuote(Currency&amp;"6M"&amp;A8&amp;B8&amp;"_Shifted",H8,IF(J8=0,BumpValue,J8),"+",Permanent,Trigger,ObjectOverwrite)</f>
        <v>EUR6MDP3W_Shifted#0006</v>
      </c>
      <c r="J8" s="122">
        <v>0</v>
      </c>
      <c r="K8" s="125"/>
      <c r="L8" s="67" t="str">
        <f>_xll.qlDepositRateHelper(,IF(Sensitivity,I8,H8),G8,Permanent,Trigger,ObjectOverwrite)</f>
        <v>obj_002b3#0006</v>
      </c>
      <c r="M8" s="51"/>
      <c r="N8" s="10" t="str">
        <f t="shared" si="0"/>
        <v>DP</v>
      </c>
      <c r="O8" s="95" t="str">
        <f t="shared" si="1"/>
        <v>obj_002b3#0006</v>
      </c>
      <c r="P8" s="146" t="str">
        <f>IFERROR(_xll.qlRateHelperQuoteName(O8,Trigger),"--")</f>
        <v>EUR6MDP3W_Shifted</v>
      </c>
      <c r="Q8" s="99">
        <f>IFERROR(_xll.qlRateHelperQuoteValue($O8,Trigger),"--")</f>
        <v>-2.3626544700000003E-3</v>
      </c>
      <c r="R8" s="98" t="b">
        <v>1</v>
      </c>
      <c r="S8" s="95">
        <v>10</v>
      </c>
      <c r="T8" s="95">
        <v>1</v>
      </c>
      <c r="U8" s="100">
        <f>IFERROR(_xll.qlRateHelperEarliestDate(O8,Trigger),"--")</f>
        <v>42748</v>
      </c>
      <c r="V8" s="100">
        <f>IFERROR(_xll.qlRateHelperPillarDate(O8,Trigger),"--")</f>
        <v>42769</v>
      </c>
      <c r="X8" s="4" t="str">
        <f t="shared" si="2"/>
        <v>DP</v>
      </c>
      <c r="Y8" s="4" t="str">
        <v>obj_002e3</v>
      </c>
      <c r="Z8" s="4" t="str">
        <f>IFERROR(_xll.qlRateHelperQuoteName(Y8,Trigger),"")</f>
        <v>EUR6MDP2M_Shifted</v>
      </c>
      <c r="AA8" s="73">
        <f>IFERROR(_xll.qlRateHelperRate(Y8,Trigger),"")</f>
        <v>-2.356E-3</v>
      </c>
      <c r="AB8" s="105" t="str">
        <f>IF(ISERROR(_xll.qlSwapRateHelperSpread($Y8)),IF(ISERROR(_xll.qlFuturesRateHelperConvexityAdjustment($Y8)),"",_xll.qlFuturesRateHelperConvexityAdjustment($Y8)),_xll.qlSwapRateHelperSpread($Y8))</f>
        <v/>
      </c>
      <c r="AC8" s="5">
        <f>IFERROR(_xll.qlRateHelperEarliestDate(Y8,Trigger),"")</f>
        <v>42748</v>
      </c>
      <c r="AD8" s="5">
        <f>IFERROR(_xll.qlRateHelperPillarDate(Y8,Trigger),"")</f>
        <v>42807</v>
      </c>
      <c r="AE8" s="73">
        <v>-2.3898509023031239E-3</v>
      </c>
      <c r="AH8" s="108" t="s">
        <v>188</v>
      </c>
      <c r="AL8" s="384" t="b">
        <v>1</v>
      </c>
    </row>
    <row r="9" spans="1:40" ht="11.25" customHeight="1" x14ac:dyDescent="0.2">
      <c r="A9" s="62" t="str">
        <f>Quote!AF10</f>
        <v>DP</v>
      </c>
      <c r="B9" s="63" t="str">
        <f>Quote!AG10</f>
        <v>1M</v>
      </c>
      <c r="C9" s="65" t="s">
        <v>2</v>
      </c>
      <c r="D9" s="125"/>
      <c r="E9" s="125"/>
      <c r="F9" s="125"/>
      <c r="G9" s="64" t="str">
        <f>Euribor!E7</f>
        <v>Euribor1MMX#0006</v>
      </c>
      <c r="H9" s="122" t="str">
        <f>IF(ISBLANK(Quote!AI10),"",Quote!AI10)</f>
        <v>EUR6MDP1M=#0006</v>
      </c>
      <c r="I9" s="122" t="str">
        <f>_xll.qlCompositeQuote(Currency&amp;"6M"&amp;A9&amp;B9&amp;"_Shifted",H9,IF(J9=0,BumpValue,J9),"+",Permanent,Trigger,ObjectOverwrite)</f>
        <v>EUR6MDP1M_Shifted#0006</v>
      </c>
      <c r="J9" s="122">
        <v>0</v>
      </c>
      <c r="K9" s="125"/>
      <c r="L9" s="67" t="str">
        <f>_xll.qlDepositRateHelper(,IF(Sensitivity,I9,H9),G9,Permanent,Trigger,ObjectOverwrite)</f>
        <v>obj_002ab#0006</v>
      </c>
      <c r="M9" s="51"/>
      <c r="N9" s="10" t="str">
        <f t="shared" si="0"/>
        <v>DP</v>
      </c>
      <c r="O9" s="95" t="str">
        <f t="shared" si="1"/>
        <v>obj_002ab#0006</v>
      </c>
      <c r="P9" s="146" t="str">
        <f>IFERROR(_xll.qlRateHelperQuoteName(O9,Trigger),"--")</f>
        <v>EUR6MDP1M_Shifted</v>
      </c>
      <c r="Q9" s="99">
        <f>IFERROR(_xll.qlRateHelperQuoteValue($O9,Trigger),"--")</f>
        <v>-2.3670000000000002E-3</v>
      </c>
      <c r="R9" s="98" t="b">
        <v>1</v>
      </c>
      <c r="S9" s="95">
        <v>10</v>
      </c>
      <c r="T9" s="95">
        <v>1</v>
      </c>
      <c r="U9" s="100">
        <f>IFERROR(_xll.qlRateHelperEarliestDate(O9,Trigger),"--")</f>
        <v>42748</v>
      </c>
      <c r="V9" s="100">
        <f>IFERROR(_xll.qlRateHelperPillarDate(O9,Trigger),"--")</f>
        <v>42779</v>
      </c>
      <c r="X9" s="4" t="str">
        <f t="shared" si="2"/>
        <v>DP</v>
      </c>
      <c r="Y9" s="4" t="str">
        <v>obj_002b5</v>
      </c>
      <c r="Z9" s="4" t="str">
        <f>IFERROR(_xll.qlRateHelperQuoteName(Y9,Trigger),"")</f>
        <v>EUR6MDP3M_Shifted</v>
      </c>
      <c r="AA9" s="73">
        <f>IFERROR(_xll.qlRateHelperRate(Y9,Trigger),"")</f>
        <v>-2.3580000000000003E-3</v>
      </c>
      <c r="AB9" s="105" t="str">
        <f>IF(ISERROR(_xll.qlSwapRateHelperSpread($Y9)),IF(ISERROR(_xll.qlFuturesRateHelperConvexityAdjustment($Y9)),"",_xll.qlFuturesRateHelperConvexityAdjustment($Y9)),_xll.qlSwapRateHelperSpread($Y9))</f>
        <v/>
      </c>
      <c r="AC9" s="5">
        <f>IFERROR(_xll.qlRateHelperEarliestDate(Y9,Trigger),"")</f>
        <v>42748</v>
      </c>
      <c r="AD9" s="5">
        <f>IFERROR(_xll.qlRateHelperPillarDate(Y9,Trigger),"")</f>
        <v>42838</v>
      </c>
      <c r="AE9" s="73">
        <v>-2.3918480813772789E-3</v>
      </c>
      <c r="AI9" s="49" t="s">
        <v>127</v>
      </c>
    </row>
    <row r="10" spans="1:40" ht="11.25" customHeight="1" x14ac:dyDescent="0.2">
      <c r="A10" s="62" t="str">
        <f>Quote!AF11</f>
        <v>DP</v>
      </c>
      <c r="B10" s="63" t="str">
        <f>Quote!AG11</f>
        <v>2M</v>
      </c>
      <c r="C10" s="65" t="s">
        <v>39</v>
      </c>
      <c r="D10" s="125"/>
      <c r="E10" s="125"/>
      <c r="F10" s="125"/>
      <c r="G10" s="64" t="str">
        <f>Euribor!E8</f>
        <v>Euribor2MMX#0006</v>
      </c>
      <c r="H10" s="122" t="str">
        <f>IF(ISBLANK(Quote!AI11),"",Quote!AI11)</f>
        <v>EUR6MDP2M=#0006</v>
      </c>
      <c r="I10" s="122" t="str">
        <f>_xll.qlCompositeQuote(Currency&amp;"6M"&amp;A10&amp;B10&amp;"_Shifted",H10,IF(J10=0,BumpValue,J10),"+",Permanent,Trigger,ObjectOverwrite)</f>
        <v>EUR6MDP2M_Shifted#0006</v>
      </c>
      <c r="J10" s="122">
        <v>0</v>
      </c>
      <c r="K10" s="125"/>
      <c r="L10" s="67" t="str">
        <f>_xll.qlDepositRateHelper(,IF(Sensitivity,I10,H10),G10,Permanent,Trigger,ObjectOverwrite)</f>
        <v>obj_002e3#0006</v>
      </c>
      <c r="M10" s="51"/>
      <c r="N10" s="10" t="str">
        <f t="shared" si="0"/>
        <v>DP</v>
      </c>
      <c r="O10" s="95" t="str">
        <f t="shared" si="1"/>
        <v>obj_002e3#0006</v>
      </c>
      <c r="P10" s="146" t="str">
        <f>IFERROR(_xll.qlRateHelperQuoteName(O10,Trigger),"--")</f>
        <v>EUR6MDP2M_Shifted</v>
      </c>
      <c r="Q10" s="99">
        <f>IFERROR(_xll.qlRateHelperQuoteValue($O10,Trigger),"--")</f>
        <v>-2.356E-3</v>
      </c>
      <c r="R10" s="98" t="b">
        <v>1</v>
      </c>
      <c r="S10" s="95">
        <v>10</v>
      </c>
      <c r="T10" s="95">
        <v>1</v>
      </c>
      <c r="U10" s="100">
        <f>IFERROR(_xll.qlRateHelperEarliestDate(O10,Trigger),"--")</f>
        <v>42748</v>
      </c>
      <c r="V10" s="100">
        <f>IFERROR(_xll.qlRateHelperPillarDate(O10,Trigger),"--")</f>
        <v>42807</v>
      </c>
      <c r="X10" s="4" t="str">
        <f t="shared" si="2"/>
        <v>DP</v>
      </c>
      <c r="Y10" s="4" t="str">
        <v>obj_002b1</v>
      </c>
      <c r="Z10" s="4" t="str">
        <f>IFERROR(_xll.qlRateHelperQuoteName(Y10,Trigger),"")</f>
        <v>EUR6MDP4M_Shifted</v>
      </c>
      <c r="AA10" s="73">
        <f>IFERROR(_xll.qlRateHelperRate(Y10,Trigger),"")</f>
        <v>-2.3650000000000003E-3</v>
      </c>
      <c r="AB10" s="105" t="str">
        <f>IF(ISERROR(_xll.qlSwapRateHelperSpread($Y10)),IF(ISERROR(_xll.qlFuturesRateHelperConvexityAdjustment($Y10)),"",_xll.qlFuturesRateHelperConvexityAdjustment($Y10)),_xll.qlSwapRateHelperSpread($Y10))</f>
        <v/>
      </c>
      <c r="AC10" s="5">
        <f>IFERROR(_xll.qlRateHelperEarliestDate(Y10,Trigger),"")</f>
        <v>42748</v>
      </c>
      <c r="AD10" s="5">
        <f>IFERROR(_xll.qlRateHelperPillarDate(Y10,Trigger),"")</f>
        <v>42870</v>
      </c>
      <c r="AE10" s="73">
        <v>-2.3989817098614905E-3</v>
      </c>
      <c r="AG10" s="77" t="s">
        <v>121</v>
      </c>
      <c r="AH10" s="77" t="s">
        <v>122</v>
      </c>
      <c r="AI10" s="77" t="s">
        <v>123</v>
      </c>
      <c r="AJ10" s="77" t="s">
        <v>136</v>
      </c>
      <c r="AK10" s="77" t="s">
        <v>124</v>
      </c>
      <c r="AL10" s="77" t="s">
        <v>137</v>
      </c>
      <c r="AM10" s="77" t="s">
        <v>125</v>
      </c>
      <c r="AN10" s="77" t="s">
        <v>126</v>
      </c>
    </row>
    <row r="11" spans="1:40" ht="11.25" customHeight="1" x14ac:dyDescent="0.2">
      <c r="A11" s="62" t="str">
        <f>Quote!AF12</f>
        <v>DP</v>
      </c>
      <c r="B11" s="63" t="str">
        <f>Quote!AG12</f>
        <v>3M</v>
      </c>
      <c r="C11" s="65" t="s">
        <v>0</v>
      </c>
      <c r="D11" s="125"/>
      <c r="E11" s="125"/>
      <c r="F11" s="125"/>
      <c r="G11" s="64" t="str">
        <f>Euribor!E9</f>
        <v>Euribor3MMX#0006</v>
      </c>
      <c r="H11" s="122" t="str">
        <f>IF(ISBLANK(Quote!AI12),"",Quote!AI12)</f>
        <v>EUR6MDP3M=#0006</v>
      </c>
      <c r="I11" s="122" t="str">
        <f>_xll.qlCompositeQuote(Currency&amp;"6M"&amp;A11&amp;B11&amp;"_Shifted",H11,IF(J11=0,BumpValue,J11),"+",Permanent,Trigger,ObjectOverwrite)</f>
        <v>EUR6MDP3M_Shifted#0006</v>
      </c>
      <c r="J11" s="122">
        <v>0</v>
      </c>
      <c r="K11" s="125"/>
      <c r="L11" s="67" t="str">
        <f>_xll.qlDepositRateHelper(,IF(Sensitivity,I11,H11),G11,Permanent,Trigger,ObjectOverwrite)</f>
        <v>obj_002b5#0006</v>
      </c>
      <c r="M11" s="51"/>
      <c r="N11" s="10" t="str">
        <f t="shared" si="0"/>
        <v>DP</v>
      </c>
      <c r="O11" s="95" t="str">
        <f t="shared" si="1"/>
        <v>obj_002b5#0006</v>
      </c>
      <c r="P11" s="146" t="str">
        <f>IFERROR(_xll.qlRateHelperQuoteName(O11,Trigger),"--")</f>
        <v>EUR6MDP3M_Shifted</v>
      </c>
      <c r="Q11" s="99">
        <f>IFERROR(_xll.qlRateHelperQuoteValue($O11,Trigger),"--")</f>
        <v>-2.3580000000000003E-3</v>
      </c>
      <c r="R11" s="98" t="b">
        <v>1</v>
      </c>
      <c r="S11" s="95">
        <v>10</v>
      </c>
      <c r="T11" s="95">
        <v>1</v>
      </c>
      <c r="U11" s="100">
        <f>IFERROR(_xll.qlRateHelperEarliestDate(O11,Trigger),"--")</f>
        <v>42748</v>
      </c>
      <c r="V11" s="100">
        <f>IFERROR(_xll.qlRateHelperPillarDate(O11,Trigger),"--")</f>
        <v>42838</v>
      </c>
      <c r="X11" s="4" t="str">
        <f t="shared" si="2"/>
        <v>DP</v>
      </c>
      <c r="Y11" s="4" t="str">
        <v>obj_002d0</v>
      </c>
      <c r="Z11" s="4" t="str">
        <f>IFERROR(_xll.qlRateHelperQuoteName(Y11,Trigger),"")</f>
        <v>EUR6MDP5M_Shifted</v>
      </c>
      <c r="AA11" s="73">
        <f>IFERROR(_xll.qlRateHelperRate(Y11,Trigger),"")</f>
        <v>-2.3600000000000001E-3</v>
      </c>
      <c r="AB11" s="105" t="str">
        <f>IF(ISERROR(_xll.qlSwapRateHelperSpread($Y11)),IF(ISERROR(_xll.qlFuturesRateHelperConvexityAdjustment($Y11)),"",_xll.qlFuturesRateHelperConvexityAdjustment($Y11)),_xll.qlSwapRateHelperSpread($Y11))</f>
        <v/>
      </c>
      <c r="AC11" s="5">
        <f>IFERROR(_xll.qlRateHelperEarliestDate(Y11,Trigger),"")</f>
        <v>42748</v>
      </c>
      <c r="AD11" s="5">
        <f>IFERROR(_xll.qlRateHelperPillarDate(Y11,Trigger),"")</f>
        <v>42899</v>
      </c>
      <c r="AE11" s="73">
        <v>-2.3941664612969287E-3</v>
      </c>
      <c r="AG11" s="159">
        <v>1</v>
      </c>
      <c r="AH11" s="160">
        <f>_xll.qlCalendarEndOfMonth(Calendar,Settlementdate,Trigger)</f>
        <v>42766</v>
      </c>
      <c r="AI11" s="159" t="str">
        <f t="shared" ref="AI11:AI23" si="3">Currency&amp;$AI$9&amp;AG11&amp;JumpSuffix&amp;QuoteSuffix</f>
        <v>EURJump1_SYNTHON_Quote</v>
      </c>
      <c r="AJ11" s="189">
        <f>_xll.qlDayCounterYearFraction("actual/360",AH11,_xll.qlCalendarAdvance(Calendar,AH11,"1D",,,Trigger))</f>
        <v>2.7777777777777779E-3</v>
      </c>
      <c r="AK11" s="161" t="e">
        <f>IF(_xll.qlQuoteIsValid(AI11,Trigger),_xll.qlQuoteValue(AI11,Trigger),1)</f>
        <v>#NUM!</v>
      </c>
      <c r="AL11" s="192" t="e">
        <f>-LN(AK11)/AJ11</f>
        <v>#NUM!</v>
      </c>
      <c r="AM11" s="195">
        <v>0</v>
      </c>
      <c r="AN11" s="161">
        <f>IF(ISBLANK(AM11),AI11,EXP(-AM11*AJ11))</f>
        <v>1</v>
      </c>
    </row>
    <row r="12" spans="1:40" ht="11.25" customHeight="1" x14ac:dyDescent="0.2">
      <c r="A12" s="62" t="str">
        <f>Quote!AF13</f>
        <v>DP</v>
      </c>
      <c r="B12" s="63" t="str">
        <f>Quote!AG13</f>
        <v>4M</v>
      </c>
      <c r="C12" s="65" t="s">
        <v>40</v>
      </c>
      <c r="D12" s="125"/>
      <c r="E12" s="125"/>
      <c r="F12" s="125"/>
      <c r="G12" s="64" t="str">
        <f>_xll.qlEuribor(,C12,,,Trigger)</f>
        <v>obj_00032#0006</v>
      </c>
      <c r="H12" s="122" t="str">
        <f>IF(ISBLANK(Quote!AI13),"",Quote!AI13)</f>
        <v>EUR6MDP4M=#0006</v>
      </c>
      <c r="I12" s="122" t="str">
        <f>_xll.qlCompositeQuote(Currency&amp;"6M"&amp;A12&amp;B12&amp;"_Shifted",H12,IF(J12=0,BumpValue,J12),"+",Permanent,Trigger,ObjectOverwrite)</f>
        <v>EUR6MDP4M_Shifted#0006</v>
      </c>
      <c r="J12" s="122">
        <v>0</v>
      </c>
      <c r="K12" s="125"/>
      <c r="L12" s="67" t="str">
        <f>_xll.qlDepositRateHelper(,IF(Sensitivity,I12,H12),G12,Permanent,Trigger,ObjectOverwrite)</f>
        <v>obj_002b1#0006</v>
      </c>
      <c r="M12" s="51" t="s">
        <v>34</v>
      </c>
      <c r="N12" s="10" t="str">
        <f t="shared" si="0"/>
        <v>DP</v>
      </c>
      <c r="O12" s="95" t="str">
        <f t="shared" si="1"/>
        <v>obj_002b1#0006</v>
      </c>
      <c r="P12" s="146" t="str">
        <f>IFERROR(_xll.qlRateHelperQuoteName(O12,Trigger),"--")</f>
        <v>EUR6MDP4M_Shifted</v>
      </c>
      <c r="Q12" s="99">
        <f>IFERROR(_xll.qlRateHelperQuoteValue($O12,Trigger),"--")</f>
        <v>-2.3650000000000003E-3</v>
      </c>
      <c r="R12" s="98" t="b">
        <v>1</v>
      </c>
      <c r="S12" s="95">
        <v>10</v>
      </c>
      <c r="T12" s="95">
        <v>1</v>
      </c>
      <c r="U12" s="100">
        <f>IFERROR(_xll.qlRateHelperEarliestDate(O12,Trigger),"--")</f>
        <v>42748</v>
      </c>
      <c r="V12" s="100">
        <f>IFERROR(_xll.qlRateHelperPillarDate(O12,Trigger),"--")</f>
        <v>42870</v>
      </c>
      <c r="X12" s="4" t="str">
        <f t="shared" si="2"/>
        <v>DP</v>
      </c>
      <c r="Y12" s="4" t="str">
        <v>obj_002e0</v>
      </c>
      <c r="Z12" s="4" t="str">
        <f>IFERROR(_xll.qlRateHelperQuoteName(Y12,Trigger),"")</f>
        <v>EUR6MDP6M_Shifted</v>
      </c>
      <c r="AA12" s="73">
        <f>IFERROR(_xll.qlRateHelperRate(Y12,Trigger),"")</f>
        <v>-2.3520000000000004E-3</v>
      </c>
      <c r="AB12" s="105" t="str">
        <f>IF(ISERROR(_xll.qlSwapRateHelperSpread($Y12)),IF(ISERROR(_xll.qlFuturesRateHelperConvexityAdjustment($Y12)),"",_xll.qlFuturesRateHelperConvexityAdjustment($Y12)),_xll.qlSwapRateHelperSpread($Y12))</f>
        <v/>
      </c>
      <c r="AC12" s="5">
        <f>IFERROR(_xll.qlRateHelperEarliestDate(Y12,Trigger),"")</f>
        <v>42748</v>
      </c>
      <c r="AD12" s="5">
        <f>IFERROR(_xll.qlRateHelperPillarDate(Y12,Trigger),"")</f>
        <v>42929</v>
      </c>
      <c r="AE12" s="73">
        <v>-2.3863341598167531E-3</v>
      </c>
      <c r="AG12" s="162">
        <v>2</v>
      </c>
      <c r="AH12" s="163">
        <f>_xll.qlCalendarEndOfMonth(Calendar,_xll.qlCalendarAdvance(Calendar,AH11,"1m","mf",TRUE),Trigger)</f>
        <v>42794</v>
      </c>
      <c r="AI12" s="162" t="str">
        <f t="shared" si="3"/>
        <v>EURJump2_SYNTHON_Quote</v>
      </c>
      <c r="AJ12" s="190">
        <f>_xll.qlDayCounterYearFraction("actual/360",AH12,_xll.qlCalendarAdvance(Calendar,AH12,"1D",,,Trigger))</f>
        <v>2.7777777777777779E-3</v>
      </c>
      <c r="AK12" s="164" t="e">
        <f>IF(_xll.qlQuoteIsValid(AI12,Trigger),_xll.qlQuoteValue(AI12,Trigger),1)</f>
        <v>#NUM!</v>
      </c>
      <c r="AL12" s="193" t="e">
        <f t="shared" ref="AL12:AL23" si="4">-LN(AK12)/AJ12</f>
        <v>#NUM!</v>
      </c>
      <c r="AM12" s="196">
        <v>0</v>
      </c>
      <c r="AN12" s="164">
        <f t="shared" ref="AN12:AN23" si="5">IF(ISBLANK(AM12),AI12,EXP(-AM12*AJ12))</f>
        <v>1</v>
      </c>
    </row>
    <row r="13" spans="1:40" ht="11.25" customHeight="1" x14ac:dyDescent="0.2">
      <c r="A13" s="62" t="str">
        <f>Quote!AF14</f>
        <v>DP</v>
      </c>
      <c r="B13" s="63" t="str">
        <f>Quote!AG14</f>
        <v>5M</v>
      </c>
      <c r="C13" s="65" t="s">
        <v>41</v>
      </c>
      <c r="D13" s="125"/>
      <c r="E13" s="125"/>
      <c r="F13" s="125"/>
      <c r="G13" s="64" t="str">
        <f>_xll.qlEuribor(,C13,,,Trigger)</f>
        <v>obj_00039#0006</v>
      </c>
      <c r="H13" s="122" t="str">
        <f>IF(ISBLANK(Quote!AI14),"",Quote!AI14)</f>
        <v>EUR6MDP5M=#0006</v>
      </c>
      <c r="I13" s="122" t="str">
        <f>_xll.qlCompositeQuote(Currency&amp;"6M"&amp;A13&amp;B13&amp;"_Shifted",H13,IF(J13=0,BumpValue,J13),"+",Permanent,Trigger,ObjectOverwrite)</f>
        <v>EUR6MDP5M_Shifted#0006</v>
      </c>
      <c r="J13" s="122">
        <v>0</v>
      </c>
      <c r="K13" s="125"/>
      <c r="L13" s="67" t="str">
        <f>_xll.qlDepositRateHelper(,IF(Sensitivity,I13,H13),G13,Permanent,Trigger,ObjectOverwrite)</f>
        <v>obj_002d0#0006</v>
      </c>
      <c r="M13" s="51"/>
      <c r="N13" s="10" t="str">
        <f t="shared" si="0"/>
        <v>DP</v>
      </c>
      <c r="O13" s="95" t="str">
        <f t="shared" si="1"/>
        <v>obj_002d0#0006</v>
      </c>
      <c r="P13" s="146" t="str">
        <f>IFERROR(_xll.qlRateHelperQuoteName(O13,Trigger),"--")</f>
        <v>EUR6MDP5M_Shifted</v>
      </c>
      <c r="Q13" s="99">
        <f>IFERROR(_xll.qlRateHelperQuoteValue($O13,Trigger),"--")</f>
        <v>-2.3600000000000001E-3</v>
      </c>
      <c r="R13" s="98" t="b">
        <v>1</v>
      </c>
      <c r="S13" s="95">
        <v>10</v>
      </c>
      <c r="T13" s="95">
        <v>1</v>
      </c>
      <c r="U13" s="100">
        <f>IFERROR(_xll.qlRateHelperEarliestDate(O13,Trigger),"--")</f>
        <v>42748</v>
      </c>
      <c r="V13" s="100">
        <f>IFERROR(_xll.qlRateHelperPillarDate(O13,Trigger),"--")</f>
        <v>42899</v>
      </c>
      <c r="X13" s="4" t="str">
        <f t="shared" si="2"/>
        <v>FRA</v>
      </c>
      <c r="Y13" s="4" t="str">
        <v>obj_002ec</v>
      </c>
      <c r="Z13" s="4" t="str">
        <f>IFERROR(_xll.qlRateHelperQuoteName(Y13,Trigger),"")</f>
        <v>EUR6MFRA1x7F_Shifted</v>
      </c>
      <c r="AA13" s="73">
        <f>IFERROR(_xll.qlRateHelperRate(Y13,Trigger),"")</f>
        <v>-2.3400000000000001E-3</v>
      </c>
      <c r="AB13" s="105" t="str">
        <f>IF(ISERROR(_xll.qlSwapRateHelperSpread($Y13)),IF(ISERROR(_xll.qlFuturesRateHelperConvexityAdjustment($Y13)),"",_xll.qlFuturesRateHelperConvexityAdjustment($Y13)),_xll.qlSwapRateHelperSpread($Y13))</f>
        <v/>
      </c>
      <c r="AC13" s="5">
        <f>IFERROR(_xll.qlRateHelperEarliestDate(Y13,Trigger),"")</f>
        <v>42779</v>
      </c>
      <c r="AD13" s="5">
        <f>IFERROR(_xll.qlRateHelperPillarDate(Y13,Trigger),"")</f>
        <v>42961</v>
      </c>
      <c r="AE13" s="73">
        <v>-2.3780157869892553E-3</v>
      </c>
      <c r="AG13" s="162">
        <v>3</v>
      </c>
      <c r="AH13" s="163">
        <f>_xll.qlCalendarEndOfMonth(Calendar,_xll.qlCalendarAdvance(Calendar,AH12,"1m","mf",TRUE),Trigger)</f>
        <v>42825</v>
      </c>
      <c r="AI13" s="162" t="str">
        <f t="shared" si="3"/>
        <v>EURJump3_SYNTHON_Quote</v>
      </c>
      <c r="AJ13" s="190">
        <f>_xll.qlDayCounterYearFraction("actual/360",AH13,_xll.qlCalendarAdvance(Calendar,AH13,"1D",,,Trigger))</f>
        <v>8.3333333333333332E-3</v>
      </c>
      <c r="AK13" s="164" t="e">
        <f>IF(_xll.qlQuoteIsValid(AI13,Trigger),_xll.qlQuoteValue(AI13,Trigger),1)</f>
        <v>#NUM!</v>
      </c>
      <c r="AL13" s="193" t="e">
        <f t="shared" si="4"/>
        <v>#NUM!</v>
      </c>
      <c r="AM13" s="196">
        <v>0</v>
      </c>
      <c r="AN13" s="164">
        <f t="shared" si="5"/>
        <v>1</v>
      </c>
    </row>
    <row r="14" spans="1:40" ht="11.25" customHeight="1" x14ac:dyDescent="0.2">
      <c r="A14" s="221" t="str">
        <f>Quote!AF15</f>
        <v>DP</v>
      </c>
      <c r="B14" s="280" t="str">
        <f>Quote!AG15</f>
        <v>6M</v>
      </c>
      <c r="C14" s="281" t="s">
        <v>3</v>
      </c>
      <c r="D14" s="278"/>
      <c r="E14" s="278"/>
      <c r="F14" s="278"/>
      <c r="G14" s="223" t="str">
        <f>Euribor!E10</f>
        <v>Euribor6MMX#0006</v>
      </c>
      <c r="H14" s="336" t="str">
        <f>IF(ISBLANK(Quote!AI15),"",Quote!AI15)</f>
        <v>EUR6MDP6M=#0006</v>
      </c>
      <c r="I14" s="336" t="str">
        <f>_xll.qlCompositeQuote(Currency&amp;"6M"&amp;A14&amp;B14&amp;"_Shifted",H14,IF(J14=0,BumpValue,J14),"+",Permanent,Trigger,ObjectOverwrite)</f>
        <v>EUR6MDP6M_Shifted#0006</v>
      </c>
      <c r="J14" s="336">
        <v>0</v>
      </c>
      <c r="K14" s="278"/>
      <c r="L14" s="225" t="str">
        <f>_xll.qlDepositRateHelper(,IF(Sensitivity,I14,H14),G14,Permanent,Trigger,ObjectOverwrite)</f>
        <v>obj_002e0#0006</v>
      </c>
      <c r="M14" s="51"/>
      <c r="N14" s="10" t="str">
        <f t="shared" si="0"/>
        <v>DP</v>
      </c>
      <c r="O14" s="95" t="str">
        <f t="shared" si="1"/>
        <v>obj_002e0#0006</v>
      </c>
      <c r="P14" s="146" t="str">
        <f>IFERROR(_xll.qlRateHelperQuoteName(O14,Trigger),"--")</f>
        <v>EUR6MDP6M_Shifted</v>
      </c>
      <c r="Q14" s="99">
        <f>IFERROR(_xll.qlRateHelperQuoteValue($O14,Trigger),"--")</f>
        <v>-2.3520000000000004E-3</v>
      </c>
      <c r="R14" s="98" t="b">
        <v>1</v>
      </c>
      <c r="S14" s="95">
        <v>10</v>
      </c>
      <c r="T14" s="95">
        <v>1</v>
      </c>
      <c r="U14" s="100">
        <f>IFERROR(_xll.qlRateHelperEarliestDate(O14,Trigger),"--")</f>
        <v>42748</v>
      </c>
      <c r="V14" s="100">
        <f>IFERROR(_xll.qlRateHelperPillarDate(O14,Trigger),"--")</f>
        <v>42929</v>
      </c>
      <c r="X14" s="4" t="str">
        <f t="shared" si="2"/>
        <v>FRA</v>
      </c>
      <c r="Y14" s="4" t="str">
        <v>obj_002e8</v>
      </c>
      <c r="Z14" s="4" t="str">
        <f>IFERROR(_xll.qlRateHelperQuoteName(Y14,Trigger),"")</f>
        <v>EUR6MFRA2x8F_Shifted</v>
      </c>
      <c r="AA14" s="73">
        <f>IFERROR(_xll.qlRateHelperRate(Y14,Trigger),"")</f>
        <v>-2.33E-3</v>
      </c>
      <c r="AB14" s="105" t="str">
        <f>IF(ISERROR(_xll.qlSwapRateHelperSpread($Y14)),IF(ISERROR(_xll.qlFuturesRateHelperConvexityAdjustment($Y14)),"",_xll.qlFuturesRateHelperConvexityAdjustment($Y14)),_xll.qlSwapRateHelperSpread($Y14))</f>
        <v/>
      </c>
      <c r="AC14" s="5">
        <f>IFERROR(_xll.qlRateHelperEarliestDate(Y14,Trigger),"")</f>
        <v>42807</v>
      </c>
      <c r="AD14" s="5">
        <f>IFERROR(_xll.qlRateHelperPillarDate(Y14,Trigger),"")</f>
        <v>42991</v>
      </c>
      <c r="AE14" s="73">
        <v>-2.3702627740376935E-3</v>
      </c>
      <c r="AG14" s="162">
        <v>4</v>
      </c>
      <c r="AH14" s="163">
        <f>_xll.qlCalendarEndOfMonth(Calendar,_xll.qlCalendarAdvance(Calendar,AH13,"1m","mf",TRUE),Trigger)</f>
        <v>42853</v>
      </c>
      <c r="AI14" s="162" t="str">
        <f t="shared" si="3"/>
        <v>EURJump4_SYNTHON_Quote</v>
      </c>
      <c r="AJ14" s="190">
        <f>_xll.qlDayCounterYearFraction("actual/360",AH14,_xll.qlCalendarAdvance(Calendar,AH14,"1D",,,Trigger))</f>
        <v>1.1111111111111112E-2</v>
      </c>
      <c r="AK14" s="164" t="e">
        <f>IF(_xll.qlQuoteIsValid(AI14,Trigger),_xll.qlQuoteValue(AI14,Trigger),1)</f>
        <v>#NUM!</v>
      </c>
      <c r="AL14" s="193" t="e">
        <f t="shared" si="4"/>
        <v>#NUM!</v>
      </c>
      <c r="AM14" s="196">
        <v>0</v>
      </c>
      <c r="AN14" s="164">
        <f t="shared" si="5"/>
        <v>1</v>
      </c>
    </row>
    <row r="15" spans="1:40" ht="11.25" customHeight="1" x14ac:dyDescent="0.2">
      <c r="A15" s="62" t="str">
        <f>Quote!AF16</f>
        <v>DP</v>
      </c>
      <c r="B15" s="63" t="str">
        <f>Quote!AG16</f>
        <v>7M</v>
      </c>
      <c r="C15" s="65" t="s">
        <v>42</v>
      </c>
      <c r="D15" s="125"/>
      <c r="E15" s="125"/>
      <c r="F15" s="125"/>
      <c r="G15" s="125"/>
      <c r="H15" s="122" t="str">
        <f>IF(ISBLANK(Quote!AI16),"",Quote!AI16)</f>
        <v/>
      </c>
      <c r="I15" s="125"/>
      <c r="J15" s="125"/>
      <c r="K15" s="125"/>
      <c r="L15" s="125"/>
      <c r="M15" s="51"/>
      <c r="N15" s="10" t="str">
        <f t="shared" si="0"/>
        <v>DP</v>
      </c>
      <c r="O15" s="95" t="str">
        <f t="shared" si="1"/>
        <v>--</v>
      </c>
      <c r="P15" s="146" t="str">
        <f>IFERROR(_xll.qlRateHelperQuoteName(O15,Trigger),"--")</f>
        <v>--</v>
      </c>
      <c r="Q15" s="99" t="str">
        <f>IFERROR(_xll.qlRateHelperQuoteValue($O15,Trigger),"--")</f>
        <v>--</v>
      </c>
      <c r="R15" s="98" t="b">
        <v>0</v>
      </c>
      <c r="S15" s="95">
        <v>10</v>
      </c>
      <c r="T15" s="95">
        <v>1</v>
      </c>
      <c r="U15" s="100" t="str">
        <f>IFERROR(_xll.qlRateHelperEarliestDate(O15,Trigger),"--")</f>
        <v>--</v>
      </c>
      <c r="V15" s="100" t="str">
        <f>IFERROR(_xll.qlRateHelperPillarDate(O15,Trigger),"--")</f>
        <v>--</v>
      </c>
      <c r="X15" s="4" t="str">
        <f t="shared" si="2"/>
        <v>FRA</v>
      </c>
      <c r="Y15" s="4" t="str">
        <v>obj_002ee</v>
      </c>
      <c r="Z15" s="4" t="str">
        <f>IFERROR(_xll.qlRateHelperQuoteName(Y15,Trigger),"")</f>
        <v>EUR6MFRA3x9F_Shifted</v>
      </c>
      <c r="AA15" s="73">
        <f>IFERROR(_xll.qlRateHelperRate(Y15,Trigger),"")</f>
        <v>-2.2699999999999999E-3</v>
      </c>
      <c r="AB15" s="105" t="str">
        <f>IF(ISERROR(_xll.qlSwapRateHelperSpread($Y15)),IF(ISERROR(_xll.qlFuturesRateHelperConvexityAdjustment($Y15)),"",_xll.qlFuturesRateHelperConvexityAdjustment($Y15)),_xll.qlSwapRateHelperSpread($Y15))</f>
        <v/>
      </c>
      <c r="AC15" s="5">
        <f>IFERROR(_xll.qlRateHelperEarliestDate(Y15,Trigger),"")</f>
        <v>42838</v>
      </c>
      <c r="AD15" s="5">
        <f>IFERROR(_xll.qlRateHelperPillarDate(Y15,Trigger),"")</f>
        <v>43021</v>
      </c>
      <c r="AE15" s="73">
        <v>-2.3326283526882508E-3</v>
      </c>
      <c r="AG15" s="162">
        <v>5</v>
      </c>
      <c r="AH15" s="163">
        <f>_xll.qlCalendarEndOfMonth(Calendar,_xll.qlCalendarAdvance(Calendar,AH14,"1m","mf",TRUE),Trigger)</f>
        <v>42886</v>
      </c>
      <c r="AI15" s="162" t="str">
        <f t="shared" si="3"/>
        <v>EURJump5_SYNTHON_Quote</v>
      </c>
      <c r="AJ15" s="190">
        <f>_xll.qlDayCounterYearFraction("actual/360",AH15,_xll.qlCalendarAdvance(Calendar,AH15,"1D",,,Trigger))</f>
        <v>2.7777777777777779E-3</v>
      </c>
      <c r="AK15" s="164" t="e">
        <f>IF(_xll.qlQuoteIsValid(AI15,Trigger),_xll.qlQuoteValue(AI15,Trigger),1)</f>
        <v>#NUM!</v>
      </c>
      <c r="AL15" s="193" t="e">
        <f t="shared" si="4"/>
        <v>#NUM!</v>
      </c>
      <c r="AM15" s="196">
        <v>0</v>
      </c>
      <c r="AN15" s="164">
        <f t="shared" si="5"/>
        <v>1</v>
      </c>
    </row>
    <row r="16" spans="1:40" ht="11.25" customHeight="1" x14ac:dyDescent="0.2">
      <c r="A16" s="62" t="str">
        <f>Quote!AF17</f>
        <v>DP</v>
      </c>
      <c r="B16" s="63" t="str">
        <f>Quote!AG17</f>
        <v>8M</v>
      </c>
      <c r="C16" s="65" t="s">
        <v>43</v>
      </c>
      <c r="D16" s="125"/>
      <c r="E16" s="125"/>
      <c r="F16" s="125"/>
      <c r="G16" s="125"/>
      <c r="H16" s="122" t="str">
        <f>IF(ISBLANK(Quote!AI17),"",Quote!AI17)</f>
        <v/>
      </c>
      <c r="I16" s="125"/>
      <c r="J16" s="125"/>
      <c r="K16" s="125"/>
      <c r="L16" s="125"/>
      <c r="M16" s="51"/>
      <c r="N16" s="10" t="str">
        <f t="shared" si="0"/>
        <v>DP</v>
      </c>
      <c r="O16" s="95" t="str">
        <f t="shared" si="1"/>
        <v>--</v>
      </c>
      <c r="P16" s="146" t="str">
        <f>IFERROR(_xll.qlRateHelperQuoteName(O16,Trigger),"--")</f>
        <v>--</v>
      </c>
      <c r="Q16" s="99" t="str">
        <f>IFERROR(_xll.qlRateHelperQuoteValue($O16,Trigger),"--")</f>
        <v>--</v>
      </c>
      <c r="R16" s="98" t="b">
        <v>0</v>
      </c>
      <c r="S16" s="95">
        <v>10</v>
      </c>
      <c r="T16" s="95">
        <v>1</v>
      </c>
      <c r="U16" s="100" t="str">
        <f>IFERROR(_xll.qlRateHelperEarliestDate(O16,Trigger),"--")</f>
        <v>--</v>
      </c>
      <c r="V16" s="100" t="str">
        <f>IFERROR(_xll.qlRateHelperPillarDate(O16,Trigger),"--")</f>
        <v>--</v>
      </c>
      <c r="X16" s="4" t="str">
        <f t="shared" si="2"/>
        <v>FRA</v>
      </c>
      <c r="Y16" s="4" t="str">
        <v>obj_002ef</v>
      </c>
      <c r="Z16" s="4" t="str">
        <f>IFERROR(_xll.qlRateHelperQuoteName(Y16,Trigger),"")</f>
        <v>EUR6MFRA4x10F_Shifted</v>
      </c>
      <c r="AA16" s="73">
        <f>IFERROR(_xll.qlRateHelperRate(Y16,Trigger),"")</f>
        <v>-2.2100000000000002E-3</v>
      </c>
      <c r="AB16" s="105" t="str">
        <f>IF(ISERROR(_xll.qlSwapRateHelperSpread($Y16)),IF(ISERROR(_xll.qlFuturesRateHelperConvexityAdjustment($Y16)),"",_xll.qlFuturesRateHelperConvexityAdjustment($Y16)),_xll.qlSwapRateHelperSpread($Y16))</f>
        <v/>
      </c>
      <c r="AC16" s="5">
        <f>IFERROR(_xll.qlRateHelperEarliestDate(Y16,Trigger),"")</f>
        <v>42870</v>
      </c>
      <c r="AD16" s="5">
        <f>IFERROR(_xll.qlRateHelperPillarDate(Y16,Trigger),"")</f>
        <v>43052</v>
      </c>
      <c r="AE16" s="73">
        <v>-2.3069777762991703E-3</v>
      </c>
      <c r="AG16" s="162">
        <v>6</v>
      </c>
      <c r="AH16" s="163">
        <f>_xll.qlCalendarEndOfMonth(Calendar,_xll.qlCalendarAdvance(Calendar,AH15,"1m","mf",TRUE),Trigger)</f>
        <v>42916</v>
      </c>
      <c r="AI16" s="162" t="str">
        <f t="shared" si="3"/>
        <v>EURJump6_SYNTHON_Quote</v>
      </c>
      <c r="AJ16" s="190">
        <f>_xll.qlDayCounterYearFraction("actual/360",AH16,_xll.qlCalendarAdvance(Calendar,AH16,"1D",,,Trigger))</f>
        <v>8.3333333333333332E-3</v>
      </c>
      <c r="AK16" s="164" t="e">
        <f>IF(_xll.qlQuoteIsValid(AI16,Trigger),_xll.qlQuoteValue(AI16,Trigger),1)</f>
        <v>#NUM!</v>
      </c>
      <c r="AL16" s="193" t="e">
        <f t="shared" si="4"/>
        <v>#NUM!</v>
      </c>
      <c r="AM16" s="196">
        <v>0</v>
      </c>
      <c r="AN16" s="164">
        <f t="shared" si="5"/>
        <v>1</v>
      </c>
    </row>
    <row r="17" spans="1:40" ht="11.25" customHeight="1" x14ac:dyDescent="0.2">
      <c r="A17" s="62" t="str">
        <f>Quote!AF18</f>
        <v>DP</v>
      </c>
      <c r="B17" s="63" t="str">
        <f>Quote!AG18</f>
        <v>9M</v>
      </c>
      <c r="C17" s="65" t="s">
        <v>44</v>
      </c>
      <c r="D17" s="125"/>
      <c r="E17" s="125"/>
      <c r="F17" s="125"/>
      <c r="G17" s="125"/>
      <c r="H17" s="122" t="str">
        <f>IF(ISBLANK(Quote!AI18),"",Quote!AI18)</f>
        <v/>
      </c>
      <c r="I17" s="125"/>
      <c r="J17" s="125"/>
      <c r="K17" s="125"/>
      <c r="L17" s="125"/>
      <c r="M17" s="51"/>
      <c r="N17" s="10" t="str">
        <f t="shared" si="0"/>
        <v>DP</v>
      </c>
      <c r="O17" s="95" t="str">
        <f t="shared" si="1"/>
        <v>--</v>
      </c>
      <c r="P17" s="146" t="str">
        <f>IFERROR(_xll.qlRateHelperQuoteName(O17,Trigger),"--")</f>
        <v>--</v>
      </c>
      <c r="Q17" s="99" t="str">
        <f>IFERROR(_xll.qlRateHelperQuoteValue($O17,Trigger),"--")</f>
        <v>--</v>
      </c>
      <c r="R17" s="98" t="b">
        <v>0</v>
      </c>
      <c r="S17" s="95">
        <v>10</v>
      </c>
      <c r="T17" s="95">
        <v>1</v>
      </c>
      <c r="U17" s="100" t="str">
        <f>IFERROR(_xll.qlRateHelperEarliestDate(O17,Trigger),"--")</f>
        <v>--</v>
      </c>
      <c r="V17" s="100" t="str">
        <f>IFERROR(_xll.qlRateHelperPillarDate(O17,Trigger),"--")</f>
        <v>--</v>
      </c>
      <c r="X17" s="4" t="str">
        <f t="shared" si="2"/>
        <v>FRA</v>
      </c>
      <c r="Y17" s="4" t="str">
        <v>obj_002ed</v>
      </c>
      <c r="Z17" s="4" t="str">
        <f>IFERROR(_xll.qlRateHelperQuoteName(Y17,Trigger),"")</f>
        <v>EUR6MFRA5x11F_Shifted</v>
      </c>
      <c r="AA17" s="73">
        <f>IFERROR(_xll.qlRateHelperRate(Y17,Trigger),"")</f>
        <v>-2.15E-3</v>
      </c>
      <c r="AB17" s="105" t="str">
        <f>IF(ISERROR(_xll.qlSwapRateHelperSpread($Y17)),IF(ISERROR(_xll.qlFuturesRateHelperConvexityAdjustment($Y17)),"",_xll.qlFuturesRateHelperConvexityAdjustment($Y17)),_xll.qlSwapRateHelperSpread($Y17))</f>
        <v/>
      </c>
      <c r="AC17" s="5">
        <f>IFERROR(_xll.qlRateHelperEarliestDate(Y17,Trigger),"")</f>
        <v>42899</v>
      </c>
      <c r="AD17" s="5">
        <f>IFERROR(_xll.qlRateHelperPillarDate(Y17,Trigger),"")</f>
        <v>43082</v>
      </c>
      <c r="AE17" s="73">
        <v>-2.278095836519489E-3</v>
      </c>
      <c r="AG17" s="162">
        <v>7</v>
      </c>
      <c r="AH17" s="163">
        <f>_xll.qlCalendarEndOfMonth(Calendar,_xll.qlCalendarAdvance(Calendar,AH16,"1m","mf",TRUE),Trigger)</f>
        <v>42947</v>
      </c>
      <c r="AI17" s="162" t="str">
        <f t="shared" si="3"/>
        <v>EURJump7_SYNTHON_Quote</v>
      </c>
      <c r="AJ17" s="190">
        <f>_xll.qlDayCounterYearFraction("actual/360",AH17,_xll.qlCalendarAdvance(Calendar,AH17,"1D",,,Trigger))</f>
        <v>2.7777777777777779E-3</v>
      </c>
      <c r="AK17" s="164" t="e">
        <f>IF(_xll.qlQuoteIsValid(AI17,Trigger),_xll.qlQuoteValue(AI17,Trigger),1)</f>
        <v>#NUM!</v>
      </c>
      <c r="AL17" s="193" t="e">
        <f t="shared" si="4"/>
        <v>#NUM!</v>
      </c>
      <c r="AM17" s="196">
        <v>0</v>
      </c>
      <c r="AN17" s="164">
        <f t="shared" si="5"/>
        <v>1</v>
      </c>
    </row>
    <row r="18" spans="1:40" ht="11.25" customHeight="1" x14ac:dyDescent="0.2">
      <c r="A18" s="62" t="str">
        <f>Quote!AF19</f>
        <v>DP</v>
      </c>
      <c r="B18" s="63" t="str">
        <f>Quote!AG19</f>
        <v>10M</v>
      </c>
      <c r="C18" s="65" t="s">
        <v>45</v>
      </c>
      <c r="D18" s="125"/>
      <c r="E18" s="125"/>
      <c r="F18" s="125"/>
      <c r="G18" s="125"/>
      <c r="H18" s="122" t="str">
        <f>IF(ISBLANK(Quote!AI19),"",Quote!AI19)</f>
        <v/>
      </c>
      <c r="I18" s="125"/>
      <c r="J18" s="125"/>
      <c r="K18" s="125"/>
      <c r="L18" s="125"/>
      <c r="M18" s="51"/>
      <c r="N18" s="10" t="str">
        <f t="shared" si="0"/>
        <v>DP</v>
      </c>
      <c r="O18" s="95" t="str">
        <f t="shared" si="1"/>
        <v>--</v>
      </c>
      <c r="P18" s="146" t="str">
        <f>IFERROR(_xll.qlRateHelperQuoteName(O18,Trigger),"--")</f>
        <v>--</v>
      </c>
      <c r="Q18" s="99" t="str">
        <f>IFERROR(_xll.qlRateHelperQuoteValue($O18,Trigger),"--")</f>
        <v>--</v>
      </c>
      <c r="R18" s="141" t="b">
        <v>0</v>
      </c>
      <c r="S18" s="95">
        <v>10</v>
      </c>
      <c r="T18" s="95">
        <v>1</v>
      </c>
      <c r="U18" s="100" t="str">
        <f>IFERROR(_xll.qlRateHelperEarliestDate(O18,Trigger),"--")</f>
        <v>--</v>
      </c>
      <c r="V18" s="100" t="str">
        <f>IFERROR(_xll.qlRateHelperPillarDate(O18,Trigger),"--")</f>
        <v>--</v>
      </c>
      <c r="X18" s="4" t="str">
        <f t="shared" si="2"/>
        <v>FRA</v>
      </c>
      <c r="Y18" s="4" t="str">
        <v>obj_002ea</v>
      </c>
      <c r="Z18" s="4" t="str">
        <f>IFERROR(_xll.qlRateHelperQuoteName(Y18,Trigger),"")</f>
        <v>EUR6MFRA6x12F_Shifted</v>
      </c>
      <c r="AA18" s="73">
        <f>IFERROR(_xll.qlRateHelperRate(Y18,Trigger),"")</f>
        <v>-2.0800000000000003E-3</v>
      </c>
      <c r="AB18" s="105" t="str">
        <f>IF(ISERROR(_xll.qlSwapRateHelperSpread($Y18)),IF(ISERROR(_xll.qlFuturesRateHelperConvexityAdjustment($Y18)),"",_xll.qlFuturesRateHelperConvexityAdjustment($Y18)),_xll.qlSwapRateHelperSpread($Y18))</f>
        <v/>
      </c>
      <c r="AC18" s="5">
        <f>IFERROR(_xll.qlRateHelperEarliestDate(Y18,Trigger),"")</f>
        <v>42929</v>
      </c>
      <c r="AD18" s="5">
        <f>IFERROR(_xll.qlRateHelperPillarDate(Y18,Trigger),"")</f>
        <v>43115</v>
      </c>
      <c r="AE18" s="73">
        <v>-2.2470553021633182E-3</v>
      </c>
      <c r="AG18" s="162">
        <v>8</v>
      </c>
      <c r="AH18" s="163">
        <f>_xll.qlCalendarEndOfMonth(Calendar,_xll.qlCalendarAdvance(Calendar,AH17,"1m","mf",TRUE),Trigger)</f>
        <v>42978</v>
      </c>
      <c r="AI18" s="162" t="str">
        <f t="shared" si="3"/>
        <v>EURJump8_SYNTHON_Quote</v>
      </c>
      <c r="AJ18" s="190">
        <f>_xll.qlDayCounterYearFraction("actual/360",AH18,_xll.qlCalendarAdvance(Calendar,AH18,"1D",,,Trigger))</f>
        <v>2.7777777777777779E-3</v>
      </c>
      <c r="AK18" s="164" t="e">
        <f>IF(_xll.qlQuoteIsValid(AI18,Trigger),_xll.qlQuoteValue(AI18,Trigger),1)</f>
        <v>#NUM!</v>
      </c>
      <c r="AL18" s="193" t="e">
        <f t="shared" si="4"/>
        <v>#NUM!</v>
      </c>
      <c r="AM18" s="196">
        <v>0</v>
      </c>
      <c r="AN18" s="164">
        <f t="shared" si="5"/>
        <v>1</v>
      </c>
    </row>
    <row r="19" spans="1:40" ht="11.25" customHeight="1" x14ac:dyDescent="0.2">
      <c r="A19" s="62" t="str">
        <f>Quote!AF20</f>
        <v>DP</v>
      </c>
      <c r="B19" s="63" t="str">
        <f>Quote!AG20</f>
        <v>11M</v>
      </c>
      <c r="C19" s="65" t="s">
        <v>46</v>
      </c>
      <c r="D19" s="125"/>
      <c r="E19" s="125"/>
      <c r="F19" s="125"/>
      <c r="G19" s="125"/>
      <c r="H19" s="122" t="str">
        <f>IF(ISBLANK(Quote!AI20),"",Quote!AI20)</f>
        <v/>
      </c>
      <c r="I19" s="125"/>
      <c r="J19" s="125"/>
      <c r="K19" s="125"/>
      <c r="L19" s="125"/>
      <c r="M19" s="51"/>
      <c r="N19" s="10" t="str">
        <f t="shared" si="0"/>
        <v>DP</v>
      </c>
      <c r="O19" s="95" t="str">
        <f t="shared" si="1"/>
        <v>--</v>
      </c>
      <c r="P19" s="146" t="str">
        <f>IFERROR(_xll.qlRateHelperQuoteName(O19,Trigger),"--")</f>
        <v>--</v>
      </c>
      <c r="Q19" s="99" t="str">
        <f>IFERROR(_xll.qlRateHelperQuoteValue($O19,Trigger),"--")</f>
        <v>--</v>
      </c>
      <c r="R19" s="141" t="b">
        <v>0</v>
      </c>
      <c r="S19" s="95">
        <v>10</v>
      </c>
      <c r="T19" s="95">
        <v>1</v>
      </c>
      <c r="U19" s="100" t="str">
        <f>IFERROR(_xll.qlRateHelperEarliestDate(O19,Trigger),"--")</f>
        <v>--</v>
      </c>
      <c r="V19" s="100" t="str">
        <f>IFERROR(_xll.qlRateHelperPillarDate(O19,Trigger),"--")</f>
        <v>--</v>
      </c>
      <c r="X19" s="4" t="str">
        <f t="shared" si="2"/>
        <v>FRA</v>
      </c>
      <c r="Y19" s="4" t="str">
        <v>obj_002e7</v>
      </c>
      <c r="Z19" s="4" t="str">
        <f>IFERROR(_xll.qlRateHelperQuoteName(Y19,Trigger),"")</f>
        <v>EUR6MFRA7x13F_Shifted</v>
      </c>
      <c r="AA19" s="73">
        <f>IFERROR(_xll.qlRateHelperRate(Y19,Trigger),"")</f>
        <v>-2.0200000000000001E-3</v>
      </c>
      <c r="AB19" s="105" t="str">
        <f>IF(ISERROR(_xll.qlSwapRateHelperSpread($Y19)),IF(ISERROR(_xll.qlFuturesRateHelperConvexityAdjustment($Y19)),"",_xll.qlFuturesRateHelperConvexityAdjustment($Y19)),_xll.qlSwapRateHelperSpread($Y19))</f>
        <v/>
      </c>
      <c r="AC19" s="5">
        <f>IFERROR(_xll.qlRateHelperEarliestDate(Y19,Trigger),"")</f>
        <v>42961</v>
      </c>
      <c r="AD19" s="5">
        <f>IFERROR(_xll.qlRateHelperPillarDate(Y19,Trigger),"")</f>
        <v>43144</v>
      </c>
      <c r="AE19" s="73">
        <v>-2.2270962840768124E-3</v>
      </c>
      <c r="AG19" s="162">
        <v>9</v>
      </c>
      <c r="AH19" s="163">
        <f>_xll.qlCalendarEndOfMonth(Calendar,_xll.qlCalendarAdvance(Calendar,AH18,"1m","mf",TRUE),Trigger)</f>
        <v>43007</v>
      </c>
      <c r="AI19" s="162" t="str">
        <f t="shared" si="3"/>
        <v>EURJump9_SYNTHON_Quote</v>
      </c>
      <c r="AJ19" s="190">
        <f>_xll.qlDayCounterYearFraction("actual/360",AH19,_xll.qlCalendarAdvance(Calendar,AH19,"1D",,,Trigger))</f>
        <v>8.3333333333333332E-3</v>
      </c>
      <c r="AK19" s="164" t="e">
        <f>IF(_xll.qlQuoteIsValid(AI19,Trigger),_xll.qlQuoteValue(AI19,Trigger),1)</f>
        <v>#NUM!</v>
      </c>
      <c r="AL19" s="193" t="e">
        <f t="shared" si="4"/>
        <v>#NUM!</v>
      </c>
      <c r="AM19" s="196">
        <v>0</v>
      </c>
      <c r="AN19" s="164">
        <f t="shared" si="5"/>
        <v>1</v>
      </c>
    </row>
    <row r="20" spans="1:40" ht="11.25" customHeight="1" x14ac:dyDescent="0.2">
      <c r="A20" s="1" t="str">
        <f>Quote!AF21</f>
        <v>DP</v>
      </c>
      <c r="B20" s="8" t="str">
        <f>Quote!AG21</f>
        <v>12M</v>
      </c>
      <c r="C20" s="9" t="s">
        <v>116</v>
      </c>
      <c r="D20" s="126"/>
      <c r="E20" s="126"/>
      <c r="F20" s="126"/>
      <c r="G20" s="126"/>
      <c r="H20" s="123" t="str">
        <f>IF(ISBLANK(Quote!AI21),"",Quote!AI21)</f>
        <v/>
      </c>
      <c r="I20" s="126"/>
      <c r="J20" s="126"/>
      <c r="K20" s="126"/>
      <c r="L20" s="126"/>
      <c r="M20" s="51"/>
      <c r="N20" s="11" t="str">
        <f t="shared" si="0"/>
        <v>DP</v>
      </c>
      <c r="O20" s="96" t="str">
        <f t="shared" si="1"/>
        <v>--</v>
      </c>
      <c r="P20" s="147" t="str">
        <f>IFERROR(_xll.qlRateHelperQuoteName(O20,Trigger),"--")</f>
        <v>--</v>
      </c>
      <c r="Q20" s="102" t="str">
        <f>IFERROR(_xll.qlRateHelperQuoteValue($O20,Trigger),"--")</f>
        <v>--</v>
      </c>
      <c r="R20" s="144" t="b">
        <v>0</v>
      </c>
      <c r="S20" s="96">
        <v>10</v>
      </c>
      <c r="T20" s="96">
        <v>1</v>
      </c>
      <c r="U20" s="103" t="str">
        <f>IFERROR(_xll.qlRateHelperEarliestDate(O20,Trigger),"--")</f>
        <v>--</v>
      </c>
      <c r="V20" s="103" t="str">
        <f>IFERROR(_xll.qlRateHelperPillarDate(O20,Trigger),"--")</f>
        <v>--</v>
      </c>
      <c r="X20" s="4" t="str">
        <f t="shared" si="2"/>
        <v>FRA</v>
      </c>
      <c r="Y20" s="4" t="str">
        <v>obj_002e9</v>
      </c>
      <c r="Z20" s="4" t="str">
        <f>IFERROR(_xll.qlRateHelperQuoteName(Y20,Trigger),"")</f>
        <v>EUR6MFRA8x14F_Shifted</v>
      </c>
      <c r="AA20" s="73">
        <f>IFERROR(_xll.qlRateHelperRate(Y20,Trigger),"")</f>
        <v>-1.9500000000000001E-3</v>
      </c>
      <c r="AB20" s="105" t="str">
        <f>IF(ISERROR(_xll.qlSwapRateHelperSpread($Y20)),IF(ISERROR(_xll.qlFuturesRateHelperConvexityAdjustment($Y20)),"",_xll.qlFuturesRateHelperConvexityAdjustment($Y20)),_xll.qlSwapRateHelperSpread($Y20))</f>
        <v/>
      </c>
      <c r="AC20" s="5">
        <f>IFERROR(_xll.qlRateHelperEarliestDate(Y20,Trigger),"")</f>
        <v>42991</v>
      </c>
      <c r="AD20" s="5">
        <f>IFERROR(_xll.qlRateHelperPillarDate(Y20,Trigger),"")</f>
        <v>43172</v>
      </c>
      <c r="AE20" s="73">
        <v>-2.2036197178125065E-3</v>
      </c>
      <c r="AG20" s="162">
        <v>10</v>
      </c>
      <c r="AH20" s="163">
        <f>_xll.qlCalendarEndOfMonth(Calendar,_xll.qlCalendarAdvance(Calendar,AH19,"1m","mf",TRUE),Trigger)</f>
        <v>43039</v>
      </c>
      <c r="AI20" s="162" t="str">
        <f t="shared" si="3"/>
        <v>EURJump10_SYNTHON_Quote</v>
      </c>
      <c r="AJ20" s="190">
        <f>_xll.qlDayCounterYearFraction("actual/360",AH20,_xll.qlCalendarAdvance(Calendar,AH20,"1D",,,Trigger))</f>
        <v>2.7777777777777779E-3</v>
      </c>
      <c r="AK20" s="164" t="e">
        <f>IF(_xll.qlQuoteIsValid(AI20,Trigger),_xll.qlQuoteValue(AI20,Trigger),1)</f>
        <v>#NUM!</v>
      </c>
      <c r="AL20" s="193" t="e">
        <f t="shared" si="4"/>
        <v>#NUM!</v>
      </c>
      <c r="AM20" s="196">
        <v>0</v>
      </c>
      <c r="AN20" s="164">
        <f t="shared" si="5"/>
        <v>1</v>
      </c>
    </row>
    <row r="21" spans="1:40" ht="11.25" customHeight="1" x14ac:dyDescent="0.2">
      <c r="B21" s="49"/>
      <c r="C21" s="49"/>
      <c r="D21" s="49"/>
      <c r="E21" s="49"/>
      <c r="F21" s="49"/>
      <c r="G21" s="49"/>
      <c r="H21" s="49"/>
      <c r="I21" s="49"/>
      <c r="J21" s="49"/>
      <c r="M21" s="51"/>
      <c r="N21" s="71" t="str">
        <f>A23</f>
        <v>FRA</v>
      </c>
      <c r="O21" s="131" t="str">
        <f>IF(ISBLANK(L23),"--",L23)</f>
        <v>obj_002ec#0006</v>
      </c>
      <c r="P21" s="145" t="str">
        <f>IFERROR(_xll.qlRateHelperQuoteName(O21,Trigger),"--")</f>
        <v>EUR6MFRA1x7F_Shifted</v>
      </c>
      <c r="Q21" s="133">
        <f>IFERROR(_xll.qlRateHelperQuoteValue($O21,Trigger),"--")</f>
        <v>-2.3400000000000001E-3</v>
      </c>
      <c r="R21" s="137" t="b">
        <v>1</v>
      </c>
      <c r="S21" s="131">
        <v>20</v>
      </c>
      <c r="T21" s="131">
        <v>1</v>
      </c>
      <c r="U21" s="134">
        <f>IFERROR(_xll.qlRateHelperEarliestDate(O21,Trigger),"--")</f>
        <v>42779</v>
      </c>
      <c r="V21" s="134">
        <f>IFERROR(_xll.qlRateHelperPillarDate(O21,Trigger),"--")</f>
        <v>42961</v>
      </c>
      <c r="X21" s="4" t="str">
        <f t="shared" si="2"/>
        <v>FRA</v>
      </c>
      <c r="Y21" s="4" t="str">
        <v>obj_002cf</v>
      </c>
      <c r="Z21" s="4" t="str">
        <f>IFERROR(_xll.qlRateHelperQuoteName(Y21,Trigger),"")</f>
        <v>EUR6MFRA9x15F_Shifted</v>
      </c>
      <c r="AA21" s="73">
        <f>IFERROR(_xll.qlRateHelperRate(Y21,Trigger),"")</f>
        <v>-1.8699999999999999E-3</v>
      </c>
      <c r="AB21" s="105" t="str">
        <f>IF(ISERROR(_xll.qlSwapRateHelperSpread($Y21)),IF(ISERROR(_xll.qlFuturesRateHelperConvexityAdjustment($Y21)),"",_xll.qlFuturesRateHelperConvexityAdjustment($Y21)),_xll.qlSwapRateHelperSpread($Y21))</f>
        <v/>
      </c>
      <c r="AC21" s="5">
        <f>IFERROR(_xll.qlRateHelperEarliestDate(Y21,Trigger),"")</f>
        <v>43021</v>
      </c>
      <c r="AD21" s="5">
        <f>IFERROR(_xll.qlRateHelperPillarDate(Y21,Trigger),"")</f>
        <v>43203</v>
      </c>
      <c r="AE21" s="73">
        <v>-2.159087430058593E-3</v>
      </c>
      <c r="AG21" s="162">
        <v>11</v>
      </c>
      <c r="AH21" s="163">
        <f>_xll.qlCalendarEndOfMonth(Calendar,_xll.qlCalendarAdvance(Calendar,AH20,"1m","mf",TRUE),Trigger)</f>
        <v>43069</v>
      </c>
      <c r="AI21" s="162" t="str">
        <f t="shared" si="3"/>
        <v>EURJump11_SYNTHON_Quote</v>
      </c>
      <c r="AJ21" s="190">
        <f>_xll.qlDayCounterYearFraction("actual/360",AH21,_xll.qlCalendarAdvance(Calendar,AH21,"1D",,,Trigger))</f>
        <v>2.7777777777777779E-3</v>
      </c>
      <c r="AK21" s="164" t="e">
        <f>IF(_xll.qlQuoteIsValid(AI21,Trigger),_xll.qlQuoteValue(AI21,Trigger),1)</f>
        <v>#NUM!</v>
      </c>
      <c r="AL21" s="193" t="e">
        <f t="shared" si="4"/>
        <v>#NUM!</v>
      </c>
      <c r="AM21" s="196">
        <v>0</v>
      </c>
      <c r="AN21" s="164">
        <f t="shared" si="5"/>
        <v>1</v>
      </c>
    </row>
    <row r="22" spans="1:40" ht="11.25" customHeight="1" x14ac:dyDescent="0.2">
      <c r="A22" s="68" t="s">
        <v>9</v>
      </c>
      <c r="B22" s="68" t="s">
        <v>93</v>
      </c>
      <c r="C22" s="68" t="s">
        <v>94</v>
      </c>
      <c r="D22" s="68"/>
      <c r="E22" s="68"/>
      <c r="F22" s="68"/>
      <c r="G22" s="68" t="s">
        <v>4</v>
      </c>
      <c r="H22" s="68" t="s">
        <v>1</v>
      </c>
      <c r="I22" s="68" t="s">
        <v>171</v>
      </c>
      <c r="J22" s="68" t="s">
        <v>189</v>
      </c>
      <c r="K22" s="68"/>
      <c r="L22" s="68" t="s">
        <v>25</v>
      </c>
      <c r="M22" s="51"/>
      <c r="N22" s="10" t="str">
        <f t="shared" ref="N22:N40" si="6">A24</f>
        <v>FRA</v>
      </c>
      <c r="O22" s="95" t="str">
        <f t="shared" ref="O22:O40" si="7">IF(ISBLANK(L24),"--",L24)</f>
        <v>obj_002e8#0006</v>
      </c>
      <c r="P22" s="146" t="str">
        <f>IFERROR(_xll.qlRateHelperQuoteName(O22,Trigger),"--")</f>
        <v>EUR6MFRA2x8F_Shifted</v>
      </c>
      <c r="Q22" s="99">
        <f>IFERROR(_xll.qlRateHelperQuoteValue($O22,Trigger),"--")</f>
        <v>-2.33E-3</v>
      </c>
      <c r="R22" s="141" t="b">
        <v>1</v>
      </c>
      <c r="S22" s="95">
        <v>20</v>
      </c>
      <c r="T22" s="95">
        <v>1</v>
      </c>
      <c r="U22" s="100">
        <f>IFERROR(_xll.qlRateHelperEarliestDate(O22,Trigger),"--")</f>
        <v>42807</v>
      </c>
      <c r="V22" s="100">
        <f>IFERROR(_xll.qlRateHelperPillarDate(O22,Trigger),"--")</f>
        <v>42991</v>
      </c>
      <c r="X22" s="4" t="str">
        <f t="shared" si="2"/>
        <v>FRA</v>
      </c>
      <c r="Y22" s="4" t="str">
        <v>obj_002c4</v>
      </c>
      <c r="Z22" s="4" t="str">
        <f>IFERROR(_xll.qlRateHelperQuoteName(Y22,Trigger),"")</f>
        <v>EUR6MFRA10x16F_Shifted</v>
      </c>
      <c r="AA22" s="73">
        <f>IFERROR(_xll.qlRateHelperRate(Y22,Trigger),"")</f>
        <v>-1.7899999999999999E-3</v>
      </c>
      <c r="AB22" s="105" t="str">
        <f>IF(ISERROR(_xll.qlSwapRateHelperSpread($Y22)),IF(ISERROR(_xll.qlFuturesRateHelperConvexityAdjustment($Y22)),"",_xll.qlFuturesRateHelperConvexityAdjustment($Y22)),_xll.qlSwapRateHelperSpread($Y22))</f>
        <v/>
      </c>
      <c r="AC22" s="5">
        <f>IFERROR(_xll.qlRateHelperEarliestDate(Y22,Trigger),"")</f>
        <v>43052</v>
      </c>
      <c r="AD22" s="5">
        <f>IFERROR(_xll.qlRateHelperPillarDate(Y22,Trigger),"")</f>
        <v>43234</v>
      </c>
      <c r="AE22" s="73">
        <v>-2.1237489051386146E-3</v>
      </c>
      <c r="AG22" s="162">
        <v>12</v>
      </c>
      <c r="AH22" s="163">
        <f>_xll.qlCalendarEndOfMonth(Calendar,_xll.qlCalendarAdvance(Calendar,AH21,"1m","mf",TRUE),Trigger)</f>
        <v>43098</v>
      </c>
      <c r="AI22" s="162" t="str">
        <f t="shared" si="3"/>
        <v>EURJump12_SYNTHON_Quote</v>
      </c>
      <c r="AJ22" s="190">
        <f>_xll.qlDayCounterYearFraction("actual/360",AH22,_xll.qlCalendarAdvance(Calendar,AH22,"1D",,,Trigger))</f>
        <v>1.1111111111111112E-2</v>
      </c>
      <c r="AK22" s="164" t="e">
        <f>IF(_xll.qlQuoteIsValid(AI22,Trigger),_xll.qlQuoteValue(AI22,Trigger),1)</f>
        <v>#NUM!</v>
      </c>
      <c r="AL22" s="193" t="e">
        <f t="shared" si="4"/>
        <v>#NUM!</v>
      </c>
      <c r="AM22" s="196">
        <v>0</v>
      </c>
      <c r="AN22" s="164">
        <f t="shared" si="5"/>
        <v>1</v>
      </c>
    </row>
    <row r="23" spans="1:40" ht="11.25" customHeight="1" x14ac:dyDescent="0.2">
      <c r="A23" s="56" t="str">
        <f>Quote!AF22</f>
        <v>FRA</v>
      </c>
      <c r="B23" s="115">
        <v>1</v>
      </c>
      <c r="C23" s="59" t="str">
        <f t="shared" ref="C23:C46" si="8">"x"&amp;B23+SUBSTITUTE(Tenor,"M","")&amp;"F"</f>
        <v>x7F</v>
      </c>
      <c r="D23" s="129"/>
      <c r="E23" s="129"/>
      <c r="F23" s="129"/>
      <c r="G23" s="58" t="str">
        <f>$G$14</f>
        <v>Euribor6MMX#0006</v>
      </c>
      <c r="H23" s="118" t="str">
        <f>IF(ISBLANK(Quote!AI22),"",Quote!AI22)</f>
        <v>EUR6MFRA1X7F=#0006</v>
      </c>
      <c r="I23" s="122" t="str">
        <f>_xll.qlCompositeQuote(Currency&amp;"6M"&amp;A23&amp;B23&amp;C23&amp;"_Shifted",H23,IF(J23=0,BumpValue,J23),"+",Permanent,Trigger,ObjectOverwrite)</f>
        <v>EUR6MFRA1x7F_Shifted#0006</v>
      </c>
      <c r="J23" s="334">
        <v>0</v>
      </c>
      <c r="K23" s="391"/>
      <c r="L23" s="61" t="str">
        <f>_xll.qlFraRateHelper(,IF(Sensitivity,I23,H23),B23&amp;"M",G23,PillarDate,,Permanent,Trigger,ObjectOverwrite)</f>
        <v>obj_002ec#0006</v>
      </c>
      <c r="M23" s="51"/>
      <c r="N23" s="10" t="str">
        <f t="shared" si="6"/>
        <v>FRA</v>
      </c>
      <c r="O23" s="95" t="str">
        <f t="shared" si="7"/>
        <v>obj_002ee#0006</v>
      </c>
      <c r="P23" s="146" t="str">
        <f>IFERROR(_xll.qlRateHelperQuoteName(O23,Trigger),"--")</f>
        <v>EUR6MFRA3x9F_Shifted</v>
      </c>
      <c r="Q23" s="99">
        <f>IFERROR(_xll.qlRateHelperQuoteValue($O23,Trigger),"--")</f>
        <v>-2.2699999999999999E-3</v>
      </c>
      <c r="R23" s="141" t="b">
        <v>1</v>
      </c>
      <c r="S23" s="95">
        <v>20</v>
      </c>
      <c r="T23" s="95">
        <v>1</v>
      </c>
      <c r="U23" s="100">
        <f>IFERROR(_xll.qlRateHelperEarliestDate(O23,Trigger),"--")</f>
        <v>42838</v>
      </c>
      <c r="V23" s="100">
        <f>IFERROR(_xll.qlRateHelperPillarDate(O23,Trigger),"--")</f>
        <v>43021</v>
      </c>
      <c r="X23" s="4" t="str">
        <f t="shared" si="2"/>
        <v>FRA</v>
      </c>
      <c r="Y23" s="4" t="str">
        <v>obj_002b6</v>
      </c>
      <c r="Z23" s="4" t="str">
        <f>IFERROR(_xll.qlRateHelperQuoteName(Y23,Trigger),"")</f>
        <v>EUR6MFRA11x17F_Shifted</v>
      </c>
      <c r="AA23" s="73">
        <f>IFERROR(_xll.qlRateHelperRate(Y23,Trigger),"")</f>
        <v>-1.7200000000000002E-3</v>
      </c>
      <c r="AB23" s="105" t="str">
        <f>IF(ISERROR(_xll.qlSwapRateHelperSpread($Y23)),IF(ISERROR(_xll.qlFuturesRateHelperConvexityAdjustment($Y23)),"",_xll.qlFuturesRateHelperConvexityAdjustment($Y23)),_xll.qlSwapRateHelperSpread($Y23))</f>
        <v/>
      </c>
      <c r="AC23" s="5">
        <f>IFERROR(_xll.qlRateHelperEarliestDate(Y23,Trigger),"")</f>
        <v>43082</v>
      </c>
      <c r="AD23" s="5">
        <f>IFERROR(_xll.qlRateHelperPillarDate(Y23,Trigger),"")</f>
        <v>43264</v>
      </c>
      <c r="AE23" s="73">
        <v>-2.0906680541474634E-3</v>
      </c>
      <c r="AG23" s="165">
        <v>13</v>
      </c>
      <c r="AH23" s="166">
        <f>_xll.qlCalendarAdjust(Calendar,DATE(YEAR(AH11)+1,12,31),"preceding",Trigger)</f>
        <v>43465</v>
      </c>
      <c r="AI23" s="165" t="str">
        <f t="shared" si="3"/>
        <v>EURJump13_SYNTHON_Quote</v>
      </c>
      <c r="AJ23" s="191">
        <f>_xll.qlDayCounterYearFraction("actual/360",AH23,_xll.qlCalendarAdvance(Calendar,AH23,"1D",,,Trigger))</f>
        <v>5.5555555555555558E-3</v>
      </c>
      <c r="AK23" s="167" t="e">
        <f>IF(_xll.qlQuoteIsValid(AI23,Trigger),_xll.qlQuoteValue(AI23,Trigger),1)</f>
        <v>#NUM!</v>
      </c>
      <c r="AL23" s="194" t="e">
        <f t="shared" si="4"/>
        <v>#NUM!</v>
      </c>
      <c r="AM23" s="197">
        <v>0</v>
      </c>
      <c r="AN23" s="167">
        <f t="shared" si="5"/>
        <v>1</v>
      </c>
    </row>
    <row r="24" spans="1:40" ht="11.25" customHeight="1" x14ac:dyDescent="0.2">
      <c r="A24" s="62" t="s">
        <v>95</v>
      </c>
      <c r="B24" s="116">
        <v>2</v>
      </c>
      <c r="C24" s="65" t="str">
        <f t="shared" si="8"/>
        <v>x8F</v>
      </c>
      <c r="D24" s="125"/>
      <c r="E24" s="125"/>
      <c r="F24" s="125"/>
      <c r="G24" s="64" t="str">
        <f t="shared" ref="G24:G46" si="9">$G$14</f>
        <v>Euribor6MMX#0006</v>
      </c>
      <c r="H24" s="119" t="str">
        <f>IF(ISBLANK(Quote!AI23),"",Quote!AI23)</f>
        <v>EUR6MFRA2X8F=#0006</v>
      </c>
      <c r="I24" s="119" t="str">
        <f>_xll.qlCompositeQuote(Currency&amp;"6M"&amp;A24&amp;B24&amp;C24&amp;"_Shifted",H24,IF(J24=0,BumpValue,J24),"+",Permanent,Trigger,ObjectOverwrite)</f>
        <v>EUR6MFRA2x8F_Shifted#0006</v>
      </c>
      <c r="J24" s="122">
        <v>0</v>
      </c>
      <c r="K24" s="392"/>
      <c r="L24" s="67" t="str">
        <f>_xll.qlFraRateHelper(,IF(Sensitivity,I24,H24),B24&amp;"M",G24,PillarDate,,Permanent,Trigger,ObjectOverwrite)</f>
        <v>obj_002e8#0006</v>
      </c>
      <c r="M24" s="51"/>
      <c r="N24" s="10" t="str">
        <f t="shared" si="6"/>
        <v>FRA</v>
      </c>
      <c r="O24" s="95" t="str">
        <f t="shared" si="7"/>
        <v>obj_002ef#0006</v>
      </c>
      <c r="P24" s="146" t="str">
        <f>IFERROR(_xll.qlRateHelperQuoteName(O24,Trigger),"--")</f>
        <v>EUR6MFRA4x10F_Shifted</v>
      </c>
      <c r="Q24" s="99">
        <f>IFERROR(_xll.qlRateHelperQuoteValue($O24,Trigger),"--")</f>
        <v>-2.2100000000000002E-3</v>
      </c>
      <c r="R24" s="141" t="b">
        <v>1</v>
      </c>
      <c r="S24" s="95">
        <v>20</v>
      </c>
      <c r="T24" s="95">
        <v>1</v>
      </c>
      <c r="U24" s="100">
        <f>IFERROR(_xll.qlRateHelperEarliestDate(O24,Trigger),"--")</f>
        <v>42870</v>
      </c>
      <c r="V24" s="100">
        <f>IFERROR(_xll.qlRateHelperPillarDate(O24,Trigger),"--")</f>
        <v>43052</v>
      </c>
      <c r="X24" s="4" t="str">
        <f t="shared" si="2"/>
        <v>FRA</v>
      </c>
      <c r="Y24" s="4" t="str">
        <v>obj_002aa</v>
      </c>
      <c r="Z24" s="4" t="str">
        <f>IFERROR(_xll.qlRateHelperQuoteName(Y24,Trigger),"")</f>
        <v>EUR6MFRA12x18F_Shifted</v>
      </c>
      <c r="AA24" s="73">
        <f>IFERROR(_xll.qlRateHelperRate(Y24,Trigger),"")</f>
        <v>-1.6300000000000002E-3</v>
      </c>
      <c r="AB24" s="105" t="str">
        <f>IF(ISERROR(_xll.qlSwapRateHelperSpread($Y24)),IF(ISERROR(_xll.qlFuturesRateHelperConvexityAdjustment($Y24)),"",_xll.qlFuturesRateHelperConvexityAdjustment($Y24)),_xll.qlSwapRateHelperSpread($Y24))</f>
        <v/>
      </c>
      <c r="AC24" s="5">
        <f>IFERROR(_xll.qlRateHelperEarliestDate(Y24,Trigger),"")</f>
        <v>43115</v>
      </c>
      <c r="AD24" s="5">
        <f>IFERROR(_xll.qlRateHelperPillarDate(Y24,Trigger),"")</f>
        <v>43294</v>
      </c>
      <c r="AE24" s="73">
        <v>-2.0544429220503706E-3</v>
      </c>
    </row>
    <row r="25" spans="1:40" ht="11.25" customHeight="1" x14ac:dyDescent="0.2">
      <c r="A25" s="62" t="s">
        <v>95</v>
      </c>
      <c r="B25" s="116">
        <v>3</v>
      </c>
      <c r="C25" s="65" t="str">
        <f t="shared" si="8"/>
        <v>x9F</v>
      </c>
      <c r="D25" s="125"/>
      <c r="E25" s="125"/>
      <c r="F25" s="125"/>
      <c r="G25" s="64" t="str">
        <f t="shared" si="9"/>
        <v>Euribor6MMX#0006</v>
      </c>
      <c r="H25" s="119" t="str">
        <f>IF(ISBLANK(Quote!AI24),"",Quote!AI24)</f>
        <v>EUR6MFRA3X9F=#0006</v>
      </c>
      <c r="I25" s="119" t="str">
        <f>_xll.qlCompositeQuote(Currency&amp;"6M"&amp;A25&amp;B25&amp;C25&amp;"_Shifted",H25,IF(J25=0,BumpValue,J25),"+",Permanent,Trigger,ObjectOverwrite)</f>
        <v>EUR6MFRA3x9F_Shifted#0006</v>
      </c>
      <c r="J25" s="122">
        <v>0</v>
      </c>
      <c r="K25" s="392"/>
      <c r="L25" s="67" t="str">
        <f>_xll.qlFraRateHelper(,IF(Sensitivity,I25,H25),B25&amp;"M",G25,PillarDate,,Permanent,Trigger,ObjectOverwrite)</f>
        <v>obj_002ee#0006</v>
      </c>
      <c r="M25" s="51"/>
      <c r="N25" s="10" t="str">
        <f t="shared" si="6"/>
        <v>FRA</v>
      </c>
      <c r="O25" s="95" t="str">
        <f t="shared" si="7"/>
        <v>obj_002ed#0006</v>
      </c>
      <c r="P25" s="146" t="str">
        <f>IFERROR(_xll.qlRateHelperQuoteName(O25,Trigger),"--")</f>
        <v>EUR6MFRA5x11F_Shifted</v>
      </c>
      <c r="Q25" s="99">
        <f>IFERROR(_xll.qlRateHelperQuoteValue($O25,Trigger),"--")</f>
        <v>-2.15E-3</v>
      </c>
      <c r="R25" s="141" t="b">
        <v>1</v>
      </c>
      <c r="S25" s="95">
        <v>20</v>
      </c>
      <c r="T25" s="95">
        <v>1</v>
      </c>
      <c r="U25" s="100">
        <f>IFERROR(_xll.qlRateHelperEarliestDate(O25,Trigger),"--")</f>
        <v>42899</v>
      </c>
      <c r="V25" s="100">
        <f>IFERROR(_xll.qlRateHelperPillarDate(O25,Trigger),"--")</f>
        <v>43082</v>
      </c>
      <c r="X25" s="4" t="str">
        <f t="shared" si="2"/>
        <v>FRA</v>
      </c>
      <c r="Y25" s="4" t="str">
        <v>obj_002a1</v>
      </c>
      <c r="Z25" s="4" t="str">
        <f>IFERROR(_xll.qlRateHelperQuoteName(Y25,Trigger),"")</f>
        <v>EUR6MFRA13x19F_Shifted</v>
      </c>
      <c r="AA25" s="73">
        <f>IFERROR(_xll.qlRateHelperRate(Y25,Trigger),"")</f>
        <v>-1.5399999999999999E-3</v>
      </c>
      <c r="AB25" s="105" t="str">
        <f>IF(ISERROR(_xll.qlSwapRateHelperSpread($Y25)),IF(ISERROR(_xll.qlFuturesRateHelperConvexityAdjustment($Y25)),"",_xll.qlFuturesRateHelperConvexityAdjustment($Y25)),_xll.qlSwapRateHelperSpread($Y25))</f>
        <v/>
      </c>
      <c r="AC25" s="5">
        <f>IFERROR(_xll.qlRateHelperEarliestDate(Y25,Trigger),"")</f>
        <v>43144</v>
      </c>
      <c r="AD25" s="5">
        <f>IFERROR(_xll.qlRateHelperPillarDate(Y25,Trigger),"")</f>
        <v>43325</v>
      </c>
      <c r="AE25" s="73">
        <v>-2.0191799245581291E-3</v>
      </c>
    </row>
    <row r="26" spans="1:40" ht="11.25" customHeight="1" x14ac:dyDescent="0.2">
      <c r="A26" s="62" t="s">
        <v>95</v>
      </c>
      <c r="B26" s="116">
        <v>4</v>
      </c>
      <c r="C26" s="65" t="str">
        <f t="shared" si="8"/>
        <v>x10F</v>
      </c>
      <c r="D26" s="125"/>
      <c r="E26" s="125"/>
      <c r="F26" s="125"/>
      <c r="G26" s="64" t="str">
        <f t="shared" si="9"/>
        <v>Euribor6MMX#0006</v>
      </c>
      <c r="H26" s="119" t="str">
        <f>IF(ISBLANK(Quote!AI25),"",Quote!AI25)</f>
        <v>EUR6MFRA4X10F=#0006</v>
      </c>
      <c r="I26" s="119" t="str">
        <f>_xll.qlCompositeQuote(Currency&amp;"6M"&amp;A26&amp;B26&amp;C26&amp;"_Shifted",H26,IF(J26=0,BumpValue,J26),"+",Permanent,Trigger,ObjectOverwrite)</f>
        <v>EUR6MFRA4x10F_Shifted#0006</v>
      </c>
      <c r="J26" s="122">
        <v>0</v>
      </c>
      <c r="K26" s="392"/>
      <c r="L26" s="67" t="str">
        <f>_xll.qlFraRateHelper(,IF(Sensitivity,I26,H26),B26&amp;"M",G26,PillarDate,,Permanent,Trigger,ObjectOverwrite)</f>
        <v>obj_002ef#0006</v>
      </c>
      <c r="M26" s="51"/>
      <c r="N26" s="10" t="str">
        <f t="shared" si="6"/>
        <v>FRA</v>
      </c>
      <c r="O26" s="95" t="str">
        <f t="shared" si="7"/>
        <v>obj_002ea#0006</v>
      </c>
      <c r="P26" s="146" t="str">
        <f>IFERROR(_xll.qlRateHelperQuoteName(O26,Trigger),"--")</f>
        <v>EUR6MFRA6x12F_Shifted</v>
      </c>
      <c r="Q26" s="99">
        <f>IFERROR(_xll.qlRateHelperQuoteValue($O26,Trigger),"--")</f>
        <v>-2.0800000000000003E-3</v>
      </c>
      <c r="R26" s="141" t="b">
        <v>1</v>
      </c>
      <c r="S26" s="95">
        <v>20</v>
      </c>
      <c r="T26" s="95">
        <v>1</v>
      </c>
      <c r="U26" s="100">
        <f>IFERROR(_xll.qlRateHelperEarliestDate(O26,Trigger),"--")</f>
        <v>42929</v>
      </c>
      <c r="V26" s="100">
        <f>IFERROR(_xll.qlRateHelperPillarDate(O26,Trigger),"--")</f>
        <v>43115</v>
      </c>
      <c r="X26" s="4" t="str">
        <f t="shared" si="2"/>
        <v>FRA</v>
      </c>
      <c r="Y26" s="4" t="str">
        <v>obj_002a8</v>
      </c>
      <c r="Z26" s="4" t="str">
        <f>IFERROR(_xll.qlRateHelperQuoteName(Y26,Trigger),"")</f>
        <v>EUR6MFRA14x20F_Shifted</v>
      </c>
      <c r="AA26" s="73">
        <f>IFERROR(_xll.qlRateHelperRate(Y26,Trigger),"")</f>
        <v>-1.4599999999999999E-3</v>
      </c>
      <c r="AB26" s="105" t="str">
        <f>IF(ISERROR(_xll.qlSwapRateHelperSpread($Y26)),IF(ISERROR(_xll.qlFuturesRateHelperConvexityAdjustment($Y26)),"",_xll.qlFuturesRateHelperConvexityAdjustment($Y26)),_xll.qlSwapRateHelperSpread($Y26))</f>
        <v/>
      </c>
      <c r="AC26" s="5">
        <f>IFERROR(_xll.qlRateHelperEarliestDate(Y26,Trigger),"")</f>
        <v>43172</v>
      </c>
      <c r="AD26" s="5">
        <f>IFERROR(_xll.qlRateHelperPillarDate(Y26,Trigger),"")</f>
        <v>43356</v>
      </c>
      <c r="AE26" s="73">
        <v>-1.9855980099634015E-3</v>
      </c>
    </row>
    <row r="27" spans="1:40" ht="11.25" customHeight="1" x14ac:dyDescent="0.2">
      <c r="A27" s="62" t="s">
        <v>95</v>
      </c>
      <c r="B27" s="116">
        <v>5</v>
      </c>
      <c r="C27" s="65" t="str">
        <f t="shared" si="8"/>
        <v>x11F</v>
      </c>
      <c r="D27" s="125"/>
      <c r="E27" s="125"/>
      <c r="F27" s="125"/>
      <c r="G27" s="64" t="str">
        <f t="shared" si="9"/>
        <v>Euribor6MMX#0006</v>
      </c>
      <c r="H27" s="119" t="str">
        <f>IF(ISBLANK(Quote!AI26),"",Quote!AI26)</f>
        <v>EUR6MFRA5X11F=#0006</v>
      </c>
      <c r="I27" s="119" t="str">
        <f>_xll.qlCompositeQuote(Currency&amp;"6M"&amp;A27&amp;B27&amp;C27&amp;"_Shifted",H27,IF(J27=0,BumpValue,J27),"+",Permanent,Trigger,ObjectOverwrite)</f>
        <v>EUR6MFRA5x11F_Shifted#0006</v>
      </c>
      <c r="J27" s="122">
        <v>0</v>
      </c>
      <c r="K27" s="392"/>
      <c r="L27" s="67" t="str">
        <f>_xll.qlFraRateHelper(,IF(Sensitivity,I27,H27),B27&amp;"M",G27,PillarDate,,Permanent,Trigger,ObjectOverwrite)</f>
        <v>obj_002ed#0006</v>
      </c>
      <c r="M27" s="51"/>
      <c r="N27" s="10" t="str">
        <f t="shared" si="6"/>
        <v>FRA</v>
      </c>
      <c r="O27" s="95" t="str">
        <f t="shared" si="7"/>
        <v>obj_002e7#0006</v>
      </c>
      <c r="P27" s="146" t="str">
        <f>IFERROR(_xll.qlRateHelperQuoteName(O27,Trigger),"--")</f>
        <v>EUR6MFRA7x13F_Shifted</v>
      </c>
      <c r="Q27" s="99">
        <f>IFERROR(_xll.qlRateHelperQuoteValue($O27,Trigger),"--")</f>
        <v>-2.0200000000000001E-3</v>
      </c>
      <c r="R27" s="141" t="b">
        <v>1</v>
      </c>
      <c r="S27" s="95">
        <v>20</v>
      </c>
      <c r="T27" s="95">
        <v>1</v>
      </c>
      <c r="U27" s="100">
        <f>IFERROR(_xll.qlRateHelperEarliestDate(O27,Trigger),"--")</f>
        <v>42961</v>
      </c>
      <c r="V27" s="100">
        <f>IFERROR(_xll.qlRateHelperPillarDate(O27,Trigger),"--")</f>
        <v>43144</v>
      </c>
      <c r="X27" s="4" t="str">
        <f t="shared" si="2"/>
        <v>FRA</v>
      </c>
      <c r="Y27" s="4" t="str">
        <v>obj_002ac</v>
      </c>
      <c r="Z27" s="4" t="str">
        <f>IFERROR(_xll.qlRateHelperQuoteName(Y27,Trigger),"")</f>
        <v>EUR6MFRA15x21F_Shifted</v>
      </c>
      <c r="AA27" s="73">
        <f>IFERROR(_xll.qlRateHelperRate(Y27,Trigger),"")</f>
        <v>-1.3600000000000001E-3</v>
      </c>
      <c r="AB27" s="105" t="str">
        <f>IF(ISERROR(_xll.qlSwapRateHelperSpread($Y27)),IF(ISERROR(_xll.qlFuturesRateHelperConvexityAdjustment($Y27)),"",_xll.qlFuturesRateHelperConvexityAdjustment($Y27)),_xll.qlSwapRateHelperSpread($Y27))</f>
        <v/>
      </c>
      <c r="AC27" s="5">
        <f>IFERROR(_xll.qlRateHelperEarliestDate(Y27,Trigger),"")</f>
        <v>43203</v>
      </c>
      <c r="AD27" s="5">
        <f>IFERROR(_xll.qlRateHelperPillarDate(Y27,Trigger),"")</f>
        <v>43388</v>
      </c>
      <c r="AE27" s="73">
        <v>-1.9344027770617984E-3</v>
      </c>
    </row>
    <row r="28" spans="1:40" ht="11.25" customHeight="1" x14ac:dyDescent="0.2">
      <c r="A28" s="62" t="s">
        <v>95</v>
      </c>
      <c r="B28" s="116">
        <v>6</v>
      </c>
      <c r="C28" s="65" t="str">
        <f t="shared" si="8"/>
        <v>x12F</v>
      </c>
      <c r="D28" s="125"/>
      <c r="E28" s="125"/>
      <c r="F28" s="125"/>
      <c r="G28" s="64" t="str">
        <f t="shared" si="9"/>
        <v>Euribor6MMX#0006</v>
      </c>
      <c r="H28" s="119" t="str">
        <f>IF(ISBLANK(Quote!AI27),"",Quote!AI27)</f>
        <v>EUR6MFRA6X12F=#0006</v>
      </c>
      <c r="I28" s="119" t="str">
        <f>_xll.qlCompositeQuote(Currency&amp;"6M"&amp;A28&amp;B28&amp;C28&amp;"_Shifted",H28,IF(J28=0,BumpValue,J28),"+",Permanent,Trigger,ObjectOverwrite)</f>
        <v>EUR6MFRA6x12F_Shifted#0006</v>
      </c>
      <c r="J28" s="122">
        <v>0</v>
      </c>
      <c r="K28" s="392"/>
      <c r="L28" s="67" t="str">
        <f>_xll.qlFraRateHelper(,IF(Sensitivity,I28,H28),B28&amp;"M",G28,PillarDate,,Permanent,Trigger,ObjectOverwrite)</f>
        <v>obj_002ea#0006</v>
      </c>
      <c r="M28" s="51"/>
      <c r="N28" s="10" t="str">
        <f t="shared" si="6"/>
        <v>FRA</v>
      </c>
      <c r="O28" s="95" t="str">
        <f t="shared" si="7"/>
        <v>obj_002e9#0006</v>
      </c>
      <c r="P28" s="146" t="str">
        <f>IFERROR(_xll.qlRateHelperQuoteName(O28,Trigger),"--")</f>
        <v>EUR6MFRA8x14F_Shifted</v>
      </c>
      <c r="Q28" s="99">
        <f>IFERROR(_xll.qlRateHelperQuoteValue($O28,Trigger),"--")</f>
        <v>-1.9500000000000001E-3</v>
      </c>
      <c r="R28" s="98" t="b">
        <v>1</v>
      </c>
      <c r="S28" s="95">
        <v>20</v>
      </c>
      <c r="T28" s="95">
        <v>1</v>
      </c>
      <c r="U28" s="100">
        <f>IFERROR(_xll.qlRateHelperEarliestDate(O28,Trigger),"--")</f>
        <v>42991</v>
      </c>
      <c r="V28" s="100">
        <f>IFERROR(_xll.qlRateHelperPillarDate(O28,Trigger),"--")</f>
        <v>43172</v>
      </c>
      <c r="X28" s="4" t="str">
        <f t="shared" si="2"/>
        <v>FRA</v>
      </c>
      <c r="Y28" s="4" t="str">
        <v>obj_002a5</v>
      </c>
      <c r="Z28" s="4" t="str">
        <f>IFERROR(_xll.qlRateHelperQuoteName(Y28,Trigger),"")</f>
        <v>EUR6MFRA16x22F_Shifted</v>
      </c>
      <c r="AA28" s="73">
        <f>IFERROR(_xll.qlRateHelperRate(Y28,Trigger),"")</f>
        <v>-1.2700000000000001E-3</v>
      </c>
      <c r="AB28" s="105" t="str">
        <f>IF(ISERROR(_xll.qlSwapRateHelperSpread($Y28)),IF(ISERROR(_xll.qlFuturesRateHelperConvexityAdjustment($Y28)),"",_xll.qlFuturesRateHelperConvexityAdjustment($Y28)),_xll.qlSwapRateHelperSpread($Y28))</f>
        <v/>
      </c>
      <c r="AC28" s="5">
        <f>IFERROR(_xll.qlRateHelperEarliestDate(Y28,Trigger),"")</f>
        <v>43234</v>
      </c>
      <c r="AD28" s="5">
        <f>IFERROR(_xll.qlRateHelperPillarDate(Y28,Trigger),"")</f>
        <v>43417</v>
      </c>
      <c r="AE28" s="73">
        <v>-1.8962760371718447E-3</v>
      </c>
    </row>
    <row r="29" spans="1:40" ht="11.25" customHeight="1" x14ac:dyDescent="0.2">
      <c r="A29" s="62" t="s">
        <v>95</v>
      </c>
      <c r="B29" s="116">
        <v>7</v>
      </c>
      <c r="C29" s="65" t="str">
        <f t="shared" si="8"/>
        <v>x13F</v>
      </c>
      <c r="D29" s="125"/>
      <c r="E29" s="125"/>
      <c r="F29" s="125"/>
      <c r="G29" s="64" t="str">
        <f t="shared" si="9"/>
        <v>Euribor6MMX#0006</v>
      </c>
      <c r="H29" s="119" t="str">
        <f>IF(ISBLANK(Quote!AI28),"",Quote!AI28)</f>
        <v>EUR6MFRA7X13F=#0006</v>
      </c>
      <c r="I29" s="119" t="str">
        <f>_xll.qlCompositeQuote(Currency&amp;"6M"&amp;A29&amp;B29&amp;C29&amp;"_Shifted",H29,IF(J29=0,BumpValue,J29),"+",Permanent,Trigger,ObjectOverwrite)</f>
        <v>EUR6MFRA7x13F_Shifted#0006</v>
      </c>
      <c r="J29" s="122">
        <v>0</v>
      </c>
      <c r="K29" s="392"/>
      <c r="L29" s="67" t="str">
        <f>_xll.qlFraRateHelper(,IF(Sensitivity,I29,H29),B29&amp;"M",G29,PillarDate,,Permanent,Trigger,ObjectOverwrite)</f>
        <v>obj_002e7#0006</v>
      </c>
      <c r="M29" s="51"/>
      <c r="N29" s="10" t="str">
        <f t="shared" si="6"/>
        <v>FRA</v>
      </c>
      <c r="O29" s="95" t="str">
        <f t="shared" si="7"/>
        <v>obj_002cf#0006</v>
      </c>
      <c r="P29" s="146" t="str">
        <f>IFERROR(_xll.qlRateHelperQuoteName(O29,Trigger),"--")</f>
        <v>EUR6MFRA9x15F_Shifted</v>
      </c>
      <c r="Q29" s="99">
        <f>IFERROR(_xll.qlRateHelperQuoteValue($O29,Trigger),"--")</f>
        <v>-1.8699999999999999E-3</v>
      </c>
      <c r="R29" s="98" t="b">
        <v>1</v>
      </c>
      <c r="S29" s="95">
        <v>20</v>
      </c>
      <c r="T29" s="95">
        <v>1</v>
      </c>
      <c r="U29" s="100">
        <f>IFERROR(_xll.qlRateHelperEarliestDate(O29,Trigger),"--")</f>
        <v>43021</v>
      </c>
      <c r="V29" s="100">
        <f>IFERROR(_xll.qlRateHelperPillarDate(O29,Trigger),"--")</f>
        <v>43203</v>
      </c>
      <c r="X29" s="4" t="str">
        <f t="shared" si="2"/>
        <v>FRA</v>
      </c>
      <c r="Y29" s="4" t="str">
        <v>obj_002ce</v>
      </c>
      <c r="Z29" s="4" t="str">
        <f>IFERROR(_xll.qlRateHelperQuoteName(Y29,Trigger),"")</f>
        <v>EUR6MFRA17x23F_Shifted</v>
      </c>
      <c r="AA29" s="73">
        <f>IFERROR(_xll.qlRateHelperRate(Y29,Trigger),"")</f>
        <v>-1.17E-3</v>
      </c>
      <c r="AB29" s="105" t="str">
        <f>IF(ISERROR(_xll.qlSwapRateHelperSpread($Y29)),IF(ISERROR(_xll.qlFuturesRateHelperConvexityAdjustment($Y29)),"",_xll.qlFuturesRateHelperConvexityAdjustment($Y29)),_xll.qlSwapRateHelperSpread($Y29))</f>
        <v/>
      </c>
      <c r="AC29" s="5">
        <f>IFERROR(_xll.qlRateHelperEarliestDate(Y29,Trigger),"")</f>
        <v>43264</v>
      </c>
      <c r="AD29" s="5">
        <f>IFERROR(_xll.qlRateHelperPillarDate(Y29,Trigger),"")</f>
        <v>43447</v>
      </c>
      <c r="AE29" s="73">
        <v>-1.8546567516923233E-3</v>
      </c>
    </row>
    <row r="30" spans="1:40" ht="11.25" customHeight="1" x14ac:dyDescent="0.2">
      <c r="A30" s="62" t="s">
        <v>95</v>
      </c>
      <c r="B30" s="116">
        <v>8</v>
      </c>
      <c r="C30" s="65" t="str">
        <f t="shared" si="8"/>
        <v>x14F</v>
      </c>
      <c r="D30" s="125"/>
      <c r="E30" s="125"/>
      <c r="F30" s="125"/>
      <c r="G30" s="64" t="str">
        <f t="shared" si="9"/>
        <v>Euribor6MMX#0006</v>
      </c>
      <c r="H30" s="119" t="str">
        <f>IF(ISBLANK(Quote!AI29),"",Quote!AI29)</f>
        <v>EUR6MFRA8X14F=#0006</v>
      </c>
      <c r="I30" s="119" t="str">
        <f>_xll.qlCompositeQuote(Currency&amp;"6M"&amp;A30&amp;B30&amp;C30&amp;"_Shifted",H30,IF(J30=0,BumpValue,J30),"+",Permanent,Trigger,ObjectOverwrite)</f>
        <v>EUR6MFRA8x14F_Shifted#0006</v>
      </c>
      <c r="J30" s="122">
        <v>0</v>
      </c>
      <c r="K30" s="392"/>
      <c r="L30" s="67" t="str">
        <f>_xll.qlFraRateHelper(,IF(Sensitivity,I30,H30),B30&amp;"M",G30,PillarDate,,Permanent,Trigger,ObjectOverwrite)</f>
        <v>obj_002e9#0006</v>
      </c>
      <c r="M30" s="51"/>
      <c r="N30" s="10" t="str">
        <f t="shared" si="6"/>
        <v>FRA</v>
      </c>
      <c r="O30" s="95" t="str">
        <f t="shared" si="7"/>
        <v>obj_002c4#0006</v>
      </c>
      <c r="P30" s="146" t="str">
        <f>IFERROR(_xll.qlRateHelperQuoteName(O30,Trigger),"--")</f>
        <v>EUR6MFRA10x16F_Shifted</v>
      </c>
      <c r="Q30" s="99">
        <f>IFERROR(_xll.qlRateHelperQuoteValue($O30,Trigger),"--")</f>
        <v>-1.7899999999999999E-3</v>
      </c>
      <c r="R30" s="98" t="b">
        <v>1</v>
      </c>
      <c r="S30" s="95">
        <v>20</v>
      </c>
      <c r="T30" s="95">
        <v>1</v>
      </c>
      <c r="U30" s="100">
        <f>IFERROR(_xll.qlRateHelperEarliestDate(O30,Trigger),"--")</f>
        <v>43052</v>
      </c>
      <c r="V30" s="100">
        <f>IFERROR(_xll.qlRateHelperPillarDate(O30,Trigger),"--")</f>
        <v>43234</v>
      </c>
      <c r="X30" s="4" t="str">
        <f t="shared" si="2"/>
        <v>FRA</v>
      </c>
      <c r="Y30" s="4" t="str">
        <v>obj_0029d</v>
      </c>
      <c r="Z30" s="4" t="str">
        <f>IFERROR(_xll.qlRateHelperQuoteName(Y30,Trigger),"")</f>
        <v>EUR6MFRA18x24F_Shifted</v>
      </c>
      <c r="AA30" s="73">
        <f>IFERROR(_xll.qlRateHelperRate(Y30,Trigger),"")</f>
        <v>-1.0300000000000001E-3</v>
      </c>
      <c r="AB30" s="105" t="str">
        <f>IF(ISERROR(_xll.qlSwapRateHelperSpread($Y30)),IF(ISERROR(_xll.qlFuturesRateHelperConvexityAdjustment($Y30)),"",_xll.qlFuturesRateHelperConvexityAdjustment($Y30)),_xll.qlSwapRateHelperSpread($Y30))</f>
        <v/>
      </c>
      <c r="AC30" s="5">
        <f>IFERROR(_xll.qlRateHelperEarliestDate(Y30,Trigger),"")</f>
        <v>43294</v>
      </c>
      <c r="AD30" s="5">
        <f>IFERROR(_xll.qlRateHelperPillarDate(Y30,Trigger),"")</f>
        <v>43479</v>
      </c>
      <c r="AE30" s="73">
        <v>-1.7995667081971919E-3</v>
      </c>
    </row>
    <row r="31" spans="1:40" ht="11.25" customHeight="1" x14ac:dyDescent="0.2">
      <c r="A31" s="62" t="s">
        <v>95</v>
      </c>
      <c r="B31" s="116">
        <v>9</v>
      </c>
      <c r="C31" s="65" t="str">
        <f t="shared" si="8"/>
        <v>x15F</v>
      </c>
      <c r="D31" s="125"/>
      <c r="E31" s="125"/>
      <c r="F31" s="125"/>
      <c r="G31" s="64" t="str">
        <f t="shared" si="9"/>
        <v>Euribor6MMX#0006</v>
      </c>
      <c r="H31" s="119" t="str">
        <f>IF(ISBLANK(Quote!AI30),"",Quote!AI30)</f>
        <v>EUR6MFRA9X15F=#0006</v>
      </c>
      <c r="I31" s="119" t="str">
        <f>_xll.qlCompositeQuote(Currency&amp;"6M"&amp;A31&amp;B31&amp;C31&amp;"_Shifted",H31,IF(J31=0,BumpValue,J31),"+",Permanent,Trigger,ObjectOverwrite)</f>
        <v>EUR6MFRA9x15F_Shifted#0006</v>
      </c>
      <c r="J31" s="122">
        <v>0</v>
      </c>
      <c r="K31" s="392"/>
      <c r="L31" s="67" t="str">
        <f>_xll.qlFraRateHelper(,IF(Sensitivity,I31,H31),B31&amp;"M",G31,PillarDate,,Permanent,Trigger,ObjectOverwrite)</f>
        <v>obj_002cf#0006</v>
      </c>
      <c r="M31" s="51"/>
      <c r="N31" s="10" t="str">
        <f t="shared" si="6"/>
        <v>FRA</v>
      </c>
      <c r="O31" s="95" t="str">
        <f t="shared" si="7"/>
        <v>obj_002b6#0006</v>
      </c>
      <c r="P31" s="146" t="str">
        <f>IFERROR(_xll.qlRateHelperQuoteName(O31,Trigger),"--")</f>
        <v>EUR6MFRA11x17F_Shifted</v>
      </c>
      <c r="Q31" s="99">
        <f>IFERROR(_xll.qlRateHelperQuoteValue($O31,Trigger),"--")</f>
        <v>-1.7200000000000002E-3</v>
      </c>
      <c r="R31" s="98" t="b">
        <v>1</v>
      </c>
      <c r="S31" s="95">
        <v>20</v>
      </c>
      <c r="T31" s="95">
        <v>1</v>
      </c>
      <c r="U31" s="100">
        <f>IFERROR(_xll.qlRateHelperEarliestDate(O31,Trigger),"--")</f>
        <v>43082</v>
      </c>
      <c r="V31" s="100">
        <f>IFERROR(_xll.qlRateHelperPillarDate(O31,Trigger),"--")</f>
        <v>43264</v>
      </c>
      <c r="X31" s="4" t="str">
        <f t="shared" si="2"/>
        <v>FRA</v>
      </c>
      <c r="Y31" s="4" t="str">
        <v>obj_002eb</v>
      </c>
      <c r="Z31" s="4" t="str">
        <f>IFERROR(_xll.qlRateHelperQuoteName(Y31,Trigger),"")</f>
        <v>EUR6MFRA24x30F_Shifted</v>
      </c>
      <c r="AA31" s="73">
        <f>IFERROR(_xll.qlRateHelperRate(Y31,Trigger),"")</f>
        <v>-7.1880940000000008E-5</v>
      </c>
      <c r="AB31" s="105" t="str">
        <f>IF(ISERROR(_xll.qlSwapRateHelperSpread($Y31)),IF(ISERROR(_xll.qlFuturesRateHelperConvexityAdjustment($Y31)),"",_xll.qlFuturesRateHelperConvexityAdjustment($Y31)),_xll.qlSwapRateHelperSpread($Y31))</f>
        <v/>
      </c>
      <c r="AC31" s="5">
        <f>IFERROR(_xll.qlRateHelperEarliestDate(Y31,Trigger),"")</f>
        <v>43479</v>
      </c>
      <c r="AD31" s="5">
        <f>IFERROR(_xll.qlRateHelperPillarDate(Y31,Trigger),"")</f>
        <v>43661</v>
      </c>
      <c r="AE31" s="73">
        <v>-1.4561165773151301E-3</v>
      </c>
    </row>
    <row r="32" spans="1:40" ht="11.25" customHeight="1" x14ac:dyDescent="0.2">
      <c r="A32" s="62" t="s">
        <v>95</v>
      </c>
      <c r="B32" s="116">
        <v>10</v>
      </c>
      <c r="C32" s="65" t="str">
        <f t="shared" si="8"/>
        <v>x16F</v>
      </c>
      <c r="D32" s="125"/>
      <c r="E32" s="125"/>
      <c r="F32" s="125"/>
      <c r="G32" s="64" t="str">
        <f t="shared" si="9"/>
        <v>Euribor6MMX#0006</v>
      </c>
      <c r="H32" s="119" t="str">
        <f>IF(ISBLANK(Quote!AI31),"",Quote!AI31)</f>
        <v>EUR6MFRA10X16F=#0006</v>
      </c>
      <c r="I32" s="119" t="str">
        <f>_xll.qlCompositeQuote(Currency&amp;"6M"&amp;A32&amp;B32&amp;C32&amp;"_Shifted",H32,IF(J32=0,BumpValue,J32),"+",Permanent,Trigger,ObjectOverwrite)</f>
        <v>EUR6MFRA10x16F_Shifted#0006</v>
      </c>
      <c r="J32" s="122">
        <v>0</v>
      </c>
      <c r="K32" s="392"/>
      <c r="L32" s="67" t="str">
        <f>_xll.qlFraRateHelper(,IF(Sensitivity,I32,H32),B32&amp;"M",G32,PillarDate,,Permanent,Trigger,ObjectOverwrite)</f>
        <v>obj_002c4#0006</v>
      </c>
      <c r="M32" s="51"/>
      <c r="N32" s="10" t="str">
        <f t="shared" si="6"/>
        <v>FRA</v>
      </c>
      <c r="O32" s="95" t="str">
        <f t="shared" si="7"/>
        <v>obj_002aa#0006</v>
      </c>
      <c r="P32" s="146" t="str">
        <f>IFERROR(_xll.qlRateHelperQuoteName(O32,Trigger),"--")</f>
        <v>EUR6MFRA12x18F_Shifted</v>
      </c>
      <c r="Q32" s="99">
        <f>IFERROR(_xll.qlRateHelperQuoteValue($O32,Trigger),"--")</f>
        <v>-1.6300000000000002E-3</v>
      </c>
      <c r="R32" s="98" t="b">
        <v>1</v>
      </c>
      <c r="S32" s="95">
        <v>20</v>
      </c>
      <c r="T32" s="95">
        <v>1</v>
      </c>
      <c r="U32" s="100">
        <f>IFERROR(_xll.qlRateHelperEarliestDate(O32,Trigger),"--")</f>
        <v>43115</v>
      </c>
      <c r="V32" s="100">
        <f>IFERROR(_xll.qlRateHelperPillarDate(O32,Trigger),"--")</f>
        <v>43294</v>
      </c>
      <c r="X32" s="4" t="str">
        <f t="shared" si="2"/>
        <v>SW</v>
      </c>
      <c r="Y32" s="4" t="str">
        <v>obj_00386</v>
      </c>
      <c r="Z32" s="4" t="str">
        <f>IFERROR(_xll.qlRateHelperQuoteName(Y32,Trigger),"")</f>
        <v>EUR6MSW3Y_Shifted</v>
      </c>
      <c r="AA32" s="73">
        <f>IFERROR(_xll.qlRateHelperRate(Y32,Trigger),"")</f>
        <v>-1.07E-3</v>
      </c>
      <c r="AB32" s="105">
        <f>IF(ISERROR(_xll.qlSwapRateHelperSpread($Y32)),IF(ISERROR(_xll.qlFuturesRateHelperConvexityAdjustment($Y32)),"",_xll.qlFuturesRateHelperConvexityAdjustment($Y32)),_xll.qlSwapRateHelperSpread($Y32))</f>
        <v>0</v>
      </c>
      <c r="AC32" s="5">
        <f>IFERROR(_xll.qlRateHelperEarliestDate(Y32,Trigger),"")</f>
        <v>42748</v>
      </c>
      <c r="AD32" s="5">
        <f>IFERROR(_xll.qlRateHelperPillarDate(Y32,Trigger),"")</f>
        <v>43843</v>
      </c>
      <c r="AE32" s="73">
        <v>-1.0800495367516115E-3</v>
      </c>
    </row>
    <row r="33" spans="1:31" ht="11.25" customHeight="1" x14ac:dyDescent="0.2">
      <c r="A33" s="62" t="s">
        <v>95</v>
      </c>
      <c r="B33" s="116">
        <v>11</v>
      </c>
      <c r="C33" s="65" t="str">
        <f t="shared" si="8"/>
        <v>x17F</v>
      </c>
      <c r="D33" s="125"/>
      <c r="E33" s="125"/>
      <c r="F33" s="125"/>
      <c r="G33" s="64" t="str">
        <f t="shared" si="9"/>
        <v>Euribor6MMX#0006</v>
      </c>
      <c r="H33" s="119" t="str">
        <f>IF(ISBLANK(Quote!AI32),"",Quote!AI32)</f>
        <v>EUR6MFRA11X17F=#0006</v>
      </c>
      <c r="I33" s="119" t="str">
        <f>_xll.qlCompositeQuote(Currency&amp;"6M"&amp;A33&amp;B33&amp;C33&amp;"_Shifted",H33,IF(J33=0,BumpValue,J33),"+",Permanent,Trigger,ObjectOverwrite)</f>
        <v>EUR6MFRA11x17F_Shifted#0006</v>
      </c>
      <c r="J33" s="122">
        <v>0</v>
      </c>
      <c r="K33" s="392"/>
      <c r="L33" s="67" t="str">
        <f>_xll.qlFraRateHelper(,IF(Sensitivity,I33,H33),B33&amp;"M",G33,PillarDate,,Permanent,Trigger,ObjectOverwrite)</f>
        <v>obj_002b6#0006</v>
      </c>
      <c r="M33" s="51"/>
      <c r="N33" s="10" t="str">
        <f t="shared" si="6"/>
        <v>FRA</v>
      </c>
      <c r="O33" s="95" t="str">
        <f t="shared" si="7"/>
        <v>obj_002a1#0006</v>
      </c>
      <c r="P33" s="146" t="str">
        <f>IFERROR(_xll.qlRateHelperQuoteName(O33,Trigger),"--")</f>
        <v>EUR6MFRA13x19F_Shifted</v>
      </c>
      <c r="Q33" s="99">
        <f>IFERROR(_xll.qlRateHelperQuoteValue($O33,Trigger),"--")</f>
        <v>-1.5399999999999999E-3</v>
      </c>
      <c r="R33" s="98" t="b">
        <v>1</v>
      </c>
      <c r="S33" s="95">
        <v>20</v>
      </c>
      <c r="T33" s="95">
        <v>1</v>
      </c>
      <c r="U33" s="100">
        <f>IFERROR(_xll.qlRateHelperEarliestDate(O33,Trigger),"--")</f>
        <v>43144</v>
      </c>
      <c r="V33" s="100">
        <f>IFERROR(_xll.qlRateHelperPillarDate(O33,Trigger),"--")</f>
        <v>43325</v>
      </c>
      <c r="X33" s="4" t="str">
        <f t="shared" si="2"/>
        <v>SW</v>
      </c>
      <c r="Y33" s="4" t="str">
        <v>obj_00396</v>
      </c>
      <c r="Z33" s="4" t="str">
        <f>IFERROR(_xll.qlRateHelperQuoteName(Y33,Trigger),"")</f>
        <v>EUR6MSW4Y_Shifted</v>
      </c>
      <c r="AA33" s="73">
        <f>IFERROR(_xll.qlRateHelperRate(Y33,Trigger),"")</f>
        <v>-1.8999999999999998E-4</v>
      </c>
      <c r="AB33" s="105">
        <f>IF(ISERROR(_xll.qlSwapRateHelperSpread($Y33)),IF(ISERROR(_xll.qlFuturesRateHelperConvexityAdjustment($Y33)),"",_xll.qlFuturesRateHelperConvexityAdjustment($Y33)),_xll.qlSwapRateHelperSpread($Y33))</f>
        <v>0</v>
      </c>
      <c r="AC33" s="5">
        <f>IFERROR(_xll.qlRateHelperEarliestDate(Y33,Trigger),"")</f>
        <v>42748</v>
      </c>
      <c r="AD33" s="5">
        <f>IFERROR(_xll.qlRateHelperPillarDate(Y33,Trigger),"")</f>
        <v>44209</v>
      </c>
      <c r="AE33" s="73">
        <v>-2.0078251473791407E-4</v>
      </c>
    </row>
    <row r="34" spans="1:31" ht="11.25" customHeight="1" x14ac:dyDescent="0.2">
      <c r="A34" s="62" t="s">
        <v>95</v>
      </c>
      <c r="B34" s="116">
        <v>12</v>
      </c>
      <c r="C34" s="65" t="str">
        <f t="shared" si="8"/>
        <v>x18F</v>
      </c>
      <c r="D34" s="125"/>
      <c r="E34" s="125"/>
      <c r="F34" s="125"/>
      <c r="G34" s="64" t="str">
        <f t="shared" si="9"/>
        <v>Euribor6MMX#0006</v>
      </c>
      <c r="H34" s="119" t="str">
        <f>IF(ISBLANK(Quote!AI33),"",Quote!AI33)</f>
        <v>EUR6MFRA12X18F=#0006</v>
      </c>
      <c r="I34" s="119" t="str">
        <f>_xll.qlCompositeQuote(Currency&amp;"6M"&amp;A34&amp;B34&amp;C34&amp;"_Shifted",H34,IF(J34=0,BumpValue,J34),"+",Permanent,Trigger,ObjectOverwrite)</f>
        <v>EUR6MFRA12x18F_Shifted#0006</v>
      </c>
      <c r="J34" s="122">
        <v>0</v>
      </c>
      <c r="K34" s="392"/>
      <c r="L34" s="67" t="str">
        <f>_xll.qlFraRateHelper(,IF(Sensitivity,I34,H34),B34&amp;"M",G34,PillarDate,,Permanent,Trigger,ObjectOverwrite)</f>
        <v>obj_002aa#0006</v>
      </c>
      <c r="M34" s="51"/>
      <c r="N34" s="10" t="str">
        <f t="shared" si="6"/>
        <v>FRA</v>
      </c>
      <c r="O34" s="95" t="str">
        <f t="shared" si="7"/>
        <v>obj_002a8#0006</v>
      </c>
      <c r="P34" s="146" t="str">
        <f>IFERROR(_xll.qlRateHelperQuoteName(O34,Trigger),"--")</f>
        <v>EUR6MFRA14x20F_Shifted</v>
      </c>
      <c r="Q34" s="99">
        <f>IFERROR(_xll.qlRateHelperQuoteValue($O34,Trigger),"--")</f>
        <v>-1.4599999999999999E-3</v>
      </c>
      <c r="R34" s="98" t="b">
        <v>1</v>
      </c>
      <c r="S34" s="95">
        <v>20</v>
      </c>
      <c r="T34" s="95">
        <v>1</v>
      </c>
      <c r="U34" s="100">
        <f>IFERROR(_xll.qlRateHelperEarliestDate(O34,Trigger),"--")</f>
        <v>43172</v>
      </c>
      <c r="V34" s="100">
        <f>IFERROR(_xll.qlRateHelperPillarDate(O34,Trigger),"--")</f>
        <v>43356</v>
      </c>
      <c r="X34" s="4" t="str">
        <f t="shared" si="2"/>
        <v>SW</v>
      </c>
      <c r="Y34" s="4" t="str">
        <v>obj_003b2</v>
      </c>
      <c r="Z34" s="4" t="str">
        <f>IFERROR(_xll.qlRateHelperQuoteName(Y34,Trigger),"")</f>
        <v>EUR6MSW5Y_Shifted</v>
      </c>
      <c r="AA34" s="73">
        <f>IFERROR(_xll.qlRateHelperRate(Y34,Trigger),"")</f>
        <v>8.7000000000000011E-4</v>
      </c>
      <c r="AB34" s="105">
        <f>IF(ISERROR(_xll.qlSwapRateHelperSpread($Y34)),IF(ISERROR(_xll.qlFuturesRateHelperConvexityAdjustment($Y34)),"",_xll.qlFuturesRateHelperConvexityAdjustment($Y34)),_xll.qlSwapRateHelperSpread($Y34))</f>
        <v>0</v>
      </c>
      <c r="AC34" s="5">
        <f>IFERROR(_xll.qlRateHelperEarliestDate(Y34,Trigger),"")</f>
        <v>42748</v>
      </c>
      <c r="AD34" s="5">
        <f>IFERROR(_xll.qlRateHelperPillarDate(Y34,Trigger),"")</f>
        <v>44574</v>
      </c>
      <c r="AE34" s="73">
        <v>8.5786275924396873E-4</v>
      </c>
    </row>
    <row r="35" spans="1:31" ht="11.25" customHeight="1" x14ac:dyDescent="0.2">
      <c r="A35" s="62" t="s">
        <v>95</v>
      </c>
      <c r="B35" s="116">
        <v>13</v>
      </c>
      <c r="C35" s="65" t="str">
        <f t="shared" si="8"/>
        <v>x19F</v>
      </c>
      <c r="D35" s="125"/>
      <c r="E35" s="125"/>
      <c r="F35" s="125"/>
      <c r="G35" s="64" t="str">
        <f t="shared" si="9"/>
        <v>Euribor6MMX#0006</v>
      </c>
      <c r="H35" s="119" t="str">
        <f>IF(ISBLANK(Quote!AI34),"",Quote!AI34)</f>
        <v>EUR6MFRA13X19F=#0006</v>
      </c>
      <c r="I35" s="119" t="str">
        <f>_xll.qlCompositeQuote(Currency&amp;"6M"&amp;A35&amp;B35&amp;C35&amp;"_Shifted",H35,IF(J35=0,BumpValue,J35),"+",Permanent,Trigger,ObjectOverwrite)</f>
        <v>EUR6MFRA13x19F_Shifted#0006</v>
      </c>
      <c r="J35" s="122">
        <v>0</v>
      </c>
      <c r="K35" s="392"/>
      <c r="L35" s="67" t="str">
        <f>_xll.qlFraRateHelper(,IF(Sensitivity,I35,H35),B35&amp;"M",G35,PillarDate,,Permanent,Trigger,ObjectOverwrite)</f>
        <v>obj_002a1#0006</v>
      </c>
      <c r="M35" s="51"/>
      <c r="N35" s="10" t="str">
        <f t="shared" si="6"/>
        <v>FRA</v>
      </c>
      <c r="O35" s="95" t="str">
        <f t="shared" si="7"/>
        <v>obj_002ac#0006</v>
      </c>
      <c r="P35" s="146" t="str">
        <f>IFERROR(_xll.qlRateHelperQuoteName(O35,Trigger),"--")</f>
        <v>EUR6MFRA15x21F_Shifted</v>
      </c>
      <c r="Q35" s="99">
        <f>IFERROR(_xll.qlRateHelperQuoteValue($O35,Trigger),"--")</f>
        <v>-1.3600000000000001E-3</v>
      </c>
      <c r="R35" s="98" t="b">
        <v>1</v>
      </c>
      <c r="S35" s="95">
        <v>20</v>
      </c>
      <c r="T35" s="95">
        <v>1</v>
      </c>
      <c r="U35" s="100">
        <f>IFERROR(_xll.qlRateHelperEarliestDate(O35,Trigger),"--")</f>
        <v>43203</v>
      </c>
      <c r="V35" s="100">
        <f>IFERROR(_xll.qlRateHelperPillarDate(O35,Trigger),"--")</f>
        <v>43388</v>
      </c>
      <c r="X35" s="4" t="str">
        <f t="shared" si="2"/>
        <v>SW</v>
      </c>
      <c r="Y35" s="4" t="str">
        <v>obj_00341</v>
      </c>
      <c r="Z35" s="4" t="str">
        <f>IFERROR(_xll.qlRateHelperQuoteName(Y35,Trigger),"")</f>
        <v>EUR6MSW6Y_Shifted</v>
      </c>
      <c r="AA35" s="73">
        <f>IFERROR(_xll.qlRateHelperRate(Y35,Trigger),"")</f>
        <v>2.0300000000000001E-3</v>
      </c>
      <c r="AB35" s="105">
        <f>IF(ISERROR(_xll.qlSwapRateHelperSpread($Y35)),IF(ISERROR(_xll.qlFuturesRateHelperConvexityAdjustment($Y35)),"",_xll.qlFuturesRateHelperConvexityAdjustment($Y35)),_xll.qlSwapRateHelperSpread($Y35))</f>
        <v>0</v>
      </c>
      <c r="AC35" s="5">
        <f>IFERROR(_xll.qlRateHelperEarliestDate(Y35,Trigger),"")</f>
        <v>42748</v>
      </c>
      <c r="AD35" s="5">
        <f>IFERROR(_xll.qlRateHelperPillarDate(Y35,Trigger),"")</f>
        <v>44939</v>
      </c>
      <c r="AE35" s="73">
        <v>2.0192587068688147E-3</v>
      </c>
    </row>
    <row r="36" spans="1:31" ht="11.25" customHeight="1" x14ac:dyDescent="0.2">
      <c r="A36" s="62" t="s">
        <v>95</v>
      </c>
      <c r="B36" s="116">
        <v>14</v>
      </c>
      <c r="C36" s="65" t="str">
        <f t="shared" si="8"/>
        <v>x20F</v>
      </c>
      <c r="D36" s="125"/>
      <c r="E36" s="125"/>
      <c r="F36" s="125"/>
      <c r="G36" s="64" t="str">
        <f t="shared" si="9"/>
        <v>Euribor6MMX#0006</v>
      </c>
      <c r="H36" s="119" t="str">
        <f>IF(ISBLANK(Quote!AI35),"",Quote!AI35)</f>
        <v>EUR6MFRA14X20F=#0006</v>
      </c>
      <c r="I36" s="119" t="str">
        <f>_xll.qlCompositeQuote(Currency&amp;"6M"&amp;A36&amp;B36&amp;C36&amp;"_Shifted",H36,IF(J36=0,BumpValue,J36),"+",Permanent,Trigger,ObjectOverwrite)</f>
        <v>EUR6MFRA14x20F_Shifted#0006</v>
      </c>
      <c r="J36" s="122">
        <v>0</v>
      </c>
      <c r="K36" s="392"/>
      <c r="L36" s="67" t="str">
        <f>_xll.qlFraRateHelper(,IF(Sensitivity,I36,H36),B36&amp;"M",G36,PillarDate,,Permanent,Trigger,ObjectOverwrite)</f>
        <v>obj_002a8#0006</v>
      </c>
      <c r="M36" s="51"/>
      <c r="N36" s="10" t="str">
        <f t="shared" si="6"/>
        <v>FRA</v>
      </c>
      <c r="O36" s="95" t="str">
        <f t="shared" si="7"/>
        <v>obj_002a5#0006</v>
      </c>
      <c r="P36" s="146" t="str">
        <f>IFERROR(_xll.qlRateHelperQuoteName(O36,Trigger),"--")</f>
        <v>EUR6MFRA16x22F_Shifted</v>
      </c>
      <c r="Q36" s="99">
        <f>IFERROR(_xll.qlRateHelperQuoteValue($O36,Trigger),"--")</f>
        <v>-1.2700000000000001E-3</v>
      </c>
      <c r="R36" s="98" t="b">
        <v>1</v>
      </c>
      <c r="S36" s="95">
        <v>20</v>
      </c>
      <c r="T36" s="95">
        <v>1</v>
      </c>
      <c r="U36" s="100">
        <f>IFERROR(_xll.qlRateHelperEarliestDate(O36,Trigger),"--")</f>
        <v>43234</v>
      </c>
      <c r="V36" s="100">
        <f>IFERROR(_xll.qlRateHelperPillarDate(O36,Trigger),"--")</f>
        <v>43417</v>
      </c>
      <c r="X36" s="4" t="str">
        <f t="shared" si="2"/>
        <v>SW</v>
      </c>
      <c r="Y36" s="4" t="str">
        <v>obj_0037d</v>
      </c>
      <c r="Z36" s="4" t="str">
        <f>IFERROR(_xll.qlRateHelperQuoteName(Y36,Trigger),"")</f>
        <v>EUR6MSW7Y_Shifted</v>
      </c>
      <c r="AA36" s="73">
        <f>IFERROR(_xll.qlRateHelperRate(Y36,Trigger),"")</f>
        <v>3.2600000000000003E-3</v>
      </c>
      <c r="AB36" s="105">
        <f>IF(ISERROR(_xll.qlSwapRateHelperSpread($Y36)),IF(ISERROR(_xll.qlFuturesRateHelperConvexityAdjustment($Y36)),"",_xll.qlFuturesRateHelperConvexityAdjustment($Y36)),_xll.qlSwapRateHelperSpread($Y36))</f>
        <v>0</v>
      </c>
      <c r="AC36" s="5">
        <f>IFERROR(_xll.qlRateHelperEarliestDate(Y36,Trigger),"")</f>
        <v>42748</v>
      </c>
      <c r="AD36" s="5">
        <f>IFERROR(_xll.qlRateHelperPillarDate(Y36,Trigger),"")</f>
        <v>45306</v>
      </c>
      <c r="AE36" s="73">
        <v>3.2558569072179359E-3</v>
      </c>
    </row>
    <row r="37" spans="1:31" ht="11.25" customHeight="1" x14ac:dyDescent="0.2">
      <c r="A37" s="62" t="s">
        <v>95</v>
      </c>
      <c r="B37" s="116">
        <v>15</v>
      </c>
      <c r="C37" s="65" t="str">
        <f t="shared" si="8"/>
        <v>x21F</v>
      </c>
      <c r="D37" s="125"/>
      <c r="E37" s="125"/>
      <c r="F37" s="125"/>
      <c r="G37" s="64" t="str">
        <f t="shared" si="9"/>
        <v>Euribor6MMX#0006</v>
      </c>
      <c r="H37" s="119" t="str">
        <f>IF(ISBLANK(Quote!AI36),"",Quote!AI36)</f>
        <v>EUR6MFRA15X21F=#0006</v>
      </c>
      <c r="I37" s="119" t="str">
        <f>_xll.qlCompositeQuote(Currency&amp;"6M"&amp;A37&amp;B37&amp;C37&amp;"_Shifted",H37,IF(J37=0,BumpValue,J37),"+",Permanent,Trigger,ObjectOverwrite)</f>
        <v>EUR6MFRA15x21F_Shifted#0006</v>
      </c>
      <c r="J37" s="122">
        <v>0</v>
      </c>
      <c r="K37" s="392"/>
      <c r="L37" s="67" t="str">
        <f>_xll.qlFraRateHelper(,IF(Sensitivity,I37,H37),B37&amp;"M",G37,PillarDate,,Permanent,Trigger,ObjectOverwrite)</f>
        <v>obj_002ac#0006</v>
      </c>
      <c r="M37" s="51"/>
      <c r="N37" s="10" t="str">
        <f t="shared" si="6"/>
        <v>FRA</v>
      </c>
      <c r="O37" s="95" t="str">
        <f t="shared" si="7"/>
        <v>obj_002ce#0006</v>
      </c>
      <c r="P37" s="146" t="str">
        <f>IFERROR(_xll.qlRateHelperQuoteName(O37,Trigger),"--")</f>
        <v>EUR6MFRA17x23F_Shifted</v>
      </c>
      <c r="Q37" s="99">
        <f>IFERROR(_xll.qlRateHelperQuoteValue($O37,Trigger),"--")</f>
        <v>-1.17E-3</v>
      </c>
      <c r="R37" s="98" t="b">
        <v>1</v>
      </c>
      <c r="S37" s="95">
        <v>20</v>
      </c>
      <c r="T37" s="95">
        <v>1</v>
      </c>
      <c r="U37" s="100">
        <f>IFERROR(_xll.qlRateHelperEarliestDate(O37,Trigger),"--")</f>
        <v>43264</v>
      </c>
      <c r="V37" s="100">
        <f>IFERROR(_xll.qlRateHelperPillarDate(O37,Trigger),"--")</f>
        <v>43447</v>
      </c>
      <c r="X37" s="4" t="str">
        <f t="shared" si="2"/>
        <v>SW</v>
      </c>
      <c r="Y37" s="4" t="str">
        <v>obj_0039d</v>
      </c>
      <c r="Z37" s="4" t="str">
        <f>IFERROR(_xll.qlRateHelperQuoteName(Y37,Trigger),"")</f>
        <v>EUR6MSW8Y_Shifted</v>
      </c>
      <c r="AA37" s="73">
        <f>IFERROR(_xll.qlRateHelperRate(Y37,Trigger),"")</f>
        <v>4.4900000000000001E-3</v>
      </c>
      <c r="AB37" s="105">
        <f>IF(ISERROR(_xll.qlSwapRateHelperSpread($Y37)),IF(ISERROR(_xll.qlFuturesRateHelperConvexityAdjustment($Y37)),"",_xll.qlFuturesRateHelperConvexityAdjustment($Y37)),_xll.qlSwapRateHelperSpread($Y37))</f>
        <v>0</v>
      </c>
      <c r="AC37" s="5">
        <f>IFERROR(_xll.qlRateHelperEarliestDate(Y37,Trigger),"")</f>
        <v>42748</v>
      </c>
      <c r="AD37" s="5">
        <f>IFERROR(_xll.qlRateHelperPillarDate(Y37,Trigger),"")</f>
        <v>45670</v>
      </c>
      <c r="AE37" s="73">
        <v>4.497846735489034E-3</v>
      </c>
    </row>
    <row r="38" spans="1:31" ht="11.25" customHeight="1" x14ac:dyDescent="0.2">
      <c r="A38" s="62" t="s">
        <v>95</v>
      </c>
      <c r="B38" s="116">
        <v>16</v>
      </c>
      <c r="C38" s="65" t="str">
        <f t="shared" si="8"/>
        <v>x22F</v>
      </c>
      <c r="D38" s="125"/>
      <c r="E38" s="125"/>
      <c r="F38" s="125"/>
      <c r="G38" s="64" t="str">
        <f t="shared" si="9"/>
        <v>Euribor6MMX#0006</v>
      </c>
      <c r="H38" s="119" t="str">
        <f>IF(ISBLANK(Quote!AI37),"",Quote!AI37)</f>
        <v>EUR6MFRA16X22F=#0006</v>
      </c>
      <c r="I38" s="119" t="str">
        <f>_xll.qlCompositeQuote(Currency&amp;"6M"&amp;A38&amp;B38&amp;C38&amp;"_Shifted",H38,IF(J38=0,BumpValue,J38),"+",Permanent,Trigger,ObjectOverwrite)</f>
        <v>EUR6MFRA16x22F_Shifted#0006</v>
      </c>
      <c r="J38" s="122">
        <v>0</v>
      </c>
      <c r="K38" s="392"/>
      <c r="L38" s="67" t="str">
        <f>_xll.qlFraRateHelper(,IF(Sensitivity,I38,H38),B38&amp;"M",G38,PillarDate,,Permanent,Trigger,ObjectOverwrite)</f>
        <v>obj_002a5#0006</v>
      </c>
      <c r="M38" s="51"/>
      <c r="N38" s="10" t="str">
        <f t="shared" si="6"/>
        <v>FRA</v>
      </c>
      <c r="O38" s="95" t="str">
        <f t="shared" si="7"/>
        <v>obj_0029d#0006</v>
      </c>
      <c r="P38" s="146" t="str">
        <f>IFERROR(_xll.qlRateHelperQuoteName(O38,Trigger),"--")</f>
        <v>EUR6MFRA18x24F_Shifted</v>
      </c>
      <c r="Q38" s="99">
        <f>IFERROR(_xll.qlRateHelperQuoteValue($O38,Trigger),"--")</f>
        <v>-1.0300000000000001E-3</v>
      </c>
      <c r="R38" s="98" t="b">
        <v>1</v>
      </c>
      <c r="S38" s="95">
        <v>20</v>
      </c>
      <c r="T38" s="95">
        <v>1</v>
      </c>
      <c r="U38" s="100">
        <f>IFERROR(_xll.qlRateHelperEarliestDate(O38,Trigger),"--")</f>
        <v>43294</v>
      </c>
      <c r="V38" s="100">
        <f>IFERROR(_xll.qlRateHelperPillarDate(O38,Trigger),"--")</f>
        <v>43479</v>
      </c>
      <c r="X38" s="4" t="str">
        <f t="shared" si="2"/>
        <v>SW</v>
      </c>
      <c r="Y38" s="4" t="str">
        <v>obj_00381</v>
      </c>
      <c r="Z38" s="4" t="str">
        <f>IFERROR(_xll.qlRateHelperQuoteName(Y38,Trigger),"")</f>
        <v>EUR6MSW9Y_Shifted</v>
      </c>
      <c r="AA38" s="73">
        <f>IFERROR(_xll.qlRateHelperRate(Y38,Trigger),"")</f>
        <v>5.680000000000001E-3</v>
      </c>
      <c r="AB38" s="105">
        <f>IF(ISERROR(_xll.qlSwapRateHelperSpread($Y38)),IF(ISERROR(_xll.qlFuturesRateHelperConvexityAdjustment($Y38)),"",_xll.qlFuturesRateHelperConvexityAdjustment($Y38)),_xll.qlSwapRateHelperSpread($Y38))</f>
        <v>0</v>
      </c>
      <c r="AC38" s="5">
        <f>IFERROR(_xll.qlRateHelperEarliestDate(Y38,Trigger),"")</f>
        <v>42748</v>
      </c>
      <c r="AD38" s="5">
        <f>IFERROR(_xll.qlRateHelperPillarDate(Y38,Trigger),"")</f>
        <v>46035</v>
      </c>
      <c r="AE38" s="73">
        <v>5.7091052994457832E-3</v>
      </c>
    </row>
    <row r="39" spans="1:31" ht="11.25" customHeight="1" x14ac:dyDescent="0.2">
      <c r="A39" s="62" t="s">
        <v>95</v>
      </c>
      <c r="B39" s="116">
        <v>17</v>
      </c>
      <c r="C39" s="65" t="str">
        <f t="shared" si="8"/>
        <v>x23F</v>
      </c>
      <c r="D39" s="125"/>
      <c r="E39" s="125"/>
      <c r="F39" s="125"/>
      <c r="G39" s="64" t="str">
        <f t="shared" si="9"/>
        <v>Euribor6MMX#0006</v>
      </c>
      <c r="H39" s="119" t="str">
        <f>IF(ISBLANK(Quote!AI38),"",Quote!AI38)</f>
        <v>EUR6MFRA17X23F=#0006</v>
      </c>
      <c r="I39" s="119" t="str">
        <f>_xll.qlCompositeQuote(Currency&amp;"6M"&amp;A39&amp;B39&amp;C39&amp;"_Shifted",H39,IF(J39=0,BumpValue,J39),"+",Permanent,Trigger,ObjectOverwrite)</f>
        <v>EUR6MFRA17x23F_Shifted#0006</v>
      </c>
      <c r="J39" s="122">
        <v>0</v>
      </c>
      <c r="K39" s="392"/>
      <c r="L39" s="67" t="str">
        <f>_xll.qlFraRateHelper(,IF(Sensitivity,I39,H39),B39&amp;"M",G39,PillarDate,,Permanent,Trigger,ObjectOverwrite)</f>
        <v>obj_002ce#0006</v>
      </c>
      <c r="M39" s="51"/>
      <c r="N39" s="10" t="str">
        <f t="shared" si="6"/>
        <v>FRA</v>
      </c>
      <c r="O39" s="95" t="str">
        <f t="shared" si="7"/>
        <v>--</v>
      </c>
      <c r="P39" s="146" t="str">
        <f>IFERROR(_xll.qlRateHelperQuoteName(O39,Trigger),"--")</f>
        <v>--</v>
      </c>
      <c r="Q39" s="99" t="str">
        <f>IFERROR(_xll.qlRateHelperQuoteValue($O39,Trigger),"--")</f>
        <v>--</v>
      </c>
      <c r="R39" s="98" t="b">
        <v>0</v>
      </c>
      <c r="S39" s="95">
        <v>20</v>
      </c>
      <c r="T39" s="95">
        <v>1</v>
      </c>
      <c r="U39" s="100" t="str">
        <f>IFERROR(_xll.qlRateHelperEarliestDate(O39,Trigger),"--")</f>
        <v>--</v>
      </c>
      <c r="V39" s="100" t="str">
        <f>IFERROR(_xll.qlRateHelperPillarDate(O39,Trigger),"--")</f>
        <v>--</v>
      </c>
      <c r="X39" s="4" t="str">
        <f t="shared" si="2"/>
        <v>SW</v>
      </c>
      <c r="Y39" s="4" t="str">
        <v>obj_0033f</v>
      </c>
      <c r="Z39" s="4" t="str">
        <f>IFERROR(_xll.qlRateHelperQuoteName(Y39,Trigger),"")</f>
        <v>EUR6MSW10Y_Shifted</v>
      </c>
      <c r="AA39" s="73">
        <f>IFERROR(_xll.qlRateHelperRate(Y39,Trigger),"")</f>
        <v>6.7700000000000008E-3</v>
      </c>
      <c r="AB39" s="105">
        <f>IF(ISERROR(_xll.qlSwapRateHelperSpread($Y39)),IF(ISERROR(_xll.qlFuturesRateHelperConvexityAdjustment($Y39)),"",_xll.qlFuturesRateHelperConvexityAdjustment($Y39)),_xll.qlSwapRateHelperSpread($Y39))</f>
        <v>0</v>
      </c>
      <c r="AC39" s="5">
        <f>IFERROR(_xll.qlRateHelperEarliestDate(Y39,Trigger),"")</f>
        <v>42748</v>
      </c>
      <c r="AD39" s="5">
        <f>IFERROR(_xll.qlRateHelperPillarDate(Y39,Trigger),"")</f>
        <v>46400</v>
      </c>
      <c r="AE39" s="73">
        <v>6.8270272880867474E-3</v>
      </c>
    </row>
    <row r="40" spans="1:31" ht="11.25" customHeight="1" x14ac:dyDescent="0.2">
      <c r="A40" s="62" t="s">
        <v>95</v>
      </c>
      <c r="B40" s="116">
        <v>18</v>
      </c>
      <c r="C40" s="65" t="str">
        <f t="shared" si="8"/>
        <v>x24F</v>
      </c>
      <c r="D40" s="125"/>
      <c r="E40" s="125"/>
      <c r="F40" s="125"/>
      <c r="G40" s="64" t="str">
        <f t="shared" si="9"/>
        <v>Euribor6MMX#0006</v>
      </c>
      <c r="H40" s="119" t="str">
        <f>IF(ISBLANK(Quote!AI39),"",Quote!AI39)</f>
        <v>EUR6MFRA18X24F=#0006</v>
      </c>
      <c r="I40" s="119" t="str">
        <f>_xll.qlCompositeQuote(Currency&amp;"6M"&amp;A40&amp;B40&amp;C40&amp;"_Shifted",H40,IF(J40=0,BumpValue,J40),"+",Permanent,Trigger,ObjectOverwrite)</f>
        <v>EUR6MFRA18x24F_Shifted#0006</v>
      </c>
      <c r="J40" s="122">
        <v>0</v>
      </c>
      <c r="K40" s="394"/>
      <c r="L40" s="67" t="str">
        <f>_xll.qlFraRateHelper(,IF(Sensitivity,I40,H40),B40&amp;"M",G40,PillarDate,,Permanent,Trigger,ObjectOverwrite)</f>
        <v>obj_0029d#0006</v>
      </c>
      <c r="M40" s="51"/>
      <c r="N40" s="10" t="str">
        <f t="shared" si="6"/>
        <v>FRA</v>
      </c>
      <c r="O40" s="95" t="str">
        <f t="shared" si="7"/>
        <v>--</v>
      </c>
      <c r="P40" s="146" t="str">
        <f>IFERROR(_xll.qlRateHelperQuoteName(O40,Trigger),"--")</f>
        <v>--</v>
      </c>
      <c r="Q40" s="99" t="str">
        <f>IFERROR(_xll.qlRateHelperQuoteValue($O40,Trigger),"--")</f>
        <v>--</v>
      </c>
      <c r="R40" s="98" t="b">
        <v>0</v>
      </c>
      <c r="S40" s="95">
        <v>20</v>
      </c>
      <c r="T40" s="95">
        <v>1</v>
      </c>
      <c r="U40" s="100" t="str">
        <f>IFERROR(_xll.qlRateHelperEarliestDate(O40,Trigger),"--")</f>
        <v>--</v>
      </c>
      <c r="V40" s="100" t="str">
        <f>IFERROR(_xll.qlRateHelperPillarDate(O40,Trigger),"--")</f>
        <v>--</v>
      </c>
      <c r="X40" s="4" t="str">
        <f t="shared" si="2"/>
        <v>SW</v>
      </c>
      <c r="Y40" s="4" t="str">
        <v>obj_00366</v>
      </c>
      <c r="Z40" s="4" t="str">
        <f>IFERROR(_xll.qlRateHelperQuoteName(Y40,Trigger),"")</f>
        <v>EUR6MSW11Y_Shifted</v>
      </c>
      <c r="AA40" s="73">
        <f>IFERROR(_xll.qlRateHelperRate(Y40,Trigger),"")</f>
        <v>7.7364216900000001E-3</v>
      </c>
      <c r="AB40" s="105">
        <f>IF(ISERROR(_xll.qlSwapRateHelperSpread($Y40)),IF(ISERROR(_xll.qlFuturesRateHelperConvexityAdjustment($Y40)),"",_xll.qlFuturesRateHelperConvexityAdjustment($Y40)),_xll.qlSwapRateHelperSpread($Y40))</f>
        <v>0</v>
      </c>
      <c r="AC40" s="5">
        <f>IFERROR(_xll.qlRateHelperEarliestDate(Y40,Trigger),"")</f>
        <v>42748</v>
      </c>
      <c r="AD40" s="5">
        <f>IFERROR(_xll.qlRateHelperPillarDate(Y40,Trigger),"")</f>
        <v>46765</v>
      </c>
      <c r="AE40" s="73">
        <v>7.8256136936220976E-3</v>
      </c>
    </row>
    <row r="41" spans="1:31" ht="11.25" customHeight="1" x14ac:dyDescent="0.2">
      <c r="A41" s="216" t="s">
        <v>95</v>
      </c>
      <c r="B41" s="217">
        <v>19</v>
      </c>
      <c r="C41" s="333" t="str">
        <f t="shared" si="8"/>
        <v>x25F</v>
      </c>
      <c r="D41" s="275"/>
      <c r="E41" s="275"/>
      <c r="F41" s="275"/>
      <c r="G41" s="218" t="str">
        <f t="shared" si="9"/>
        <v>Euribor6MMX#0006</v>
      </c>
      <c r="H41" s="337" t="str">
        <f>IF(ISBLANK(Quote!AI40),"",Quote!AI40)</f>
        <v/>
      </c>
      <c r="I41" s="275"/>
      <c r="J41" s="275"/>
      <c r="K41" s="275"/>
      <c r="L41" s="275"/>
      <c r="N41" s="10" t="str">
        <f>A43</f>
        <v>FRA</v>
      </c>
      <c r="O41" s="95" t="str">
        <f>IF(ISBLANK(L43),"--",L43)</f>
        <v>--</v>
      </c>
      <c r="P41" s="146" t="str">
        <f>IFERROR(_xll.qlRateHelperQuoteName(O41,Trigger),"--")</f>
        <v>--</v>
      </c>
      <c r="Q41" s="99" t="str">
        <f>IFERROR(_xll.qlRateHelperQuoteValue($O41,Trigger),"--")</f>
        <v>--</v>
      </c>
      <c r="R41" s="141" t="b">
        <v>0</v>
      </c>
      <c r="S41" s="95">
        <v>20</v>
      </c>
      <c r="T41" s="95">
        <v>1</v>
      </c>
      <c r="U41" s="100" t="str">
        <f>IFERROR(_xll.qlRateHelperEarliestDate(O41,Trigger),"--")</f>
        <v>--</v>
      </c>
      <c r="V41" s="100" t="str">
        <f>IFERROR(_xll.qlRateHelperPillarDate(O41,Trigger),"--")</f>
        <v>--</v>
      </c>
      <c r="X41" s="4" t="str">
        <f t="shared" si="2"/>
        <v>SW</v>
      </c>
      <c r="Y41" s="4" t="str">
        <v>obj_003a7</v>
      </c>
      <c r="Z41" s="4" t="str">
        <f>IFERROR(_xll.qlRateHelperQuoteName(Y41,Trigger),"")</f>
        <v>EUR6MSW12Y_Shifted</v>
      </c>
      <c r="AA41" s="73">
        <f>IFERROR(_xll.qlRateHelperRate(Y41,Trigger),"")</f>
        <v>8.5900000000000004E-3</v>
      </c>
      <c r="AB41" s="105">
        <f>IF(ISERROR(_xll.qlSwapRateHelperSpread($Y41)),IF(ISERROR(_xll.qlFuturesRateHelperConvexityAdjustment($Y41)),"",_xll.qlFuturesRateHelperConvexityAdjustment($Y41)),_xll.qlSwapRateHelperSpread($Y41))</f>
        <v>0</v>
      </c>
      <c r="AC41" s="5">
        <f>IFERROR(_xll.qlRateHelperEarliestDate(Y41,Trigger),"")</f>
        <v>42748</v>
      </c>
      <c r="AD41" s="5">
        <f>IFERROR(_xll.qlRateHelperPillarDate(Y41,Trigger),"")</f>
        <v>47133</v>
      </c>
      <c r="AE41" s="73">
        <v>8.7119899281368918E-3</v>
      </c>
    </row>
    <row r="42" spans="1:31" ht="11.25" customHeight="1" x14ac:dyDescent="0.2">
      <c r="A42" s="62" t="s">
        <v>95</v>
      </c>
      <c r="B42" s="116">
        <v>20</v>
      </c>
      <c r="C42" s="65" t="str">
        <f t="shared" si="8"/>
        <v>x26F</v>
      </c>
      <c r="D42" s="125"/>
      <c r="E42" s="125"/>
      <c r="F42" s="125"/>
      <c r="G42" s="64" t="str">
        <f t="shared" si="9"/>
        <v>Euribor6MMX#0006</v>
      </c>
      <c r="H42" s="119" t="str">
        <f>IF(ISBLANK(Quote!AI41),"",Quote!AI41)</f>
        <v/>
      </c>
      <c r="I42" s="125"/>
      <c r="J42" s="125"/>
      <c r="K42" s="125"/>
      <c r="L42" s="125"/>
      <c r="N42" s="10" t="str">
        <f t="shared" ref="N42:N44" si="10">A44</f>
        <v>FRA</v>
      </c>
      <c r="O42" s="95" t="str">
        <f t="shared" ref="O42:O44" si="11">IF(ISBLANK(L44),"--",L44)</f>
        <v>--</v>
      </c>
      <c r="P42" s="146" t="str">
        <f>IFERROR(_xll.qlRateHelperQuoteName(O42,Trigger),"--")</f>
        <v>--</v>
      </c>
      <c r="Q42" s="99" t="str">
        <f>IFERROR(_xll.qlRateHelperQuoteValue($O42,Trigger),"--")</f>
        <v>--</v>
      </c>
      <c r="R42" s="141" t="b">
        <v>0</v>
      </c>
      <c r="S42" s="95">
        <v>20</v>
      </c>
      <c r="T42" s="95">
        <v>1</v>
      </c>
      <c r="U42" s="100" t="str">
        <f>IFERROR(_xll.qlRateHelperEarliestDate(O42,Trigger),"--")</f>
        <v>--</v>
      </c>
      <c r="V42" s="100" t="str">
        <f>IFERROR(_xll.qlRateHelperPillarDate(O42,Trigger),"--")</f>
        <v>--</v>
      </c>
      <c r="X42" s="4" t="str">
        <f t="shared" si="2"/>
        <v>SW</v>
      </c>
      <c r="Y42" s="4" t="str">
        <v>obj_003b3</v>
      </c>
      <c r="Z42" s="4" t="str">
        <f>IFERROR(_xll.qlRateHelperQuoteName(Y42,Trigger),"")</f>
        <v>EUR6MSW13Y_Shifted</v>
      </c>
      <c r="AA42" s="73">
        <f>IFERROR(_xll.qlRateHelperRate(Y42,Trigger),"")</f>
        <v>9.3184720500000002E-3</v>
      </c>
      <c r="AB42" s="105">
        <f>IF(ISERROR(_xll.qlSwapRateHelperSpread($Y42)),IF(ISERROR(_xll.qlFuturesRateHelperConvexityAdjustment($Y42)),"",_xll.qlFuturesRateHelperConvexityAdjustment($Y42)),_xll.qlSwapRateHelperSpread($Y42))</f>
        <v>0</v>
      </c>
      <c r="AC42" s="5">
        <f>IFERROR(_xll.qlRateHelperEarliestDate(Y42,Trigger),"")</f>
        <v>42748</v>
      </c>
      <c r="AD42" s="5">
        <f>IFERROR(_xll.qlRateHelperPillarDate(Y42,Trigger),"")</f>
        <v>47497</v>
      </c>
      <c r="AE42" s="73">
        <v>9.4749966759743957E-3</v>
      </c>
    </row>
    <row r="43" spans="1:31" ht="11.25" customHeight="1" x14ac:dyDescent="0.2">
      <c r="A43" s="62" t="s">
        <v>95</v>
      </c>
      <c r="B43" s="116">
        <v>21</v>
      </c>
      <c r="C43" s="65" t="str">
        <f t="shared" si="8"/>
        <v>x27F</v>
      </c>
      <c r="D43" s="125"/>
      <c r="E43" s="125"/>
      <c r="F43" s="125"/>
      <c r="G43" s="64" t="str">
        <f t="shared" si="9"/>
        <v>Euribor6MMX#0006</v>
      </c>
      <c r="H43" s="119" t="str">
        <f>IF(ISBLANK(Quote!AI42),"",Quote!AI42)</f>
        <v/>
      </c>
      <c r="I43" s="125"/>
      <c r="J43" s="125"/>
      <c r="K43" s="125"/>
      <c r="L43" s="125"/>
      <c r="N43" s="10" t="str">
        <f t="shared" si="10"/>
        <v>FRA</v>
      </c>
      <c r="O43" s="95" t="str">
        <f t="shared" si="11"/>
        <v>--</v>
      </c>
      <c r="P43" s="146" t="str">
        <f>IFERROR(_xll.qlRateHelperQuoteName(O43,Trigger),"--")</f>
        <v>--</v>
      </c>
      <c r="Q43" s="99" t="str">
        <f>IFERROR(_xll.qlRateHelperQuoteValue($O43,Trigger),"--")</f>
        <v>--</v>
      </c>
      <c r="R43" s="141" t="b">
        <v>0</v>
      </c>
      <c r="S43" s="95">
        <v>20</v>
      </c>
      <c r="T43" s="95">
        <v>1</v>
      </c>
      <c r="U43" s="100" t="str">
        <f>IFERROR(_xll.qlRateHelperEarliestDate(O43,Trigger),"--")</f>
        <v>--</v>
      </c>
      <c r="V43" s="100" t="str">
        <f>IFERROR(_xll.qlRateHelperPillarDate(O43,Trigger),"--")</f>
        <v>--</v>
      </c>
      <c r="X43" s="4" t="str">
        <f t="shared" si="2"/>
        <v>SW</v>
      </c>
      <c r="Y43" s="4" t="str">
        <v>obj_00330</v>
      </c>
      <c r="Z43" s="4" t="str">
        <f>IFERROR(_xll.qlRateHelperQuoteName(Y43,Trigger),"")</f>
        <v>EUR6MSW14Y_Shifted</v>
      </c>
      <c r="AA43" s="73">
        <f>IFERROR(_xll.qlRateHelperRate(Y43,Trigger),"")</f>
        <v>9.9418868899999995E-3</v>
      </c>
      <c r="AB43" s="105">
        <f>IF(ISERROR(_xll.qlSwapRateHelperSpread($Y43)),IF(ISERROR(_xll.qlFuturesRateHelperConvexityAdjustment($Y43)),"",_xll.qlFuturesRateHelperConvexityAdjustment($Y43)),_xll.qlSwapRateHelperSpread($Y43))</f>
        <v>0</v>
      </c>
      <c r="AC43" s="5">
        <f>IFERROR(_xll.qlRateHelperEarliestDate(Y43,Trigger),"")</f>
        <v>42748</v>
      </c>
      <c r="AD43" s="5">
        <f>IFERROR(_xll.qlRateHelperPillarDate(Y43,Trigger),"")</f>
        <v>47861</v>
      </c>
      <c r="AE43" s="73">
        <v>1.0131570088951984E-2</v>
      </c>
    </row>
    <row r="44" spans="1:31" ht="11.25" customHeight="1" x14ac:dyDescent="0.2">
      <c r="A44" s="62" t="s">
        <v>95</v>
      </c>
      <c r="B44" s="116">
        <v>22</v>
      </c>
      <c r="C44" s="65" t="str">
        <f t="shared" si="8"/>
        <v>x28F</v>
      </c>
      <c r="D44" s="125"/>
      <c r="E44" s="125"/>
      <c r="F44" s="125"/>
      <c r="G44" s="64" t="str">
        <f t="shared" si="9"/>
        <v>Euribor6MMX#0006</v>
      </c>
      <c r="H44" s="119" t="str">
        <f>IF(ISBLANK(Quote!AI43),"",Quote!AI43)</f>
        <v/>
      </c>
      <c r="I44" s="125"/>
      <c r="J44" s="125"/>
      <c r="K44" s="125"/>
      <c r="L44" s="125"/>
      <c r="N44" s="11" t="str">
        <f t="shared" si="10"/>
        <v>FRA</v>
      </c>
      <c r="O44" s="96" t="str">
        <f t="shared" si="11"/>
        <v>obj_002eb#0006</v>
      </c>
      <c r="P44" s="147" t="str">
        <f>IFERROR(_xll.qlRateHelperQuoteName(O44,Trigger),"--")</f>
        <v>EUR6MFRA24x30F_Shifted</v>
      </c>
      <c r="Q44" s="102">
        <f>IFERROR(_xll.qlRateHelperQuoteValue($O44,Trigger),"--")</f>
        <v>-7.1880940000000008E-5</v>
      </c>
      <c r="R44" s="144" t="b">
        <v>1</v>
      </c>
      <c r="S44" s="96">
        <v>20</v>
      </c>
      <c r="T44" s="96">
        <v>1</v>
      </c>
      <c r="U44" s="103">
        <f>IFERROR(_xll.qlRateHelperEarliestDate(O44,Trigger),"--")</f>
        <v>43479</v>
      </c>
      <c r="V44" s="103">
        <f>IFERROR(_xll.qlRateHelperPillarDate(O44,Trigger),"--")</f>
        <v>43661</v>
      </c>
      <c r="X44" s="4" t="str">
        <f t="shared" si="2"/>
        <v>SW</v>
      </c>
      <c r="Y44" s="4" t="str">
        <v>obj_00382</v>
      </c>
      <c r="Z44" s="4" t="str">
        <f>IFERROR(_xll.qlRateHelperQuoteName(Y44,Trigger),"")</f>
        <v>EUR6MSW15Y_Shifted</v>
      </c>
      <c r="AA44" s="73">
        <f>IFERROR(_xll.qlRateHelperRate(Y44,Trigger),"")</f>
        <v>1.047E-2</v>
      </c>
      <c r="AB44" s="105">
        <f>IF(ISERROR(_xll.qlSwapRateHelperSpread($Y44)),IF(ISERROR(_xll.qlFuturesRateHelperConvexityAdjustment($Y44)),"",_xll.qlFuturesRateHelperConvexityAdjustment($Y44)),_xll.qlSwapRateHelperSpread($Y44))</f>
        <v>0</v>
      </c>
      <c r="AC44" s="5">
        <f>IFERROR(_xll.qlRateHelperEarliestDate(Y44,Trigger),"")</f>
        <v>42748</v>
      </c>
      <c r="AD44" s="5">
        <f>IFERROR(_xll.qlRateHelperPillarDate(Y44,Trigger),"")</f>
        <v>48226</v>
      </c>
      <c r="AE44" s="73">
        <v>1.0690135585905524E-2</v>
      </c>
    </row>
    <row r="45" spans="1:31" ht="11.25" customHeight="1" x14ac:dyDescent="0.2">
      <c r="A45" s="221" t="s">
        <v>95</v>
      </c>
      <c r="B45" s="222">
        <v>23</v>
      </c>
      <c r="C45" s="281" t="str">
        <f t="shared" si="8"/>
        <v>x29F</v>
      </c>
      <c r="D45" s="278"/>
      <c r="E45" s="278"/>
      <c r="F45" s="278"/>
      <c r="G45" s="223" t="str">
        <f t="shared" si="9"/>
        <v>Euribor6MMX#0006</v>
      </c>
      <c r="H45" s="338" t="str">
        <f>IF(ISBLANK(Quote!AI44),"",Quote!AI44)</f>
        <v/>
      </c>
      <c r="I45" s="278"/>
      <c r="J45" s="278"/>
      <c r="K45" s="278"/>
      <c r="L45" s="278"/>
      <c r="N45" s="10" t="str">
        <f>A49</f>
        <v>SW</v>
      </c>
      <c r="O45" s="95" t="str">
        <f>IF(ISBLANK(L49),"--",L49)</f>
        <v>--</v>
      </c>
      <c r="P45" s="146" t="str">
        <f>IFERROR(_xll.qlRateHelperQuoteName(O45,Trigger),"--")</f>
        <v>--</v>
      </c>
      <c r="Q45" s="99" t="str">
        <f>IFERROR(_xll.qlRateHelperQuoteValue($O45,Trigger),"--")</f>
        <v>--</v>
      </c>
      <c r="R45" s="141" t="b">
        <v>0</v>
      </c>
      <c r="S45" s="95">
        <v>20</v>
      </c>
      <c r="T45" s="95">
        <v>1</v>
      </c>
      <c r="U45" s="100" t="str">
        <f>IFERROR(_xll.qlRateHelperEarliestDate(O45,Trigger),"--")</f>
        <v>--</v>
      </c>
      <c r="V45" s="100" t="str">
        <f>IFERROR(_xll.qlRateHelperPillarDate(O45,Trigger),"--")</f>
        <v>--</v>
      </c>
      <c r="X45" s="4" t="str">
        <f t="shared" si="2"/>
        <v>SW</v>
      </c>
      <c r="Y45" s="4" t="str">
        <v>obj_00377</v>
      </c>
      <c r="Z45" s="4" t="str">
        <f>IFERROR(_xll.qlRateHelperQuoteName(Y45,Trigger),"")</f>
        <v>EUR6MSW16Y_Shifted</v>
      </c>
      <c r="AA45" s="73">
        <f>IFERROR(_xll.qlRateHelperRate(Y45,Trigger),"")</f>
        <v>1.0912421940000002E-2</v>
      </c>
      <c r="AB45" s="105">
        <f>IF(ISERROR(_xll.qlSwapRateHelperSpread($Y45)),IF(ISERROR(_xll.qlFuturesRateHelperConvexityAdjustment($Y45)),"",_xll.qlFuturesRateHelperConvexityAdjustment($Y45)),_xll.qlSwapRateHelperSpread($Y45))</f>
        <v>0</v>
      </c>
      <c r="AC45" s="5">
        <f>IFERROR(_xll.qlRateHelperEarliestDate(Y45,Trigger),"")</f>
        <v>42748</v>
      </c>
      <c r="AD45" s="5">
        <f>IFERROR(_xll.qlRateHelperPillarDate(Y45,Trigger),"")</f>
        <v>48592</v>
      </c>
      <c r="AE45" s="73">
        <v>1.1157480348025736E-2</v>
      </c>
    </row>
    <row r="46" spans="1:31" ht="11.25" customHeight="1" x14ac:dyDescent="0.2">
      <c r="A46" s="1" t="s">
        <v>95</v>
      </c>
      <c r="B46" s="117">
        <v>24</v>
      </c>
      <c r="C46" s="9" t="str">
        <f t="shared" si="8"/>
        <v>x30F</v>
      </c>
      <c r="D46" s="126"/>
      <c r="E46" s="126"/>
      <c r="F46" s="126"/>
      <c r="G46" s="7" t="str">
        <f t="shared" si="9"/>
        <v>Euribor6MMX#0006</v>
      </c>
      <c r="H46" s="120" t="str">
        <f>IF(ISBLANK(Quote!AI45),"",Quote!AI45)</f>
        <v>EUR6MFRA24X30F=#0006</v>
      </c>
      <c r="I46" s="120" t="str">
        <f>_xll.qlCompositeQuote(Currency&amp;"6M"&amp;A46&amp;B46&amp;C46&amp;"_Shifted",H46,IF(J46=0,BumpValue,J46),"+",Permanent,Trigger,ObjectOverwrite)</f>
        <v>EUR6MFRA24x30F_Shifted#0006</v>
      </c>
      <c r="J46" s="395">
        <v>0</v>
      </c>
      <c r="K46" s="126"/>
      <c r="L46" s="3" t="str">
        <f>_xll.qlFraRateHelper(,IF(Sensitivity,I46,H46),B46&amp;"M",G46,PillarDate,,Permanent,Trigger,ObjectOverwrite)</f>
        <v>obj_002eb#0006</v>
      </c>
      <c r="N46" s="10" t="str">
        <f t="shared" ref="N46:N63" si="12">A50</f>
        <v>SW</v>
      </c>
      <c r="O46" s="95" t="str">
        <f t="shared" ref="O46:O63" si="13">IF(ISBLANK(L50),"--",L50)</f>
        <v>--</v>
      </c>
      <c r="P46" s="146" t="str">
        <f>IFERROR(_xll.qlRateHelperQuoteName(O46,Trigger),"--")</f>
        <v>--</v>
      </c>
      <c r="Q46" s="99" t="str">
        <f>IFERROR(_xll.qlRateHelperQuoteValue($O46,Trigger),"--")</f>
        <v>--</v>
      </c>
      <c r="R46" s="141" t="b">
        <v>0</v>
      </c>
      <c r="S46" s="95">
        <v>20</v>
      </c>
      <c r="T46" s="95">
        <v>1</v>
      </c>
      <c r="U46" s="100" t="str">
        <f>IFERROR(_xll.qlRateHelperEarliestDate(O46,Trigger),"--")</f>
        <v>--</v>
      </c>
      <c r="V46" s="100" t="str">
        <f>IFERROR(_xll.qlRateHelperPillarDate(O46,Trigger),"--")</f>
        <v>--</v>
      </c>
      <c r="X46" s="4" t="str">
        <f t="shared" si="2"/>
        <v>SW</v>
      </c>
      <c r="Y46" s="4" t="str">
        <v>obj_0032d</v>
      </c>
      <c r="Z46" s="4" t="str">
        <f>IFERROR(_xll.qlRateHelperQuoteName(Y46,Trigger),"")</f>
        <v>EUR6MSW17Y_Shifted</v>
      </c>
      <c r="AA46" s="73">
        <f>IFERROR(_xll.qlRateHelperRate(Y46,Trigger),"")</f>
        <v>1.1273501890000003E-2</v>
      </c>
      <c r="AB46" s="105">
        <f>IF(ISERROR(_xll.qlSwapRateHelperSpread($Y46)),IF(ISERROR(_xll.qlFuturesRateHelperConvexityAdjustment($Y46)),"",_xll.qlFuturesRateHelperConvexityAdjustment($Y46)),_xll.qlSwapRateHelperSpread($Y46))</f>
        <v>0</v>
      </c>
      <c r="AC46" s="5">
        <f>IFERROR(_xll.qlRateHelperEarliestDate(Y46,Trigger),"")</f>
        <v>42748</v>
      </c>
      <c r="AD46" s="5">
        <f>IFERROR(_xll.qlRateHelperPillarDate(Y46,Trigger),"")</f>
        <v>48957</v>
      </c>
      <c r="AE46" s="73">
        <v>1.1540604389427715E-2</v>
      </c>
    </row>
    <row r="47" spans="1:31" ht="11.25" customHeight="1" x14ac:dyDescent="0.2">
      <c r="B47" s="49"/>
      <c r="C47" s="49"/>
      <c r="D47" s="49"/>
      <c r="E47" s="49"/>
      <c r="F47" s="49"/>
      <c r="G47" s="49"/>
      <c r="H47" s="49"/>
      <c r="I47" s="49"/>
      <c r="J47" s="49"/>
      <c r="N47" s="10" t="str">
        <f t="shared" si="12"/>
        <v>SW</v>
      </c>
      <c r="O47" s="95" t="str">
        <f t="shared" si="13"/>
        <v>--</v>
      </c>
      <c r="P47" s="146" t="str">
        <f>IFERROR(_xll.qlRateHelperQuoteName(O47,Trigger),"--")</f>
        <v>--</v>
      </c>
      <c r="Q47" s="99" t="str">
        <f>IFERROR(_xll.qlRateHelperQuoteValue($O47,Trigger),"--")</f>
        <v>--</v>
      </c>
      <c r="R47" s="141" t="b">
        <v>0</v>
      </c>
      <c r="S47" s="95">
        <v>20</v>
      </c>
      <c r="T47" s="95">
        <v>1</v>
      </c>
      <c r="U47" s="100" t="str">
        <f>IFERROR(_xll.qlRateHelperEarliestDate(O47,Trigger),"--")</f>
        <v>--</v>
      </c>
      <c r="V47" s="100" t="str">
        <f>IFERROR(_xll.qlRateHelperPillarDate(O47,Trigger),"--")</f>
        <v>--</v>
      </c>
      <c r="X47" s="4" t="str">
        <f t="shared" si="2"/>
        <v>SW</v>
      </c>
      <c r="Y47" s="4" t="str">
        <v>obj_00397</v>
      </c>
      <c r="Z47" s="4" t="str">
        <f>IFERROR(_xll.qlRateHelperQuoteName(Y47,Trigger),"")</f>
        <v>EUR6MSW18Y_Shifted</v>
      </c>
      <c r="AA47" s="73">
        <f>IFERROR(_xll.qlRateHelperRate(Y47,Trigger),"")</f>
        <v>1.1567971240000001E-2</v>
      </c>
      <c r="AB47" s="105">
        <f>IF(ISERROR(_xll.qlSwapRateHelperSpread($Y47)),IF(ISERROR(_xll.qlFuturesRateHelperConvexityAdjustment($Y47)),"",_xll.qlFuturesRateHelperConvexityAdjustment($Y47)),_xll.qlSwapRateHelperSpread($Y47))</f>
        <v>0</v>
      </c>
      <c r="AC47" s="5">
        <f>IFERROR(_xll.qlRateHelperEarliestDate(Y47,Trigger),"")</f>
        <v>42748</v>
      </c>
      <c r="AD47" s="5">
        <f>IFERROR(_xll.qlRateHelperPillarDate(Y47,Trigger),"")</f>
        <v>49324</v>
      </c>
      <c r="AE47" s="73">
        <v>1.1852447822814888E-2</v>
      </c>
    </row>
    <row r="48" spans="1:31" ht="11.25" customHeight="1" x14ac:dyDescent="0.2">
      <c r="A48" s="68" t="s">
        <v>9</v>
      </c>
      <c r="B48" s="68" t="s">
        <v>28</v>
      </c>
      <c r="C48" s="68" t="s">
        <v>135</v>
      </c>
      <c r="D48" s="68" t="s">
        <v>5</v>
      </c>
      <c r="E48" s="68" t="s">
        <v>32</v>
      </c>
      <c r="F48" s="68" t="s">
        <v>115</v>
      </c>
      <c r="G48" s="68" t="s">
        <v>4</v>
      </c>
      <c r="H48" s="68" t="s">
        <v>1</v>
      </c>
      <c r="I48" s="68" t="s">
        <v>171</v>
      </c>
      <c r="J48" s="68" t="s">
        <v>189</v>
      </c>
      <c r="K48" s="68" t="s">
        <v>114</v>
      </c>
      <c r="L48" s="68" t="s">
        <v>25</v>
      </c>
      <c r="N48" s="10" t="str">
        <f t="shared" si="12"/>
        <v>SW</v>
      </c>
      <c r="O48" s="95" t="str">
        <f t="shared" si="13"/>
        <v>--</v>
      </c>
      <c r="P48" s="146" t="str">
        <f>IFERROR(_xll.qlRateHelperQuoteName(O48,Trigger),"--")</f>
        <v>--</v>
      </c>
      <c r="Q48" s="99" t="str">
        <f>IFERROR(_xll.qlRateHelperQuoteValue($O48,Trigger),"--")</f>
        <v>--</v>
      </c>
      <c r="R48" s="141" t="b">
        <v>0</v>
      </c>
      <c r="S48" s="95">
        <v>20</v>
      </c>
      <c r="T48" s="95">
        <v>1</v>
      </c>
      <c r="U48" s="100" t="str">
        <f>IFERROR(_xll.qlRateHelperEarliestDate(O48,Trigger),"--")</f>
        <v>--</v>
      </c>
      <c r="V48" s="100" t="str">
        <f>IFERROR(_xll.qlRateHelperPillarDate(O48,Trigger),"--")</f>
        <v>--</v>
      </c>
      <c r="X48" s="4" t="str">
        <f t="shared" si="2"/>
        <v>SW</v>
      </c>
      <c r="Y48" s="4" t="str">
        <v>obj_003cc</v>
      </c>
      <c r="Z48" s="4" t="str">
        <f>IFERROR(_xll.qlRateHelperQuoteName(Y48,Trigger),"")</f>
        <v>EUR6MSW19Y_Shifted</v>
      </c>
      <c r="AA48" s="73">
        <f>IFERROR(_xll.qlRateHelperRate(Y48,Trigger),"")</f>
        <v>1.18020968E-2</v>
      </c>
      <c r="AB48" s="105">
        <f>IF(ISERROR(_xll.qlSwapRateHelperSpread($Y48)),IF(ISERROR(_xll.qlFuturesRateHelperConvexityAdjustment($Y48)),"",_xll.qlFuturesRateHelperConvexityAdjustment($Y48)),_xll.qlSwapRateHelperSpread($Y48))</f>
        <v>0</v>
      </c>
      <c r="AC48" s="5">
        <f>IFERROR(_xll.qlRateHelperEarliestDate(Y48,Trigger),"")</f>
        <v>42748</v>
      </c>
      <c r="AD48" s="5">
        <f>IFERROR(_xll.qlRateHelperPillarDate(Y48,Trigger),"")</f>
        <v>49688</v>
      </c>
      <c r="AE48" s="73">
        <v>1.2099079610255395E-2</v>
      </c>
    </row>
    <row r="49" spans="1:31" ht="11.25" customHeight="1" x14ac:dyDescent="0.2">
      <c r="A49" s="56" t="str">
        <f>Quote!AF46</f>
        <v>SW</v>
      </c>
      <c r="B49" s="57" t="str">
        <f>Quote!AG46</f>
        <v>SW</v>
      </c>
      <c r="C49" s="58" t="s">
        <v>6</v>
      </c>
      <c r="D49" s="58" t="s">
        <v>8</v>
      </c>
      <c r="E49" s="58" t="s">
        <v>7</v>
      </c>
      <c r="F49" s="58" t="s">
        <v>132</v>
      </c>
      <c r="G49" s="58" t="str">
        <f>$G$14</f>
        <v>Euribor6MMX#0006</v>
      </c>
      <c r="H49" s="56" t="str">
        <f>IF(ISBLANK(Quote!AI46),"",Quote!AI46)</f>
        <v/>
      </c>
      <c r="I49" s="129"/>
      <c r="J49" s="129"/>
      <c r="K49" s="127">
        <v>0</v>
      </c>
      <c r="L49" s="129"/>
      <c r="N49" s="10" t="str">
        <f t="shared" si="12"/>
        <v>SW</v>
      </c>
      <c r="O49" s="95" t="str">
        <f t="shared" si="13"/>
        <v>--</v>
      </c>
      <c r="P49" s="146" t="str">
        <f>IFERROR(_xll.qlRateHelperQuoteName(O49,Trigger),"--")</f>
        <v>--</v>
      </c>
      <c r="Q49" s="99" t="str">
        <f>IFERROR(_xll.qlRateHelperQuoteValue($O49,Trigger),"--")</f>
        <v>--</v>
      </c>
      <c r="R49" s="141" t="b">
        <v>0</v>
      </c>
      <c r="S49" s="95">
        <v>20</v>
      </c>
      <c r="T49" s="95">
        <v>1</v>
      </c>
      <c r="U49" s="100" t="str">
        <f>IFERROR(_xll.qlRateHelperEarliestDate(O49,Trigger),"--")</f>
        <v>--</v>
      </c>
      <c r="V49" s="100" t="str">
        <f>IFERROR(_xll.qlRateHelperPillarDate(O49,Trigger),"--")</f>
        <v>--</v>
      </c>
      <c r="X49" s="4" t="str">
        <f t="shared" si="2"/>
        <v>SW</v>
      </c>
      <c r="Y49" s="4" t="str">
        <v>obj_003aa</v>
      </c>
      <c r="Z49" s="4" t="str">
        <f>IFERROR(_xll.qlRateHelperQuoteName(Y49,Trigger),"")</f>
        <v>EUR6MSW20Y_Shifted</v>
      </c>
      <c r="AA49" s="73">
        <f>IFERROR(_xll.qlRateHelperRate(Y49,Trigger),"")</f>
        <v>1.1990000000000001E-2</v>
      </c>
      <c r="AB49" s="105">
        <f>IF(ISERROR(_xll.qlSwapRateHelperSpread($Y49)),IF(ISERROR(_xll.qlFuturesRateHelperConvexityAdjustment($Y49)),"",_xll.qlFuturesRateHelperConvexityAdjustment($Y49)),_xll.qlSwapRateHelperSpread($Y49))</f>
        <v>0</v>
      </c>
      <c r="AC49" s="5">
        <f>IFERROR(_xll.qlRateHelperEarliestDate(Y49,Trigger),"")</f>
        <v>42748</v>
      </c>
      <c r="AD49" s="5">
        <f>IFERROR(_xll.qlRateHelperPillarDate(Y49,Trigger),"")</f>
        <v>50053</v>
      </c>
      <c r="AE49" s="73">
        <v>1.2293744855850223E-2</v>
      </c>
    </row>
    <row r="50" spans="1:31" ht="11.25" customHeight="1" x14ac:dyDescent="0.2">
      <c r="A50" s="62" t="str">
        <f>Quote!AF47</f>
        <v>SW</v>
      </c>
      <c r="B50" s="63" t="str">
        <f>Quote!AG47</f>
        <v>2W</v>
      </c>
      <c r="C50" s="64" t="s">
        <v>6</v>
      </c>
      <c r="D50" s="64" t="s">
        <v>8</v>
      </c>
      <c r="E50" s="64" t="s">
        <v>7</v>
      </c>
      <c r="F50" s="64" t="s">
        <v>132</v>
      </c>
      <c r="G50" s="64" t="str">
        <f t="shared" ref="G50:G113" si="14">$G$14</f>
        <v>Euribor6MMX#0006</v>
      </c>
      <c r="H50" s="62" t="str">
        <f>IF(ISBLANK(Quote!AI47),"",Quote!AI47)</f>
        <v/>
      </c>
      <c r="I50" s="125"/>
      <c r="J50" s="125"/>
      <c r="K50" s="128">
        <v>0</v>
      </c>
      <c r="L50" s="125"/>
      <c r="N50" s="10" t="str">
        <f t="shared" si="12"/>
        <v>SW</v>
      </c>
      <c r="O50" s="95" t="str">
        <f t="shared" si="13"/>
        <v>--</v>
      </c>
      <c r="P50" s="146" t="str">
        <f>IFERROR(_xll.qlRateHelperQuoteName(O50,Trigger),"--")</f>
        <v>--</v>
      </c>
      <c r="Q50" s="99" t="str">
        <f>IFERROR(_xll.qlRateHelperQuoteValue($O50,Trigger),"--")</f>
        <v>--</v>
      </c>
      <c r="R50" s="141" t="b">
        <v>0</v>
      </c>
      <c r="S50" s="95">
        <v>20</v>
      </c>
      <c r="T50" s="95">
        <v>1</v>
      </c>
      <c r="U50" s="100" t="str">
        <f>IFERROR(_xll.qlRateHelperEarliestDate(O50,Trigger),"--")</f>
        <v>--</v>
      </c>
      <c r="V50" s="100" t="str">
        <f>IFERROR(_xll.qlRateHelperPillarDate(O50,Trigger),"--")</f>
        <v>--</v>
      </c>
      <c r="X50" s="4" t="str">
        <f t="shared" si="2"/>
        <v>SW</v>
      </c>
      <c r="Y50" s="4" t="str">
        <v>obj_003c6</v>
      </c>
      <c r="Z50" s="4" t="str">
        <f>IFERROR(_xll.qlRateHelperQuoteName(Y50,Trigger),"")</f>
        <v>EUR6MSW21Y_Shifted</v>
      </c>
      <c r="AA50" s="73">
        <f>IFERROR(_xll.qlRateHelperRate(Y50,Trigger),"")</f>
        <v>1.21370622E-2</v>
      </c>
      <c r="AB50" s="105">
        <f>IF(ISERROR(_xll.qlSwapRateHelperSpread($Y50)),IF(ISERROR(_xll.qlFuturesRateHelperConvexityAdjustment($Y50)),"",_xll.qlFuturesRateHelperConvexityAdjustment($Y50)),_xll.qlSwapRateHelperSpread($Y50))</f>
        <v>0</v>
      </c>
      <c r="AC50" s="5">
        <f>IFERROR(_xll.qlRateHelperEarliestDate(Y50,Trigger),"")</f>
        <v>42748</v>
      </c>
      <c r="AD50" s="5">
        <f>IFERROR(_xll.qlRateHelperPillarDate(Y50,Trigger),"")</f>
        <v>50418</v>
      </c>
      <c r="AE50" s="73">
        <v>1.2445239766162925E-2</v>
      </c>
    </row>
    <row r="51" spans="1:31" ht="11.25" customHeight="1" x14ac:dyDescent="0.2">
      <c r="A51" s="62" t="str">
        <f>Quote!AF48</f>
        <v>SW</v>
      </c>
      <c r="B51" s="63" t="str">
        <f>Quote!AG48</f>
        <v>3W</v>
      </c>
      <c r="C51" s="64" t="s">
        <v>6</v>
      </c>
      <c r="D51" s="64" t="s">
        <v>8</v>
      </c>
      <c r="E51" s="64" t="s">
        <v>7</v>
      </c>
      <c r="F51" s="64" t="s">
        <v>132</v>
      </c>
      <c r="G51" s="64" t="str">
        <f t="shared" si="14"/>
        <v>Euribor6MMX#0006</v>
      </c>
      <c r="H51" s="62" t="str">
        <f>IF(ISBLANK(Quote!AI48),"",Quote!AI48)</f>
        <v/>
      </c>
      <c r="I51" s="125"/>
      <c r="J51" s="125"/>
      <c r="K51" s="128">
        <v>0</v>
      </c>
      <c r="L51" s="125"/>
      <c r="N51" s="10" t="str">
        <f t="shared" si="12"/>
        <v>SW</v>
      </c>
      <c r="O51" s="95" t="str">
        <f t="shared" si="13"/>
        <v>--</v>
      </c>
      <c r="P51" s="146" t="str">
        <f>IFERROR(_xll.qlRateHelperQuoteName(O51,Trigger),"--")</f>
        <v>--</v>
      </c>
      <c r="Q51" s="99" t="str">
        <f>IFERROR(_xll.qlRateHelperQuoteValue($O51,Trigger),"--")</f>
        <v>--</v>
      </c>
      <c r="R51" s="141" t="b">
        <v>0</v>
      </c>
      <c r="S51" s="95">
        <v>20</v>
      </c>
      <c r="T51" s="95">
        <v>1</v>
      </c>
      <c r="U51" s="100" t="str">
        <f>IFERROR(_xll.qlRateHelperEarliestDate(O51,Trigger),"--")</f>
        <v>--</v>
      </c>
      <c r="V51" s="100" t="str">
        <f>IFERROR(_xll.qlRateHelperPillarDate(O51,Trigger),"--")</f>
        <v>--</v>
      </c>
      <c r="X51" s="4" t="str">
        <f t="shared" si="2"/>
        <v>SW</v>
      </c>
      <c r="Y51" s="4" t="str">
        <v>obj_0036a</v>
      </c>
      <c r="Z51" s="4" t="str">
        <f>IFERROR(_xll.qlRateHelperQuoteName(Y51,Trigger),"")</f>
        <v>EUR6MSW22Y_Shifted</v>
      </c>
      <c r="AA51" s="73">
        <f>IFERROR(_xll.qlRateHelperRate(Y51,Trigger),"")</f>
        <v>1.2251931860000001E-2</v>
      </c>
      <c r="AB51" s="105">
        <f>IF(ISERROR(_xll.qlSwapRateHelperSpread($Y51)),IF(ISERROR(_xll.qlFuturesRateHelperConvexityAdjustment($Y51)),"",_xll.qlFuturesRateHelperConvexityAdjustment($Y51)),_xll.qlSwapRateHelperSpread($Y51))</f>
        <v>0</v>
      </c>
      <c r="AC51" s="5">
        <f>IFERROR(_xll.qlRateHelperEarliestDate(Y51,Trigger),"")</f>
        <v>42748</v>
      </c>
      <c r="AD51" s="5">
        <f>IFERROR(_xll.qlRateHelperPillarDate(Y51,Trigger),"")</f>
        <v>50783</v>
      </c>
      <c r="AE51" s="73">
        <v>1.256124405717649E-2</v>
      </c>
    </row>
    <row r="52" spans="1:31" ht="11.25" customHeight="1" x14ac:dyDescent="0.2">
      <c r="A52" s="62" t="str">
        <f>Quote!AF49</f>
        <v>SW</v>
      </c>
      <c r="B52" s="63" t="str">
        <f>Quote!AG49</f>
        <v>1M</v>
      </c>
      <c r="C52" s="64" t="s">
        <v>6</v>
      </c>
      <c r="D52" s="64" t="s">
        <v>8</v>
      </c>
      <c r="E52" s="64" t="s">
        <v>7</v>
      </c>
      <c r="F52" s="64" t="s">
        <v>132</v>
      </c>
      <c r="G52" s="64" t="str">
        <f t="shared" si="14"/>
        <v>Euribor6MMX#0006</v>
      </c>
      <c r="H52" s="62" t="str">
        <f>IF(ISBLANK(Quote!AI49),"",Quote!AI49)</f>
        <v/>
      </c>
      <c r="I52" s="125"/>
      <c r="J52" s="125"/>
      <c r="K52" s="128">
        <v>0</v>
      </c>
      <c r="L52" s="125"/>
      <c r="N52" s="10" t="str">
        <f t="shared" si="12"/>
        <v>SW</v>
      </c>
      <c r="O52" s="95" t="str">
        <f t="shared" si="13"/>
        <v>--</v>
      </c>
      <c r="P52" s="146" t="str">
        <f>IFERROR(_xll.qlRateHelperQuoteName(O52,Trigger),"--")</f>
        <v>--</v>
      </c>
      <c r="Q52" s="99" t="str">
        <f>IFERROR(_xll.qlRateHelperQuoteValue($O52,Trigger),"--")</f>
        <v>--</v>
      </c>
      <c r="R52" s="141" t="b">
        <v>0</v>
      </c>
      <c r="S52" s="95">
        <v>20</v>
      </c>
      <c r="T52" s="95">
        <v>1</v>
      </c>
      <c r="U52" s="100" t="str">
        <f>IFERROR(_xll.qlRateHelperEarliestDate(O52,Trigger),"--")</f>
        <v>--</v>
      </c>
      <c r="V52" s="100" t="str">
        <f>IFERROR(_xll.qlRateHelperPillarDate(O52,Trigger),"--")</f>
        <v>--</v>
      </c>
      <c r="X52" s="4" t="str">
        <f t="shared" si="2"/>
        <v>SW</v>
      </c>
      <c r="Y52" s="4" t="str">
        <v>obj_0037e</v>
      </c>
      <c r="Z52" s="4" t="str">
        <f>IFERROR(_xll.qlRateHelperQuoteName(Y52,Trigger),"")</f>
        <v>EUR6MSW23Y_Shifted</v>
      </c>
      <c r="AA52" s="73">
        <f>IFERROR(_xll.qlRateHelperRate(Y52,Trigger),"")</f>
        <v>1.2341208290000001E-2</v>
      </c>
      <c r="AB52" s="105">
        <f>IF(ISERROR(_xll.qlSwapRateHelperSpread($Y52)),IF(ISERROR(_xll.qlFuturesRateHelperConvexityAdjustment($Y52)),"",_xll.qlFuturesRateHelperConvexityAdjustment($Y52)),_xll.qlSwapRateHelperSpread($Y52))</f>
        <v>0</v>
      </c>
      <c r="AC52" s="5">
        <f>IFERROR(_xll.qlRateHelperEarliestDate(Y52,Trigger),"")</f>
        <v>42748</v>
      </c>
      <c r="AD52" s="5">
        <f>IFERROR(_xll.qlRateHelperPillarDate(Y52,Trigger),"")</f>
        <v>51148</v>
      </c>
      <c r="AE52" s="73">
        <v>1.2648968232306603E-2</v>
      </c>
    </row>
    <row r="53" spans="1:31" ht="11.25" customHeight="1" x14ac:dyDescent="0.2">
      <c r="A53" s="62" t="str">
        <f>Quote!AF50</f>
        <v>SW</v>
      </c>
      <c r="B53" s="63" t="str">
        <f>Quote!AG50</f>
        <v>2M</v>
      </c>
      <c r="C53" s="64" t="s">
        <v>6</v>
      </c>
      <c r="D53" s="64" t="s">
        <v>8</v>
      </c>
      <c r="E53" s="64" t="s">
        <v>7</v>
      </c>
      <c r="F53" s="64" t="s">
        <v>132</v>
      </c>
      <c r="G53" s="64" t="str">
        <f t="shared" si="14"/>
        <v>Euribor6MMX#0006</v>
      </c>
      <c r="H53" s="62" t="str">
        <f>IF(ISBLANK(Quote!AI50),"",Quote!AI50)</f>
        <v/>
      </c>
      <c r="I53" s="125"/>
      <c r="J53" s="125"/>
      <c r="K53" s="128">
        <v>0</v>
      </c>
      <c r="L53" s="125"/>
      <c r="N53" s="10" t="str">
        <f t="shared" si="12"/>
        <v>SW</v>
      </c>
      <c r="O53" s="95" t="str">
        <f t="shared" si="13"/>
        <v>--</v>
      </c>
      <c r="P53" s="146" t="str">
        <f>IFERROR(_xll.qlRateHelperQuoteName(O53,Trigger),"--")</f>
        <v>--</v>
      </c>
      <c r="Q53" s="99" t="str">
        <f>IFERROR(_xll.qlRateHelperQuoteValue($O53,Trigger),"--")</f>
        <v>--</v>
      </c>
      <c r="R53" s="141" t="b">
        <v>0</v>
      </c>
      <c r="S53" s="95">
        <v>20</v>
      </c>
      <c r="T53" s="95">
        <v>1</v>
      </c>
      <c r="U53" s="100" t="str">
        <f>IFERROR(_xll.qlRateHelperEarliestDate(O53,Trigger),"--")</f>
        <v>--</v>
      </c>
      <c r="V53" s="100" t="str">
        <f>IFERROR(_xll.qlRateHelperPillarDate(O53,Trigger),"--")</f>
        <v>--</v>
      </c>
      <c r="X53" s="4" t="str">
        <f t="shared" si="2"/>
        <v>SW</v>
      </c>
      <c r="Y53" s="4" t="str">
        <v>obj_0033e</v>
      </c>
      <c r="Z53" s="4" t="str">
        <f>IFERROR(_xll.qlRateHelperQuoteName(Y53,Trigger),"")</f>
        <v>EUR6MSW24Y_Shifted</v>
      </c>
      <c r="AA53" s="73">
        <f>IFERROR(_xll.qlRateHelperRate(Y53,Trigger),"")</f>
        <v>1.2412880440000001E-2</v>
      </c>
      <c r="AB53" s="105">
        <f>IF(ISERROR(_xll.qlSwapRateHelperSpread($Y53)),IF(ISERROR(_xll.qlFuturesRateHelperConvexityAdjustment($Y53)),"",_xll.qlFuturesRateHelperConvexityAdjustment($Y53)),_xll.qlSwapRateHelperSpread($Y53))</f>
        <v>0</v>
      </c>
      <c r="AC53" s="5">
        <f>IFERROR(_xll.qlRateHelperEarliestDate(Y53,Trigger),"")</f>
        <v>42748</v>
      </c>
      <c r="AD53" s="5">
        <f>IFERROR(_xll.qlRateHelperPillarDate(Y53,Trigger),"")</f>
        <v>51515</v>
      </c>
      <c r="AE53" s="73">
        <v>1.2715943582434329E-2</v>
      </c>
    </row>
    <row r="54" spans="1:31" ht="11.25" customHeight="1" x14ac:dyDescent="0.2">
      <c r="A54" s="62" t="str">
        <f>Quote!AF51</f>
        <v>SW</v>
      </c>
      <c r="B54" s="63" t="str">
        <f>Quote!AG51</f>
        <v>3M</v>
      </c>
      <c r="C54" s="64" t="s">
        <v>6</v>
      </c>
      <c r="D54" s="64" t="s">
        <v>8</v>
      </c>
      <c r="E54" s="64" t="s">
        <v>7</v>
      </c>
      <c r="F54" s="64" t="s">
        <v>132</v>
      </c>
      <c r="G54" s="64" t="str">
        <f t="shared" si="14"/>
        <v>Euribor6MMX#0006</v>
      </c>
      <c r="H54" s="62" t="str">
        <f>IF(ISBLANK(Quote!AI51),"",Quote!AI51)</f>
        <v/>
      </c>
      <c r="I54" s="125"/>
      <c r="J54" s="125"/>
      <c r="K54" s="128">
        <v>0</v>
      </c>
      <c r="L54" s="125"/>
      <c r="N54" s="10" t="str">
        <f t="shared" si="12"/>
        <v>SW</v>
      </c>
      <c r="O54" s="95" t="str">
        <f t="shared" si="13"/>
        <v>--</v>
      </c>
      <c r="P54" s="146" t="str">
        <f>IFERROR(_xll.qlRateHelperQuoteName(O54,Trigger),"--")</f>
        <v>--</v>
      </c>
      <c r="Q54" s="99" t="str">
        <f>IFERROR(_xll.qlRateHelperQuoteValue($O54,Trigger),"--")</f>
        <v>--</v>
      </c>
      <c r="R54" s="141" t="b">
        <v>0</v>
      </c>
      <c r="S54" s="95">
        <v>20</v>
      </c>
      <c r="T54" s="95">
        <v>1</v>
      </c>
      <c r="U54" s="100" t="str">
        <f>IFERROR(_xll.qlRateHelperEarliestDate(O54,Trigger),"--")</f>
        <v>--</v>
      </c>
      <c r="V54" s="100" t="str">
        <f>IFERROR(_xll.qlRateHelperPillarDate(O54,Trigger),"--")</f>
        <v>--</v>
      </c>
      <c r="X54" s="4" t="str">
        <f t="shared" si="2"/>
        <v>SW</v>
      </c>
      <c r="Y54" s="4" t="str">
        <v>obj_00369</v>
      </c>
      <c r="Z54" s="4" t="str">
        <f>IFERROR(_xll.qlRateHelperQuoteName(Y54,Trigger),"")</f>
        <v>EUR6MSW25Y_Shifted</v>
      </c>
      <c r="AA54" s="73">
        <f>IFERROR(_xll.qlRateHelperRate(Y54,Trigger),"")</f>
        <v>1.2470000000000002E-2</v>
      </c>
      <c r="AB54" s="105">
        <f>IF(ISERROR(_xll.qlSwapRateHelperSpread($Y54)),IF(ISERROR(_xll.qlFuturesRateHelperConvexityAdjustment($Y54)),"",_xll.qlFuturesRateHelperConvexityAdjustment($Y54)),_xll.qlSwapRateHelperSpread($Y54))</f>
        <v>0</v>
      </c>
      <c r="AC54" s="5">
        <f>IFERROR(_xll.qlRateHelperEarliestDate(Y54,Trigger),"")</f>
        <v>42748</v>
      </c>
      <c r="AD54" s="5">
        <f>IFERROR(_xll.qlRateHelperPillarDate(Y54,Trigger),"")</f>
        <v>51879</v>
      </c>
      <c r="AE54" s="73">
        <v>1.2768551805257791E-2</v>
      </c>
    </row>
    <row r="55" spans="1:31" ht="11.25" customHeight="1" x14ac:dyDescent="0.2">
      <c r="A55" s="62" t="str">
        <f>Quote!AF52</f>
        <v>SW</v>
      </c>
      <c r="B55" s="63" t="str">
        <f>Quote!AG52</f>
        <v>4M</v>
      </c>
      <c r="C55" s="64" t="s">
        <v>6</v>
      </c>
      <c r="D55" s="64" t="s">
        <v>8</v>
      </c>
      <c r="E55" s="64" t="s">
        <v>7</v>
      </c>
      <c r="F55" s="64" t="s">
        <v>132</v>
      </c>
      <c r="G55" s="64" t="str">
        <f t="shared" si="14"/>
        <v>Euribor6MMX#0006</v>
      </c>
      <c r="H55" s="62" t="str">
        <f>IF(ISBLANK(Quote!AI52),"",Quote!AI52)</f>
        <v/>
      </c>
      <c r="I55" s="125"/>
      <c r="J55" s="125"/>
      <c r="K55" s="128">
        <v>0</v>
      </c>
      <c r="L55" s="125"/>
      <c r="N55" s="10" t="str">
        <f t="shared" si="12"/>
        <v>SW</v>
      </c>
      <c r="O55" s="95" t="str">
        <f t="shared" si="13"/>
        <v>--</v>
      </c>
      <c r="P55" s="146" t="str">
        <f>IFERROR(_xll.qlRateHelperQuoteName(O55,Trigger),"--")</f>
        <v>--</v>
      </c>
      <c r="Q55" s="99" t="str">
        <f>IFERROR(_xll.qlRateHelperQuoteValue($O55,Trigger),"--")</f>
        <v>--</v>
      </c>
      <c r="R55" s="141" t="b">
        <v>0</v>
      </c>
      <c r="S55" s="95">
        <v>20</v>
      </c>
      <c r="T55" s="95">
        <v>1</v>
      </c>
      <c r="U55" s="100" t="str">
        <f>IFERROR(_xll.qlRateHelperEarliestDate(O55,Trigger),"--")</f>
        <v>--</v>
      </c>
      <c r="V55" s="100" t="str">
        <f>IFERROR(_xll.qlRateHelperPillarDate(O55,Trigger),"--")</f>
        <v>--</v>
      </c>
      <c r="X55" s="4" t="str">
        <f t="shared" si="2"/>
        <v>SW</v>
      </c>
      <c r="Y55" s="4" t="str">
        <v>obj_00352</v>
      </c>
      <c r="Z55" s="4" t="str">
        <f>IFERROR(_xll.qlRateHelperQuoteName(Y55,Trigger),"")</f>
        <v>EUR6MSW26Y_Shifted</v>
      </c>
      <c r="AA55" s="73">
        <f>IFERROR(_xll.qlRateHelperRate(Y55,Trigger),"")</f>
        <v>1.251975327E-2</v>
      </c>
      <c r="AB55" s="105">
        <f>IF(ISERROR(_xll.qlSwapRateHelperSpread($Y55)),IF(ISERROR(_xll.qlFuturesRateHelperConvexityAdjustment($Y55)),"",_xll.qlFuturesRateHelperConvexityAdjustment($Y55)),_xll.qlSwapRateHelperSpread($Y55))</f>
        <v>0</v>
      </c>
      <c r="AC55" s="5">
        <f>IFERROR(_xll.qlRateHelperEarliestDate(Y55,Trigger),"")</f>
        <v>42748</v>
      </c>
      <c r="AD55" s="5">
        <f>IFERROR(_xll.qlRateHelperPillarDate(Y55,Trigger),"")</f>
        <v>52244</v>
      </c>
      <c r="AE55" s="73">
        <v>1.281352312889344E-2</v>
      </c>
    </row>
    <row r="56" spans="1:31" ht="11.25" customHeight="1" x14ac:dyDescent="0.2">
      <c r="A56" s="62" t="str">
        <f>Quote!AF53</f>
        <v>SW</v>
      </c>
      <c r="B56" s="63" t="str">
        <f>Quote!AG53</f>
        <v>5M</v>
      </c>
      <c r="C56" s="64" t="s">
        <v>6</v>
      </c>
      <c r="D56" s="64" t="s">
        <v>8</v>
      </c>
      <c r="E56" s="64" t="s">
        <v>7</v>
      </c>
      <c r="F56" s="64" t="s">
        <v>132</v>
      </c>
      <c r="G56" s="64" t="str">
        <f t="shared" si="14"/>
        <v>Euribor6MMX#0006</v>
      </c>
      <c r="H56" s="62" t="str">
        <f>IF(ISBLANK(Quote!AI53),"",Quote!AI53)</f>
        <v/>
      </c>
      <c r="I56" s="125"/>
      <c r="J56" s="125"/>
      <c r="K56" s="128">
        <v>0</v>
      </c>
      <c r="L56" s="125"/>
      <c r="N56" s="10" t="str">
        <f t="shared" si="12"/>
        <v>SW</v>
      </c>
      <c r="O56" s="95" t="str">
        <f t="shared" si="13"/>
        <v>--</v>
      </c>
      <c r="P56" s="146" t="str">
        <f>IFERROR(_xll.qlRateHelperQuoteName(O56,Trigger),"--")</f>
        <v>--</v>
      </c>
      <c r="Q56" s="99" t="str">
        <f>IFERROR(_xll.qlRateHelperQuoteValue($O56,Trigger),"--")</f>
        <v>--</v>
      </c>
      <c r="R56" s="141" t="b">
        <v>0</v>
      </c>
      <c r="S56" s="95">
        <v>20</v>
      </c>
      <c r="T56" s="95">
        <v>1</v>
      </c>
      <c r="U56" s="100" t="str">
        <f>IFERROR(_xll.qlRateHelperEarliestDate(O56,Trigger),"--")</f>
        <v>--</v>
      </c>
      <c r="V56" s="100" t="str">
        <f>IFERROR(_xll.qlRateHelperPillarDate(O56,Trigger),"--")</f>
        <v>--</v>
      </c>
      <c r="X56" s="4" t="str">
        <f t="shared" si="2"/>
        <v>SW</v>
      </c>
      <c r="Y56" s="4" t="str">
        <v>obj_00385</v>
      </c>
      <c r="Z56" s="4" t="str">
        <f>IFERROR(_xll.qlRateHelperQuoteName(Y56,Trigger),"")</f>
        <v>EUR6MSW27Y_Shifted</v>
      </c>
      <c r="AA56" s="73">
        <f>IFERROR(_xll.qlRateHelperRate(Y56,Trigger),"")</f>
        <v>1.256324862E-2</v>
      </c>
      <c r="AB56" s="105">
        <f>IF(ISERROR(_xll.qlSwapRateHelperSpread($Y56)),IF(ISERROR(_xll.qlFuturesRateHelperConvexityAdjustment($Y56)),"",_xll.qlFuturesRateHelperConvexityAdjustment($Y56)),_xll.qlSwapRateHelperSpread($Y56))</f>
        <v>0</v>
      </c>
      <c r="AC56" s="5">
        <f>IFERROR(_xll.qlRateHelperEarliestDate(Y56,Trigger),"")</f>
        <v>42748</v>
      </c>
      <c r="AD56" s="5">
        <f>IFERROR(_xll.qlRateHelperPillarDate(Y56,Trigger),"")</f>
        <v>52609</v>
      </c>
      <c r="AE56" s="73">
        <v>1.2852061111629275E-2</v>
      </c>
    </row>
    <row r="57" spans="1:31" ht="11.25" customHeight="1" x14ac:dyDescent="0.2">
      <c r="A57" s="62" t="str">
        <f>Quote!AF54</f>
        <v>SW</v>
      </c>
      <c r="B57" s="63" t="str">
        <f>Quote!AG54</f>
        <v>6M</v>
      </c>
      <c r="C57" s="64" t="s">
        <v>6</v>
      </c>
      <c r="D57" s="64" t="s">
        <v>8</v>
      </c>
      <c r="E57" s="64" t="s">
        <v>7</v>
      </c>
      <c r="F57" s="64" t="s">
        <v>132</v>
      </c>
      <c r="G57" s="64" t="str">
        <f t="shared" si="14"/>
        <v>Euribor6MMX#0006</v>
      </c>
      <c r="H57" s="62" t="str">
        <f>IF(ISBLANK(Quote!AI54),"",Quote!AI54)</f>
        <v/>
      </c>
      <c r="I57" s="125"/>
      <c r="J57" s="125"/>
      <c r="K57" s="128">
        <v>0</v>
      </c>
      <c r="L57" s="125"/>
      <c r="N57" s="10" t="str">
        <f t="shared" si="12"/>
        <v>SW</v>
      </c>
      <c r="O57" s="95" t="str">
        <f t="shared" si="13"/>
        <v>--</v>
      </c>
      <c r="P57" s="146" t="str">
        <f>IFERROR(_xll.qlRateHelperQuoteName(O57,Trigger),"--")</f>
        <v>--</v>
      </c>
      <c r="Q57" s="99" t="str">
        <f>IFERROR(_xll.qlRateHelperQuoteValue($O57,Trigger),"--")</f>
        <v>--</v>
      </c>
      <c r="R57" s="141" t="b">
        <v>0</v>
      </c>
      <c r="S57" s="95">
        <v>20</v>
      </c>
      <c r="T57" s="95">
        <v>1</v>
      </c>
      <c r="U57" s="100" t="str">
        <f>IFERROR(_xll.qlRateHelperEarliestDate(O57,Trigger),"--")</f>
        <v>--</v>
      </c>
      <c r="V57" s="100" t="str">
        <f>IFERROR(_xll.qlRateHelperPillarDate(O57,Trigger),"--")</f>
        <v>--</v>
      </c>
      <c r="X57" s="4" t="str">
        <f t="shared" si="2"/>
        <v>SW</v>
      </c>
      <c r="Y57" s="4" t="str">
        <v>obj_003c1</v>
      </c>
      <c r="Z57" s="4" t="str">
        <f>IFERROR(_xll.qlRateHelperQuoteName(Y57,Trigger),"")</f>
        <v>EUR6MSW28Y_Shifted</v>
      </c>
      <c r="AA57" s="73">
        <f>IFERROR(_xll.qlRateHelperRate(Y57,Trigger),"")</f>
        <v>1.2601871590000001E-2</v>
      </c>
      <c r="AB57" s="105">
        <f>IF(ISERROR(_xll.qlSwapRateHelperSpread($Y57)),IF(ISERROR(_xll.qlFuturesRateHelperConvexityAdjustment($Y57)),"",_xll.qlFuturesRateHelperConvexityAdjustment($Y57)),_xll.qlSwapRateHelperSpread($Y57))</f>
        <v>0</v>
      </c>
      <c r="AC57" s="5">
        <f>IFERROR(_xll.qlRateHelperEarliestDate(Y57,Trigger),"")</f>
        <v>42748</v>
      </c>
      <c r="AD57" s="5">
        <f>IFERROR(_xll.qlRateHelperPillarDate(Y57,Trigger),"")</f>
        <v>52975</v>
      </c>
      <c r="AE57" s="73">
        <v>1.2884439853938929E-2</v>
      </c>
    </row>
    <row r="58" spans="1:31" ht="11.25" customHeight="1" x14ac:dyDescent="0.2">
      <c r="A58" s="62" t="str">
        <f>Quote!AF55</f>
        <v>SW</v>
      </c>
      <c r="B58" s="63" t="str">
        <f>Quote!AG55</f>
        <v>7M</v>
      </c>
      <c r="C58" s="64" t="s">
        <v>6</v>
      </c>
      <c r="D58" s="64" t="s">
        <v>8</v>
      </c>
      <c r="E58" s="64" t="s">
        <v>7</v>
      </c>
      <c r="F58" s="64" t="s">
        <v>132</v>
      </c>
      <c r="G58" s="64" t="str">
        <f t="shared" si="14"/>
        <v>Euribor6MMX#0006</v>
      </c>
      <c r="H58" s="62" t="str">
        <f>IF(ISBLANK(Quote!AI55),"",Quote!AI55)</f>
        <v/>
      </c>
      <c r="I58" s="125"/>
      <c r="J58" s="125"/>
      <c r="K58" s="128">
        <v>0</v>
      </c>
      <c r="L58" s="125"/>
      <c r="N58" s="10" t="str">
        <f t="shared" si="12"/>
        <v>SW</v>
      </c>
      <c r="O58" s="95" t="str">
        <f t="shared" si="13"/>
        <v>--</v>
      </c>
      <c r="P58" s="146" t="str">
        <f>IFERROR(_xll.qlRateHelperQuoteName(O58,Trigger),"--")</f>
        <v>--</v>
      </c>
      <c r="Q58" s="99" t="str">
        <f>IFERROR(_xll.qlRateHelperQuoteValue($O58,Trigger),"--")</f>
        <v>--</v>
      </c>
      <c r="R58" s="141" t="b">
        <v>0</v>
      </c>
      <c r="S58" s="95">
        <v>20</v>
      </c>
      <c r="T58" s="95">
        <v>1</v>
      </c>
      <c r="U58" s="100" t="str">
        <f>IFERROR(_xll.qlRateHelperEarliestDate(O58,Trigger),"--")</f>
        <v>--</v>
      </c>
      <c r="V58" s="100" t="str">
        <f>IFERROR(_xll.qlRateHelperPillarDate(O58,Trigger),"--")</f>
        <v>--</v>
      </c>
      <c r="X58" s="4" t="str">
        <f t="shared" si="2"/>
        <v>SW</v>
      </c>
      <c r="Y58" s="4" t="str">
        <v>obj_00380</v>
      </c>
      <c r="Z58" s="4" t="str">
        <f>IFERROR(_xll.qlRateHelperQuoteName(Y58,Trigger),"")</f>
        <v>EUR6MSW29Y_Shifted</v>
      </c>
      <c r="AA58" s="73">
        <f>IFERROR(_xll.qlRateHelperRate(Y58,Trigger),"")</f>
        <v>1.263377846E-2</v>
      </c>
      <c r="AB58" s="105">
        <f>IF(ISERROR(_xll.qlSwapRateHelperSpread($Y58)),IF(ISERROR(_xll.qlFuturesRateHelperConvexityAdjustment($Y58)),"",_xll.qlFuturesRateHelperConvexityAdjustment($Y58)),_xll.qlSwapRateHelperSpread($Y58))</f>
        <v>0</v>
      </c>
      <c r="AC58" s="5">
        <f>IFERROR(_xll.qlRateHelperEarliestDate(Y58,Trigger),"")</f>
        <v>42748</v>
      </c>
      <c r="AD58" s="5">
        <f>IFERROR(_xll.qlRateHelperPillarDate(Y58,Trigger),"")</f>
        <v>53342</v>
      </c>
      <c r="AE58" s="73">
        <v>1.2910804275746281E-2</v>
      </c>
    </row>
    <row r="59" spans="1:31" ht="11.25" customHeight="1" x14ac:dyDescent="0.2">
      <c r="A59" s="62" t="str">
        <f>Quote!AF56</f>
        <v>SW</v>
      </c>
      <c r="B59" s="63" t="str">
        <f>Quote!AG56</f>
        <v>8M</v>
      </c>
      <c r="C59" s="64" t="s">
        <v>6</v>
      </c>
      <c r="D59" s="64" t="s">
        <v>8</v>
      </c>
      <c r="E59" s="64" t="s">
        <v>7</v>
      </c>
      <c r="F59" s="64" t="s">
        <v>132</v>
      </c>
      <c r="G59" s="64" t="str">
        <f t="shared" si="14"/>
        <v>Euribor6MMX#0006</v>
      </c>
      <c r="H59" s="62" t="str">
        <f>IF(ISBLANK(Quote!AI56),"",Quote!AI56)</f>
        <v/>
      </c>
      <c r="I59" s="125"/>
      <c r="J59" s="125"/>
      <c r="K59" s="128">
        <v>0</v>
      </c>
      <c r="L59" s="125"/>
      <c r="N59" s="10" t="str">
        <f t="shared" si="12"/>
        <v>SW</v>
      </c>
      <c r="O59" s="95" t="str">
        <f t="shared" si="13"/>
        <v>--</v>
      </c>
      <c r="P59" s="146" t="str">
        <f>IFERROR(_xll.qlRateHelperQuoteName(O59,Trigger),"--")</f>
        <v>--</v>
      </c>
      <c r="Q59" s="99" t="str">
        <f>IFERROR(_xll.qlRateHelperQuoteValue($O59,Trigger),"--")</f>
        <v>--</v>
      </c>
      <c r="R59" s="141" t="b">
        <v>0</v>
      </c>
      <c r="S59" s="95">
        <v>20</v>
      </c>
      <c r="T59" s="95">
        <v>1</v>
      </c>
      <c r="U59" s="100" t="str">
        <f>IFERROR(_xll.qlRateHelperEarliestDate(O59,Trigger),"--")</f>
        <v>--</v>
      </c>
      <c r="V59" s="100" t="str">
        <f>IFERROR(_xll.qlRateHelperPillarDate(O59,Trigger),"--")</f>
        <v>--</v>
      </c>
      <c r="X59" s="4" t="str">
        <f t="shared" si="2"/>
        <v>SW</v>
      </c>
      <c r="Y59" s="4" t="str">
        <v>obj_003d8</v>
      </c>
      <c r="Z59" s="4" t="str">
        <f>IFERROR(_xll.qlRateHelperQuoteName(Y59,Trigger),"")</f>
        <v>EUR6MSW30Y_Shifted</v>
      </c>
      <c r="AA59" s="73">
        <f>IFERROR(_xll.qlRateHelperRate(Y59,Trigger),"")</f>
        <v>1.2659999999999999E-2</v>
      </c>
      <c r="AB59" s="105">
        <f>IF(ISERROR(_xll.qlSwapRateHelperSpread($Y59)),IF(ISERROR(_xll.qlFuturesRateHelperConvexityAdjustment($Y59)),"",_xll.qlFuturesRateHelperConvexityAdjustment($Y59)),_xll.qlSwapRateHelperSpread($Y59))</f>
        <v>0</v>
      </c>
      <c r="AC59" s="5">
        <f>IFERROR(_xll.qlRateHelperEarliestDate(Y59,Trigger),"")</f>
        <v>42748</v>
      </c>
      <c r="AD59" s="5">
        <f>IFERROR(_xll.qlRateHelperPillarDate(Y59,Trigger),"")</f>
        <v>53706</v>
      </c>
      <c r="AE59" s="73">
        <v>1.2931113774970452E-2</v>
      </c>
    </row>
    <row r="60" spans="1:31" ht="11.25" customHeight="1" x14ac:dyDescent="0.2">
      <c r="A60" s="62" t="str">
        <f>Quote!AF57</f>
        <v>SW</v>
      </c>
      <c r="B60" s="63" t="str">
        <f>Quote!AG57</f>
        <v>9M</v>
      </c>
      <c r="C60" s="64" t="s">
        <v>6</v>
      </c>
      <c r="D60" s="64" t="s">
        <v>8</v>
      </c>
      <c r="E60" s="64" t="s">
        <v>7</v>
      </c>
      <c r="F60" s="64" t="s">
        <v>132</v>
      </c>
      <c r="G60" s="64" t="str">
        <f t="shared" si="14"/>
        <v>Euribor6MMX#0006</v>
      </c>
      <c r="H60" s="62" t="str">
        <f>IF(ISBLANK(Quote!AI57),"",Quote!AI57)</f>
        <v/>
      </c>
      <c r="I60" s="125"/>
      <c r="J60" s="125"/>
      <c r="K60" s="128">
        <v>0</v>
      </c>
      <c r="L60" s="125"/>
      <c r="N60" s="10" t="str">
        <f t="shared" si="12"/>
        <v>SW</v>
      </c>
      <c r="O60" s="95" t="str">
        <f t="shared" si="13"/>
        <v>--</v>
      </c>
      <c r="P60" s="146" t="str">
        <f>IFERROR(_xll.qlRateHelperQuoteName(O60,Trigger),"--")</f>
        <v>--</v>
      </c>
      <c r="Q60" s="99" t="str">
        <f>IFERROR(_xll.qlRateHelperQuoteValue($O60,Trigger),"--")</f>
        <v>--</v>
      </c>
      <c r="R60" s="141" t="b">
        <v>0</v>
      </c>
      <c r="S60" s="95">
        <v>20</v>
      </c>
      <c r="T60" s="95">
        <v>1</v>
      </c>
      <c r="U60" s="100" t="str">
        <f>IFERROR(_xll.qlRateHelperEarliestDate(O60,Trigger),"--")</f>
        <v>--</v>
      </c>
      <c r="V60" s="100" t="str">
        <f>IFERROR(_xll.qlRateHelperPillarDate(O60,Trigger),"--")</f>
        <v>--</v>
      </c>
      <c r="X60" s="4" t="str">
        <f t="shared" si="2"/>
        <v>SW</v>
      </c>
      <c r="Y60" s="4" t="str">
        <v>obj_0038a</v>
      </c>
      <c r="Z60" s="4" t="str">
        <f>IFERROR(_xll.qlRateHelperQuoteName(Y60,Trigger),"")</f>
        <v>EUR6MSW31Y_Shifted</v>
      </c>
      <c r="AA60" s="73">
        <f>IFERROR(_xll.qlRateHelperRate(Y60,Trigger),"")</f>
        <v>1.268113391E-2</v>
      </c>
      <c r="AB60" s="105">
        <f>IF(ISERROR(_xll.qlSwapRateHelperSpread($Y60)),IF(ISERROR(_xll.qlFuturesRateHelperConvexityAdjustment($Y60)),"",_xll.qlFuturesRateHelperConvexityAdjustment($Y60)),_xll.qlSwapRateHelperSpread($Y60))</f>
        <v>0</v>
      </c>
      <c r="AC60" s="5">
        <f>IFERROR(_xll.qlRateHelperEarliestDate(Y60,Trigger),"")</f>
        <v>42748</v>
      </c>
      <c r="AD60" s="5">
        <f>IFERROR(_xll.qlRateHelperPillarDate(Y60,Trigger),"")</f>
        <v>54070</v>
      </c>
      <c r="AE60" s="73">
        <v>1.2945897263816388E-2</v>
      </c>
    </row>
    <row r="61" spans="1:31" ht="11.25" customHeight="1" x14ac:dyDescent="0.2">
      <c r="A61" s="62" t="str">
        <f>Quote!AF58</f>
        <v>SW</v>
      </c>
      <c r="B61" s="63" t="str">
        <f>Quote!AG58</f>
        <v>10M</v>
      </c>
      <c r="C61" s="64" t="s">
        <v>6</v>
      </c>
      <c r="D61" s="64" t="s">
        <v>8</v>
      </c>
      <c r="E61" s="64" t="s">
        <v>7</v>
      </c>
      <c r="F61" s="64" t="s">
        <v>132</v>
      </c>
      <c r="G61" s="64" t="str">
        <f t="shared" si="14"/>
        <v>Euribor6MMX#0006</v>
      </c>
      <c r="H61" s="62" t="str">
        <f>IF(ISBLANK(Quote!AI58),"",Quote!AI58)</f>
        <v/>
      </c>
      <c r="I61" s="125"/>
      <c r="J61" s="125"/>
      <c r="K61" s="128">
        <v>0</v>
      </c>
      <c r="L61" s="125"/>
      <c r="N61" s="10" t="str">
        <f t="shared" si="12"/>
        <v>SW</v>
      </c>
      <c r="O61" s="95" t="str">
        <f t="shared" si="13"/>
        <v>--</v>
      </c>
      <c r="P61" s="146" t="str">
        <f>IFERROR(_xll.qlRateHelperQuoteName(O61,Trigger),"--")</f>
        <v>--</v>
      </c>
      <c r="Q61" s="99" t="str">
        <f>IFERROR(_xll.qlRateHelperQuoteValue($O61,Trigger),"--")</f>
        <v>--</v>
      </c>
      <c r="R61" s="141" t="b">
        <v>0</v>
      </c>
      <c r="S61" s="95">
        <v>20</v>
      </c>
      <c r="T61" s="95">
        <v>1</v>
      </c>
      <c r="U61" s="100" t="str">
        <f>IFERROR(_xll.qlRateHelperEarliestDate(O61,Trigger),"--")</f>
        <v>--</v>
      </c>
      <c r="V61" s="100" t="str">
        <f>IFERROR(_xll.qlRateHelperPillarDate(O61,Trigger),"--")</f>
        <v>--</v>
      </c>
      <c r="X61" s="4" t="str">
        <f t="shared" si="2"/>
        <v>SW</v>
      </c>
      <c r="Y61" s="4" t="str">
        <v>obj_00359</v>
      </c>
      <c r="Z61" s="4" t="str">
        <f>IFERROR(_xll.qlRateHelperQuoteName(Y61,Trigger),"")</f>
        <v>EUR6MSW32Y_Shifted</v>
      </c>
      <c r="AA61" s="73">
        <f>IFERROR(_xll.qlRateHelperRate(Y61,Trigger),"")</f>
        <v>1.2698803599999999E-2</v>
      </c>
      <c r="AB61" s="105">
        <f>IF(ISERROR(_xll.qlSwapRateHelperSpread($Y61)),IF(ISERROR(_xll.qlFuturesRateHelperConvexityAdjustment($Y61)),"",_xll.qlFuturesRateHelperConvexityAdjustment($Y61)),_xll.qlSwapRateHelperSpread($Y61))</f>
        <v>0</v>
      </c>
      <c r="AC61" s="5">
        <f>IFERROR(_xll.qlRateHelperEarliestDate(Y61,Trigger),"")</f>
        <v>42748</v>
      </c>
      <c r="AD61" s="5">
        <f>IFERROR(_xll.qlRateHelperPillarDate(Y61,Trigger),"")</f>
        <v>54436</v>
      </c>
      <c r="AE61" s="73">
        <v>1.2955948475079183E-2</v>
      </c>
    </row>
    <row r="62" spans="1:31" ht="11.25" customHeight="1" x14ac:dyDescent="0.2">
      <c r="A62" s="62" t="str">
        <f>Quote!AF59</f>
        <v>SW</v>
      </c>
      <c r="B62" s="63" t="str">
        <f>Quote!AG59</f>
        <v>11M</v>
      </c>
      <c r="C62" s="64" t="s">
        <v>6</v>
      </c>
      <c r="D62" s="64" t="s">
        <v>8</v>
      </c>
      <c r="E62" s="64" t="s">
        <v>7</v>
      </c>
      <c r="F62" s="64" t="s">
        <v>132</v>
      </c>
      <c r="G62" s="64" t="str">
        <f t="shared" si="14"/>
        <v>Euribor6MMX#0006</v>
      </c>
      <c r="H62" s="62" t="str">
        <f>IF(ISBLANK(Quote!AI59),"",Quote!AI59)</f>
        <v/>
      </c>
      <c r="I62" s="125"/>
      <c r="J62" s="125"/>
      <c r="K62" s="128">
        <v>0</v>
      </c>
      <c r="L62" s="125"/>
      <c r="N62" s="10" t="str">
        <f t="shared" si="12"/>
        <v>SW</v>
      </c>
      <c r="O62" s="95" t="str">
        <f t="shared" si="13"/>
        <v>--</v>
      </c>
      <c r="P62" s="146" t="str">
        <f>IFERROR(_xll.qlRateHelperQuoteName(O62,Trigger),"--")</f>
        <v>--</v>
      </c>
      <c r="Q62" s="99" t="str">
        <f>IFERROR(_xll.qlRateHelperQuoteValue($O62,Trigger),"--")</f>
        <v>--</v>
      </c>
      <c r="R62" s="141" t="b">
        <v>0</v>
      </c>
      <c r="S62" s="95">
        <v>20</v>
      </c>
      <c r="T62" s="95">
        <v>1</v>
      </c>
      <c r="U62" s="100" t="str">
        <f>IFERROR(_xll.qlRateHelperEarliestDate(O62,Trigger),"--")</f>
        <v>--</v>
      </c>
      <c r="V62" s="100" t="str">
        <f>IFERROR(_xll.qlRateHelperPillarDate(O62,Trigger),"--")</f>
        <v>--</v>
      </c>
      <c r="X62" s="4" t="str">
        <f t="shared" si="2"/>
        <v>SW</v>
      </c>
      <c r="Y62" s="4" t="str">
        <v>obj_00360</v>
      </c>
      <c r="Z62" s="4" t="str">
        <f>IFERROR(_xll.qlRateHelperQuoteName(Y62,Trigger),"")</f>
        <v>EUR6MSW33Y_Shifted</v>
      </c>
      <c r="AA62" s="73">
        <f>IFERROR(_xll.qlRateHelperRate(Y62,Trigger),"")</f>
        <v>1.271186535E-2</v>
      </c>
      <c r="AB62" s="105">
        <f>IF(ISERROR(_xll.qlSwapRateHelperSpread($Y62)),IF(ISERROR(_xll.qlFuturesRateHelperConvexityAdjustment($Y62)),"",_xll.qlFuturesRateHelperConvexityAdjustment($Y62)),_xll.qlSwapRateHelperSpread($Y62))</f>
        <v>0</v>
      </c>
      <c r="AC62" s="5">
        <f>IFERROR(_xll.qlRateHelperEarliestDate(Y62,Trigger),"")</f>
        <v>42748</v>
      </c>
      <c r="AD62" s="5">
        <f>IFERROR(_xll.qlRateHelperPillarDate(Y62,Trigger),"")</f>
        <v>54801</v>
      </c>
      <c r="AE62" s="73">
        <v>1.2962047876187171E-2</v>
      </c>
    </row>
    <row r="63" spans="1:31" ht="11.25" customHeight="1" x14ac:dyDescent="0.2">
      <c r="A63" s="62" t="str">
        <f>Quote!AF60</f>
        <v>SW</v>
      </c>
      <c r="B63" s="63" t="str">
        <f>Quote!AG60</f>
        <v>12M</v>
      </c>
      <c r="C63" s="64" t="s">
        <v>6</v>
      </c>
      <c r="D63" s="64" t="s">
        <v>8</v>
      </c>
      <c r="E63" s="64" t="s">
        <v>7</v>
      </c>
      <c r="F63" s="64" t="s">
        <v>132</v>
      </c>
      <c r="G63" s="64" t="str">
        <f t="shared" si="14"/>
        <v>Euribor6MMX#0006</v>
      </c>
      <c r="H63" s="62" t="str">
        <f>IF(ISBLANK(Quote!AI60),"",Quote!AI60)</f>
        <v/>
      </c>
      <c r="I63" s="125"/>
      <c r="J63" s="125"/>
      <c r="K63" s="128">
        <v>0</v>
      </c>
      <c r="L63" s="125"/>
      <c r="N63" s="10" t="str">
        <f t="shared" si="12"/>
        <v>SW</v>
      </c>
      <c r="O63" s="95" t="str">
        <f t="shared" si="13"/>
        <v>--</v>
      </c>
      <c r="P63" s="146" t="str">
        <f>IFERROR(_xll.qlRateHelperQuoteName(O63,Trigger),"--")</f>
        <v>--</v>
      </c>
      <c r="Q63" s="99" t="str">
        <f>IFERROR(_xll.qlRateHelperQuoteValue($O63,Trigger),"--")</f>
        <v>--</v>
      </c>
      <c r="R63" s="141" t="b">
        <v>0</v>
      </c>
      <c r="S63" s="95">
        <v>20</v>
      </c>
      <c r="T63" s="95">
        <v>1</v>
      </c>
      <c r="U63" s="100" t="str">
        <f>IFERROR(_xll.qlRateHelperEarliestDate(O63,Trigger),"--")</f>
        <v>--</v>
      </c>
      <c r="V63" s="100" t="str">
        <f>IFERROR(_xll.qlRateHelperPillarDate(O63,Trigger),"--")</f>
        <v>--</v>
      </c>
      <c r="X63" s="4" t="str">
        <f t="shared" si="2"/>
        <v>SW</v>
      </c>
      <c r="Y63" s="4" t="str">
        <v>obj_00383</v>
      </c>
      <c r="Z63" s="4" t="str">
        <f>IFERROR(_xll.qlRateHelperQuoteName(Y63,Trigger),"")</f>
        <v>EUR6MSW34Y_Shifted</v>
      </c>
      <c r="AA63" s="73">
        <f>IFERROR(_xll.qlRateHelperRate(Y63,Trigger),"")</f>
        <v>1.2722009760000002E-2</v>
      </c>
      <c r="AB63" s="105">
        <f>IF(ISERROR(_xll.qlSwapRateHelperSpread($Y63)),IF(ISERROR(_xll.qlFuturesRateHelperConvexityAdjustment($Y63)),"",_xll.qlFuturesRateHelperConvexityAdjustment($Y63)),_xll.qlSwapRateHelperSpread($Y63))</f>
        <v>0</v>
      </c>
      <c r="AC63" s="5">
        <f>IFERROR(_xll.qlRateHelperEarliestDate(Y63,Trigger),"")</f>
        <v>42748</v>
      </c>
      <c r="AD63" s="5">
        <f>IFERROR(_xll.qlRateHelperPillarDate(Y63,Trigger),"")</f>
        <v>55166</v>
      </c>
      <c r="AE63" s="73">
        <v>1.2965108740812196E-2</v>
      </c>
    </row>
    <row r="64" spans="1:31" ht="11.25" customHeight="1" x14ac:dyDescent="0.2">
      <c r="A64" s="62" t="str">
        <f>Quote!AF61</f>
        <v>SW</v>
      </c>
      <c r="B64" s="63" t="str">
        <f>Quote!AG61</f>
        <v>1Y</v>
      </c>
      <c r="C64" s="64" t="s">
        <v>6</v>
      </c>
      <c r="D64" s="64" t="s">
        <v>8</v>
      </c>
      <c r="E64" s="64" t="s">
        <v>7</v>
      </c>
      <c r="F64" s="64" t="s">
        <v>132</v>
      </c>
      <c r="G64" s="64" t="str">
        <f t="shared" si="14"/>
        <v>Euribor6MMX#0006</v>
      </c>
      <c r="H64" s="62" t="str">
        <f>IF(ISBLANK(Quote!AI61),"",Quote!AI61)</f>
        <v/>
      </c>
      <c r="I64" s="125"/>
      <c r="J64" s="125"/>
      <c r="K64" s="128">
        <v>0</v>
      </c>
      <c r="L64" s="125"/>
      <c r="N64" s="10" t="str">
        <f t="shared" ref="N64:N86" si="15">A68</f>
        <v>SW</v>
      </c>
      <c r="O64" s="95" t="str">
        <f t="shared" ref="O64:O86" si="16">IF(ISBLANK(L68),"--",L68)</f>
        <v>--</v>
      </c>
      <c r="P64" s="146" t="str">
        <f>IFERROR(_xll.qlRateHelperQuoteName(O64,Trigger),"--")</f>
        <v>--</v>
      </c>
      <c r="Q64" s="99" t="str">
        <f>IFERROR(_xll.qlRateHelperQuoteValue($O64,Trigger),"--")</f>
        <v>--</v>
      </c>
      <c r="R64" s="141" t="b">
        <v>0</v>
      </c>
      <c r="S64" s="95">
        <v>20</v>
      </c>
      <c r="T64" s="95">
        <v>1</v>
      </c>
      <c r="U64" s="100" t="str">
        <f>IFERROR(_xll.qlRateHelperEarliestDate(O64,Trigger),"--")</f>
        <v>--</v>
      </c>
      <c r="V64" s="100" t="str">
        <f>IFERROR(_xll.qlRateHelperPillarDate(O64,Trigger),"--")</f>
        <v>--</v>
      </c>
      <c r="X64" s="4" t="str">
        <f t="shared" si="2"/>
        <v>SW</v>
      </c>
      <c r="Y64" s="4" t="str">
        <v>obj_0039a</v>
      </c>
      <c r="Z64" s="4" t="str">
        <f>IFERROR(_xll.qlRateHelperQuoteName(Y64,Trigger),"")</f>
        <v>EUR6MSW35Y_Shifted</v>
      </c>
      <c r="AA64" s="73">
        <f>IFERROR(_xll.qlRateHelperRate(Y64,Trigger),"")</f>
        <v>1.2730000000000002E-2</v>
      </c>
      <c r="AB64" s="105">
        <f>IF(ISERROR(_xll.qlSwapRateHelperSpread($Y64)),IF(ISERROR(_xll.qlFuturesRateHelperConvexityAdjustment($Y64)),"",_xll.qlFuturesRateHelperConvexityAdjustment($Y64)),_xll.qlSwapRateHelperSpread($Y64))</f>
        <v>0</v>
      </c>
      <c r="AC64" s="5">
        <f>IFERROR(_xll.qlRateHelperEarliestDate(Y64,Trigger),"")</f>
        <v>42748</v>
      </c>
      <c r="AD64" s="5">
        <f>IFERROR(_xll.qlRateHelperPillarDate(Y64,Trigger),"")</f>
        <v>55533</v>
      </c>
      <c r="AE64" s="73">
        <v>1.2966011542064717E-2</v>
      </c>
    </row>
    <row r="65" spans="1:31" ht="11.25" customHeight="1" x14ac:dyDescent="0.2">
      <c r="A65" s="62" t="str">
        <f>Quote!AF62</f>
        <v>SW</v>
      </c>
      <c r="B65" s="63" t="str">
        <f>Quote!AG62</f>
        <v>13M</v>
      </c>
      <c r="C65" s="64" t="s">
        <v>6</v>
      </c>
      <c r="D65" s="64" t="s">
        <v>8</v>
      </c>
      <c r="E65" s="64" t="s">
        <v>7</v>
      </c>
      <c r="F65" s="64" t="s">
        <v>132</v>
      </c>
      <c r="G65" s="64" t="str">
        <f t="shared" si="14"/>
        <v>Euribor6MMX#0006</v>
      </c>
      <c r="H65" s="62" t="str">
        <f>IF(ISBLANK(Quote!AI62),"",Quote!AI62)</f>
        <v/>
      </c>
      <c r="I65" s="125"/>
      <c r="J65" s="125"/>
      <c r="K65" s="128">
        <v>0</v>
      </c>
      <c r="L65" s="125"/>
      <c r="N65" s="10" t="str">
        <f t="shared" si="15"/>
        <v>SW</v>
      </c>
      <c r="O65" s="95" t="str">
        <f t="shared" si="16"/>
        <v>--</v>
      </c>
      <c r="P65" s="146" t="str">
        <f>IFERROR(_xll.qlRateHelperQuoteName(O65,Trigger),"--")</f>
        <v>--</v>
      </c>
      <c r="Q65" s="99" t="str">
        <f>IFERROR(_xll.qlRateHelperQuoteValue($O65,Trigger),"--")</f>
        <v>--</v>
      </c>
      <c r="R65" s="141" t="b">
        <v>0</v>
      </c>
      <c r="S65" s="95">
        <v>20</v>
      </c>
      <c r="T65" s="95">
        <v>1</v>
      </c>
      <c r="U65" s="100" t="str">
        <f>IFERROR(_xll.qlRateHelperEarliestDate(O65,Trigger),"--")</f>
        <v>--</v>
      </c>
      <c r="V65" s="100" t="str">
        <f>IFERROR(_xll.qlRateHelperPillarDate(O65,Trigger),"--")</f>
        <v>--</v>
      </c>
      <c r="X65" s="4" t="str">
        <f t="shared" si="2"/>
        <v>SW</v>
      </c>
      <c r="Y65" s="4" t="str">
        <v>obj_003c5</v>
      </c>
      <c r="Z65" s="4" t="str">
        <f>IFERROR(_xll.qlRateHelperQuoteName(Y65,Trigger),"")</f>
        <v>EUR6MSW36Y_Shifted</v>
      </c>
      <c r="AA65" s="73">
        <f>IFERROR(_xll.qlRateHelperRate(Y65,Trigger),"")</f>
        <v>1.273681909E-2</v>
      </c>
      <c r="AB65" s="105">
        <f>IF(ISERROR(_xll.qlSwapRateHelperSpread($Y65)),IF(ISERROR(_xll.qlFuturesRateHelperConvexityAdjustment($Y65)),"",_xll.qlFuturesRateHelperConvexityAdjustment($Y65)),_xll.qlSwapRateHelperSpread($Y65))</f>
        <v>0</v>
      </c>
      <c r="AC65" s="5">
        <f>IFERROR(_xll.qlRateHelperEarliestDate(Y65,Trigger),"")</f>
        <v>42748</v>
      </c>
      <c r="AD65" s="5">
        <f>IFERROR(_xll.qlRateHelperPillarDate(Y65,Trigger),"")</f>
        <v>55897</v>
      </c>
      <c r="AE65" s="73">
        <v>1.2965025456037707E-2</v>
      </c>
    </row>
    <row r="66" spans="1:31" ht="11.25" customHeight="1" x14ac:dyDescent="0.2">
      <c r="A66" s="62" t="str">
        <f>Quote!AF63</f>
        <v>SW</v>
      </c>
      <c r="B66" s="63" t="str">
        <f>Quote!AG63</f>
        <v>14M</v>
      </c>
      <c r="C66" s="64" t="s">
        <v>6</v>
      </c>
      <c r="D66" s="64" t="s">
        <v>8</v>
      </c>
      <c r="E66" s="64" t="s">
        <v>7</v>
      </c>
      <c r="F66" s="64" t="s">
        <v>132</v>
      </c>
      <c r="G66" s="64" t="str">
        <f t="shared" si="14"/>
        <v>Euribor6MMX#0006</v>
      </c>
      <c r="H66" s="62" t="str">
        <f>IF(ISBLANK(Quote!AI63),"",Quote!AI63)</f>
        <v/>
      </c>
      <c r="I66" s="125"/>
      <c r="J66" s="125"/>
      <c r="K66" s="128">
        <v>0</v>
      </c>
      <c r="L66" s="125"/>
      <c r="N66" s="10" t="str">
        <f t="shared" si="15"/>
        <v>SW</v>
      </c>
      <c r="O66" s="95" t="str">
        <f t="shared" si="16"/>
        <v>--</v>
      </c>
      <c r="P66" s="146" t="str">
        <f>IFERROR(_xll.qlRateHelperQuoteName(O66,Trigger),"--")</f>
        <v>--</v>
      </c>
      <c r="Q66" s="99" t="str">
        <f>IFERROR(_xll.qlRateHelperQuoteValue($O66,Trigger),"--")</f>
        <v>--</v>
      </c>
      <c r="R66" s="141" t="b">
        <v>0</v>
      </c>
      <c r="S66" s="95">
        <v>20</v>
      </c>
      <c r="T66" s="95">
        <v>1</v>
      </c>
      <c r="U66" s="100" t="str">
        <f>IFERROR(_xll.qlRateHelperEarliestDate(O66,Trigger),"--")</f>
        <v>--</v>
      </c>
      <c r="V66" s="100" t="str">
        <f>IFERROR(_xll.qlRateHelperPillarDate(O66,Trigger),"--")</f>
        <v>--</v>
      </c>
      <c r="X66" s="162" t="str">
        <f t="shared" si="2"/>
        <v>SW</v>
      </c>
      <c r="Y66" s="162" t="str">
        <v>obj_00375</v>
      </c>
      <c r="Z66" s="162" t="str">
        <f>IFERROR(_xll.qlRateHelperQuoteName(Y66,Trigger),"")</f>
        <v>EUR6MSW37Y_Shifted</v>
      </c>
      <c r="AA66" s="73">
        <f>IFERROR(_xll.qlRateHelperRate(Y66,Trigger),"")</f>
        <v>1.273956278E-2</v>
      </c>
      <c r="AB66" s="105">
        <f>IF(ISERROR(_xll.qlSwapRateHelperSpread($Y66)),IF(ISERROR(_xll.qlFuturesRateHelperConvexityAdjustment($Y66)),"",_xll.qlFuturesRateHelperConvexityAdjustment($Y66)),_xll.qlSwapRateHelperSpread($Y66))</f>
        <v>0</v>
      </c>
      <c r="AC66" s="5">
        <f>IFERROR(_xll.qlRateHelperEarliestDate(Y66,Trigger),"")</f>
        <v>42748</v>
      </c>
      <c r="AD66" s="5">
        <f>IFERROR(_xll.qlRateHelperPillarDate(Y66,Trigger),"")</f>
        <v>56262</v>
      </c>
      <c r="AE66" s="73">
        <v>1.2960247429170011E-2</v>
      </c>
    </row>
    <row r="67" spans="1:31" ht="11.25" customHeight="1" x14ac:dyDescent="0.2">
      <c r="A67" s="62" t="str">
        <f>Quote!AF64</f>
        <v>SW</v>
      </c>
      <c r="B67" s="63" t="str">
        <f>Quote!AG64</f>
        <v>15M</v>
      </c>
      <c r="C67" s="64" t="s">
        <v>6</v>
      </c>
      <c r="D67" s="64" t="s">
        <v>8</v>
      </c>
      <c r="E67" s="64" t="s">
        <v>7</v>
      </c>
      <c r="F67" s="64" t="s">
        <v>132</v>
      </c>
      <c r="G67" s="64" t="str">
        <f t="shared" si="14"/>
        <v>Euribor6MMX#0006</v>
      </c>
      <c r="H67" s="62" t="str">
        <f>IF(ISBLANK(Quote!AI64),"",Quote!AI64)</f>
        <v/>
      </c>
      <c r="I67" s="125"/>
      <c r="J67" s="125"/>
      <c r="K67" s="128">
        <v>0</v>
      </c>
      <c r="L67" s="125"/>
      <c r="N67" s="10" t="str">
        <f t="shared" si="15"/>
        <v>SW</v>
      </c>
      <c r="O67" s="95" t="str">
        <f t="shared" si="16"/>
        <v>--</v>
      </c>
      <c r="P67" s="146" t="str">
        <f>IFERROR(_xll.qlRateHelperQuoteName(O67,Trigger),"--")</f>
        <v>--</v>
      </c>
      <c r="Q67" s="99" t="str">
        <f>IFERROR(_xll.qlRateHelperQuoteValue($O67,Trigger),"--")</f>
        <v>--</v>
      </c>
      <c r="R67" s="141" t="b">
        <v>0</v>
      </c>
      <c r="S67" s="95">
        <v>20</v>
      </c>
      <c r="T67" s="95">
        <v>1</v>
      </c>
      <c r="U67" s="100" t="str">
        <f>IFERROR(_xll.qlRateHelperEarliestDate(O67,Trigger),"--")</f>
        <v>--</v>
      </c>
      <c r="V67" s="100" t="str">
        <f>IFERROR(_xll.qlRateHelperPillarDate(O67,Trigger),"--")</f>
        <v>--</v>
      </c>
      <c r="X67" s="162" t="str">
        <f t="shared" si="2"/>
        <v>SW</v>
      </c>
      <c r="Y67" s="162" t="str">
        <v>obj_0038c</v>
      </c>
      <c r="Z67" s="162" t="str">
        <f>IFERROR(_xll.qlRateHelperQuoteName(Y67,Trigger),"")</f>
        <v>EUR6MSW38Y_Shifted</v>
      </c>
      <c r="AA67" s="73">
        <f>IFERROR(_xll.qlRateHelperRate(Y67,Trigger),"")</f>
        <v>1.2737147660000002E-2</v>
      </c>
      <c r="AB67" s="105">
        <f>IF(ISERROR(_xll.qlSwapRateHelperSpread($Y67)),IF(ISERROR(_xll.qlFuturesRateHelperConvexityAdjustment($Y67)),"",_xll.qlFuturesRateHelperConvexityAdjustment($Y67)),_xll.qlSwapRateHelperSpread($Y67))</f>
        <v>0</v>
      </c>
      <c r="AC67" s="5">
        <f>IFERROR(_xll.qlRateHelperEarliestDate(Y67,Trigger),"")</f>
        <v>42748</v>
      </c>
      <c r="AD67" s="5">
        <f>IFERROR(_xll.qlRateHelperPillarDate(Y67,Trigger),"")</f>
        <v>56627</v>
      </c>
      <c r="AE67" s="73">
        <v>1.2949228024174546E-2</v>
      </c>
    </row>
    <row r="68" spans="1:31" ht="11.25" customHeight="1" x14ac:dyDescent="0.2">
      <c r="A68" s="62" t="str">
        <f>Quote!AF65</f>
        <v>SW</v>
      </c>
      <c r="B68" s="63" t="str">
        <f>Quote!AG65</f>
        <v>16M</v>
      </c>
      <c r="C68" s="64" t="s">
        <v>6</v>
      </c>
      <c r="D68" s="64" t="s">
        <v>8</v>
      </c>
      <c r="E68" s="64" t="s">
        <v>7</v>
      </c>
      <c r="F68" s="64" t="s">
        <v>132</v>
      </c>
      <c r="G68" s="64" t="str">
        <f t="shared" si="14"/>
        <v>Euribor6MMX#0006</v>
      </c>
      <c r="H68" s="62" t="str">
        <f>IF(ISBLANK(Quote!AI65),"",Quote!AI65)</f>
        <v/>
      </c>
      <c r="I68" s="125"/>
      <c r="J68" s="125"/>
      <c r="K68" s="128">
        <v>0</v>
      </c>
      <c r="L68" s="125"/>
      <c r="N68" s="10" t="str">
        <f t="shared" si="15"/>
        <v>SW</v>
      </c>
      <c r="O68" s="95" t="str">
        <f t="shared" si="16"/>
        <v>--</v>
      </c>
      <c r="P68" s="146" t="str">
        <f>IFERROR(_xll.qlRateHelperQuoteName(O68,Trigger),"--")</f>
        <v>--</v>
      </c>
      <c r="Q68" s="99" t="str">
        <f>IFERROR(_xll.qlRateHelperQuoteValue($O68,Trigger),"--")</f>
        <v>--</v>
      </c>
      <c r="R68" s="141" t="b">
        <v>0</v>
      </c>
      <c r="S68" s="95">
        <v>20</v>
      </c>
      <c r="T68" s="95">
        <v>1</v>
      </c>
      <c r="U68" s="100" t="str">
        <f>IFERROR(_xll.qlRateHelperEarliestDate(O68,Trigger),"--")</f>
        <v>--</v>
      </c>
      <c r="V68" s="100" t="str">
        <f>IFERROR(_xll.qlRateHelperPillarDate(O68,Trigger),"--")</f>
        <v>--</v>
      </c>
      <c r="X68" s="162" t="str">
        <f t="shared" ref="X68:X115" si="17">IFERROR(INDEX($N$3:$N$115,MATCH(Z68,$P$3:$P$115,0),1),"")</f>
        <v>SW</v>
      </c>
      <c r="Y68" s="162" t="str">
        <v>obj_00333</v>
      </c>
      <c r="Z68" s="162" t="str">
        <f>IFERROR(_xll.qlRateHelperQuoteName(Y68,Trigger),"")</f>
        <v>EUR6MSW39Y_Shifted</v>
      </c>
      <c r="AA68" s="73">
        <f>IFERROR(_xll.qlRateHelperRate(Y68,Trigger),"")</f>
        <v>1.2727745190000002E-2</v>
      </c>
      <c r="AB68" s="105">
        <f>IF(ISERROR(_xll.qlSwapRateHelperSpread($Y68)),IF(ISERROR(_xll.qlFuturesRateHelperConvexityAdjustment($Y68)),"",_xll.qlFuturesRateHelperConvexityAdjustment($Y68)),_xll.qlSwapRateHelperSpread($Y68))</f>
        <v>0</v>
      </c>
      <c r="AC68" s="5">
        <f>IFERROR(_xll.qlRateHelperEarliestDate(Y68,Trigger),"")</f>
        <v>42748</v>
      </c>
      <c r="AD68" s="5">
        <f>IFERROR(_xll.qlRateHelperPillarDate(Y68,Trigger),"")</f>
        <v>56992</v>
      </c>
      <c r="AE68" s="73">
        <v>1.2929512497452684E-2</v>
      </c>
    </row>
    <row r="69" spans="1:31" ht="11.25" customHeight="1" x14ac:dyDescent="0.2">
      <c r="A69" s="62" t="str">
        <f>Quote!AF66</f>
        <v>SW</v>
      </c>
      <c r="B69" s="63" t="str">
        <f>Quote!AG66</f>
        <v>17M</v>
      </c>
      <c r="C69" s="64" t="s">
        <v>6</v>
      </c>
      <c r="D69" s="64" t="s">
        <v>8</v>
      </c>
      <c r="E69" s="64" t="s">
        <v>7</v>
      </c>
      <c r="F69" s="64" t="s">
        <v>132</v>
      </c>
      <c r="G69" s="64" t="str">
        <f t="shared" si="14"/>
        <v>Euribor6MMX#0006</v>
      </c>
      <c r="H69" s="62" t="str">
        <f>IF(ISBLANK(Quote!AI66),"",Quote!AI66)</f>
        <v/>
      </c>
      <c r="I69" s="125"/>
      <c r="J69" s="125"/>
      <c r="K69" s="128">
        <v>0</v>
      </c>
      <c r="L69" s="125"/>
      <c r="N69" s="10" t="str">
        <f t="shared" si="15"/>
        <v>SW</v>
      </c>
      <c r="O69" s="95" t="str">
        <f t="shared" si="16"/>
        <v>--</v>
      </c>
      <c r="P69" s="146" t="str">
        <f>IFERROR(_xll.qlRateHelperQuoteName(O69,Trigger),"--")</f>
        <v>--</v>
      </c>
      <c r="Q69" s="99" t="str">
        <f>IFERROR(_xll.qlRateHelperQuoteValue($O69,Trigger),"--")</f>
        <v>--</v>
      </c>
      <c r="R69" s="141" t="b">
        <v>0</v>
      </c>
      <c r="S69" s="95">
        <v>20</v>
      </c>
      <c r="T69" s="95">
        <v>1</v>
      </c>
      <c r="U69" s="100" t="str">
        <f>IFERROR(_xll.qlRateHelperEarliestDate(O69,Trigger),"--")</f>
        <v>--</v>
      </c>
      <c r="V69" s="100" t="str">
        <f>IFERROR(_xll.qlRateHelperPillarDate(O69,Trigger),"--")</f>
        <v>--</v>
      </c>
      <c r="X69" s="162" t="str">
        <f t="shared" si="17"/>
        <v>SW</v>
      </c>
      <c r="Y69" s="162" t="str">
        <v>obj_003b9</v>
      </c>
      <c r="Z69" s="162" t="str">
        <f>IFERROR(_xll.qlRateHelperQuoteName(Y69,Trigger),"")</f>
        <v>EUR6MSW40Y_Shifted</v>
      </c>
      <c r="AA69" s="73">
        <f>IFERROR(_xll.qlRateHelperRate(Y69,Trigger),"")</f>
        <v>1.2710000000000001E-2</v>
      </c>
      <c r="AB69" s="105">
        <f>IF(ISERROR(_xll.qlSwapRateHelperSpread($Y69)),IF(ISERROR(_xll.qlFuturesRateHelperConvexityAdjustment($Y69)),"",_xll.qlFuturesRateHelperConvexityAdjustment($Y69)),_xll.qlSwapRateHelperSpread($Y69))</f>
        <v>0</v>
      </c>
      <c r="AC69" s="5">
        <f>IFERROR(_xll.qlRateHelperEarliestDate(Y69,Trigger),"")</f>
        <v>42748</v>
      </c>
      <c r="AD69" s="5">
        <f>IFERROR(_xll.qlRateHelperPillarDate(Y69,Trigger),"")</f>
        <v>57360</v>
      </c>
      <c r="AE69" s="73">
        <v>1.2898325376198302E-2</v>
      </c>
    </row>
    <row r="70" spans="1:31" ht="11.25" customHeight="1" x14ac:dyDescent="0.2">
      <c r="A70" s="62" t="str">
        <f>Quote!AF67</f>
        <v>SW</v>
      </c>
      <c r="B70" s="63" t="str">
        <f>Quote!AG67</f>
        <v>18M</v>
      </c>
      <c r="C70" s="64" t="s">
        <v>6</v>
      </c>
      <c r="D70" s="64" t="s">
        <v>8</v>
      </c>
      <c r="E70" s="64" t="s">
        <v>7</v>
      </c>
      <c r="F70" s="64" t="s">
        <v>132</v>
      </c>
      <c r="G70" s="64" t="str">
        <f t="shared" si="14"/>
        <v>Euribor6MMX#0006</v>
      </c>
      <c r="H70" s="62" t="str">
        <f>IF(ISBLANK(Quote!AI67),"",Quote!AI67)</f>
        <v/>
      </c>
      <c r="I70" s="125"/>
      <c r="J70" s="125"/>
      <c r="K70" s="128">
        <v>0</v>
      </c>
      <c r="L70" s="125"/>
      <c r="N70" s="10" t="str">
        <f t="shared" si="15"/>
        <v>SW</v>
      </c>
      <c r="O70" s="95" t="str">
        <f t="shared" si="16"/>
        <v>--</v>
      </c>
      <c r="P70" s="146" t="str">
        <f>IFERROR(_xll.qlRateHelperQuoteName(O70,Trigger),"--")</f>
        <v>--</v>
      </c>
      <c r="Q70" s="99" t="str">
        <f>IFERROR(_xll.qlRateHelperQuoteValue($O70,Trigger),"--")</f>
        <v>--</v>
      </c>
      <c r="R70" s="141" t="b">
        <v>0</v>
      </c>
      <c r="S70" s="95">
        <v>20</v>
      </c>
      <c r="T70" s="95">
        <v>1</v>
      </c>
      <c r="U70" s="100" t="str">
        <f>IFERROR(_xll.qlRateHelperEarliestDate(O70,Trigger),"--")</f>
        <v>--</v>
      </c>
      <c r="V70" s="100" t="str">
        <f>IFERROR(_xll.qlRateHelperPillarDate(O70,Trigger),"--")</f>
        <v>--</v>
      </c>
      <c r="X70" s="162" t="str">
        <f t="shared" si="17"/>
        <v>SW</v>
      </c>
      <c r="Y70" s="162" t="str">
        <v>obj_00334</v>
      </c>
      <c r="Z70" s="162" t="str">
        <f>IFERROR(_xll.qlRateHelperQuoteName(Y70,Trigger),"")</f>
        <v>EUR6MSW50Y_Shifted</v>
      </c>
      <c r="AA70" s="73">
        <f>IFERROR(_xll.qlRateHelperRate(Y70,Trigger),"")</f>
        <v>1.2230000000000001E-2</v>
      </c>
      <c r="AB70" s="105">
        <f>IF(ISERROR(_xll.qlSwapRateHelperSpread($Y70)),IF(ISERROR(_xll.qlFuturesRateHelperConvexityAdjustment($Y70)),"",_xll.qlFuturesRateHelperConvexityAdjustment($Y70)),_xll.qlSwapRateHelperSpread($Y70))</f>
        <v>0</v>
      </c>
      <c r="AC70" s="5">
        <f>IFERROR(_xll.qlRateHelperEarliestDate(Y70,Trigger),"")</f>
        <v>42748</v>
      </c>
      <c r="AD70" s="5">
        <f>IFERROR(_xll.qlRateHelperPillarDate(Y70,Trigger),"")</f>
        <v>61010</v>
      </c>
      <c r="AE70" s="73">
        <v>1.2214918732791189E-2</v>
      </c>
    </row>
    <row r="71" spans="1:31" ht="11.25" customHeight="1" x14ac:dyDescent="0.2">
      <c r="A71" s="62" t="str">
        <f>Quote!AF68</f>
        <v>SW</v>
      </c>
      <c r="B71" s="63" t="str">
        <f>Quote!AG68</f>
        <v>19M</v>
      </c>
      <c r="C71" s="64" t="s">
        <v>6</v>
      </c>
      <c r="D71" s="64" t="s">
        <v>8</v>
      </c>
      <c r="E71" s="64" t="s">
        <v>7</v>
      </c>
      <c r="F71" s="64" t="s">
        <v>132</v>
      </c>
      <c r="G71" s="64" t="str">
        <f t="shared" si="14"/>
        <v>Euribor6MMX#0006</v>
      </c>
      <c r="H71" s="62" t="str">
        <f>IF(ISBLANK(Quote!AI68),"",Quote!AI68)</f>
        <v/>
      </c>
      <c r="I71" s="125"/>
      <c r="J71" s="125"/>
      <c r="K71" s="128">
        <v>0</v>
      </c>
      <c r="L71" s="125"/>
      <c r="N71" s="10" t="str">
        <f t="shared" si="15"/>
        <v>SW</v>
      </c>
      <c r="O71" s="95" t="str">
        <f t="shared" si="16"/>
        <v>--</v>
      </c>
      <c r="P71" s="146" t="str">
        <f>IFERROR(_xll.qlRateHelperQuoteName(O71,Trigger),"--")</f>
        <v>--</v>
      </c>
      <c r="Q71" s="99" t="str">
        <f>IFERROR(_xll.qlRateHelperQuoteValue($O71,Trigger),"--")</f>
        <v>--</v>
      </c>
      <c r="R71" s="141" t="b">
        <v>0</v>
      </c>
      <c r="S71" s="95">
        <v>20</v>
      </c>
      <c r="T71" s="95">
        <v>1</v>
      </c>
      <c r="U71" s="100" t="str">
        <f>IFERROR(_xll.qlRateHelperEarliestDate(O71,Trigger),"--")</f>
        <v>--</v>
      </c>
      <c r="V71" s="100" t="str">
        <f>IFERROR(_xll.qlRateHelperPillarDate(O71,Trigger),"--")</f>
        <v>--</v>
      </c>
      <c r="X71" s="162" t="str">
        <f t="shared" si="17"/>
        <v>SW</v>
      </c>
      <c r="Y71" s="162" t="str">
        <v>obj_003bc</v>
      </c>
      <c r="Z71" s="162" t="str">
        <f>IFERROR(_xll.qlRateHelperQuoteName(Y71,Trigger),"")</f>
        <v>EUR6MSW60Y_Shifted</v>
      </c>
      <c r="AA71" s="73">
        <f>IFERROR(_xll.qlRateHelperRate(Y71,Trigger),"")</f>
        <v>1.188E-2</v>
      </c>
      <c r="AB71" s="105">
        <f>IF(ISERROR(_xll.qlSwapRateHelperSpread($Y71)),IF(ISERROR(_xll.qlFuturesRateHelperConvexityAdjustment($Y71)),"",_xll.qlFuturesRateHelperConvexityAdjustment($Y71)),_xll.qlSwapRateHelperSpread($Y71))</f>
        <v>0</v>
      </c>
      <c r="AC71" s="5">
        <f>IFERROR(_xll.qlRateHelperEarliestDate(Y71,Trigger),"")</f>
        <v>42748</v>
      </c>
      <c r="AD71" s="5">
        <f>IFERROR(_xll.qlRateHelperPillarDate(Y71,Trigger),"")</f>
        <v>64663</v>
      </c>
      <c r="AE71" s="73">
        <v>1.1729515207844033E-2</v>
      </c>
    </row>
    <row r="72" spans="1:31" ht="11.25" customHeight="1" x14ac:dyDescent="0.2">
      <c r="A72" s="62" t="str">
        <f>Quote!AF69</f>
        <v>SW</v>
      </c>
      <c r="B72" s="63" t="str">
        <f>Quote!AG69</f>
        <v>20M</v>
      </c>
      <c r="C72" s="64" t="s">
        <v>6</v>
      </c>
      <c r="D72" s="64" t="s">
        <v>8</v>
      </c>
      <c r="E72" s="64" t="s">
        <v>7</v>
      </c>
      <c r="F72" s="64" t="s">
        <v>132</v>
      </c>
      <c r="G72" s="64" t="str">
        <f t="shared" si="14"/>
        <v>Euribor6MMX#0006</v>
      </c>
      <c r="H72" s="62" t="str">
        <f>IF(ISBLANK(Quote!AI69),"",Quote!AI69)</f>
        <v/>
      </c>
      <c r="I72" s="125"/>
      <c r="J72" s="125"/>
      <c r="K72" s="128">
        <v>0</v>
      </c>
      <c r="L72" s="125"/>
      <c r="N72" s="10" t="str">
        <f t="shared" si="15"/>
        <v>SW</v>
      </c>
      <c r="O72" s="95" t="str">
        <f t="shared" si="16"/>
        <v>--</v>
      </c>
      <c r="P72" s="146" t="str">
        <f>IFERROR(_xll.qlRateHelperQuoteName(O72,Trigger),"--")</f>
        <v>--</v>
      </c>
      <c r="Q72" s="99" t="str">
        <f>IFERROR(_xll.qlRateHelperQuoteValue($O72,Trigger),"--")</f>
        <v>--</v>
      </c>
      <c r="R72" s="141" t="b">
        <v>0</v>
      </c>
      <c r="S72" s="95">
        <v>20</v>
      </c>
      <c r="T72" s="95">
        <v>1</v>
      </c>
      <c r="U72" s="100" t="str">
        <f>IFERROR(_xll.qlRateHelperEarliestDate(O72,Trigger),"--")</f>
        <v>--</v>
      </c>
      <c r="V72" s="100" t="str">
        <f>IFERROR(_xll.qlRateHelperPillarDate(O72,Trigger),"--")</f>
        <v>--</v>
      </c>
      <c r="X72" s="162" t="str">
        <f t="shared" si="17"/>
        <v/>
      </c>
      <c r="Y72" s="162" t="e">
        <v>#N/A</v>
      </c>
      <c r="Z72" s="162" t="str">
        <f>IFERROR(_xll.qlRateHelperQuoteName(Y72,Trigger),"")</f>
        <v/>
      </c>
      <c r="AA72" s="73" t="str">
        <f>IFERROR(_xll.qlRateHelperRate(Y72,Trigger),"")</f>
        <v/>
      </c>
      <c r="AB72" s="105" t="str">
        <f>IF(ISERROR(_xll.qlSwapRateHelperSpread($Y72)),IF(ISERROR(_xll.qlFuturesRateHelperConvexityAdjustment($Y72)),"",_xll.qlFuturesRateHelperConvexityAdjustment($Y72)),_xll.qlSwapRateHelperSpread($Y72))</f>
        <v/>
      </c>
      <c r="AC72" s="5" t="str">
        <f>IFERROR(_xll.qlRateHelperEarliestDate(Y72,Trigger),"")</f>
        <v/>
      </c>
      <c r="AD72" s="5" t="str">
        <f>IFERROR(_xll.qlRateHelperPillarDate(Y72,Trigger),"")</f>
        <v/>
      </c>
      <c r="AE72" s="73" t="e">
        <v>#N/A</v>
      </c>
    </row>
    <row r="73" spans="1:31" ht="11.25" customHeight="1" x14ac:dyDescent="0.2">
      <c r="A73" s="62" t="str">
        <f>Quote!AF70</f>
        <v>SW</v>
      </c>
      <c r="B73" s="63" t="str">
        <f>Quote!AG70</f>
        <v>21M</v>
      </c>
      <c r="C73" s="64" t="s">
        <v>6</v>
      </c>
      <c r="D73" s="64" t="s">
        <v>8</v>
      </c>
      <c r="E73" s="64" t="s">
        <v>7</v>
      </c>
      <c r="F73" s="64" t="s">
        <v>132</v>
      </c>
      <c r="G73" s="64" t="str">
        <f t="shared" si="14"/>
        <v>Euribor6MMX#0006</v>
      </c>
      <c r="H73" s="62" t="str">
        <f>IF(ISBLANK(Quote!AI70),"",Quote!AI70)</f>
        <v/>
      </c>
      <c r="I73" s="125"/>
      <c r="J73" s="125"/>
      <c r="K73" s="128">
        <v>0</v>
      </c>
      <c r="L73" s="125"/>
      <c r="N73" s="10" t="str">
        <f t="shared" si="15"/>
        <v>SW</v>
      </c>
      <c r="O73" s="95" t="str">
        <f t="shared" si="16"/>
        <v>--</v>
      </c>
      <c r="P73" s="146" t="str">
        <f>IFERROR(_xll.qlRateHelperQuoteName(O73,Trigger),"--")</f>
        <v>--</v>
      </c>
      <c r="Q73" s="99" t="str">
        <f>IFERROR(_xll.qlRateHelperQuoteValue($O73,Trigger),"--")</f>
        <v>--</v>
      </c>
      <c r="R73" s="141" t="b">
        <v>0</v>
      </c>
      <c r="S73" s="95">
        <v>20</v>
      </c>
      <c r="T73" s="95">
        <v>1</v>
      </c>
      <c r="U73" s="100" t="str">
        <f>IFERROR(_xll.qlRateHelperEarliestDate(O73,Trigger),"--")</f>
        <v>--</v>
      </c>
      <c r="V73" s="100" t="str">
        <f>IFERROR(_xll.qlRateHelperPillarDate(O73,Trigger),"--")</f>
        <v>--</v>
      </c>
      <c r="X73" s="162" t="str">
        <f t="shared" si="17"/>
        <v/>
      </c>
      <c r="Y73" s="162" t="e">
        <v>#N/A</v>
      </c>
      <c r="Z73" s="162" t="str">
        <f>IFERROR(_xll.qlRateHelperQuoteName(Y73,Trigger),"")</f>
        <v/>
      </c>
      <c r="AA73" s="73" t="str">
        <f>IFERROR(_xll.qlRateHelperRate(Y73,Trigger),"")</f>
        <v/>
      </c>
      <c r="AB73" s="105" t="str">
        <f>IF(ISERROR(_xll.qlSwapRateHelperSpread($Y73)),IF(ISERROR(_xll.qlFuturesRateHelperConvexityAdjustment($Y73)),"",_xll.qlFuturesRateHelperConvexityAdjustment($Y73)),_xll.qlSwapRateHelperSpread($Y73))</f>
        <v/>
      </c>
      <c r="AC73" s="5" t="str">
        <f>IFERROR(_xll.qlRateHelperEarliestDate(Y73,Trigger),"")</f>
        <v/>
      </c>
      <c r="AD73" s="5" t="str">
        <f>IFERROR(_xll.qlRateHelperPillarDate(Y73,Trigger),"")</f>
        <v/>
      </c>
      <c r="AE73" s="73" t="e">
        <v>#N/A</v>
      </c>
    </row>
    <row r="74" spans="1:31" ht="11.25" customHeight="1" x14ac:dyDescent="0.2">
      <c r="A74" s="62" t="str">
        <f>Quote!AF71</f>
        <v>SW</v>
      </c>
      <c r="B74" s="63" t="str">
        <f>Quote!AG71</f>
        <v>22M</v>
      </c>
      <c r="C74" s="64" t="s">
        <v>6</v>
      </c>
      <c r="D74" s="64" t="s">
        <v>8</v>
      </c>
      <c r="E74" s="64" t="s">
        <v>7</v>
      </c>
      <c r="F74" s="64" t="s">
        <v>132</v>
      </c>
      <c r="G74" s="64" t="str">
        <f t="shared" si="14"/>
        <v>Euribor6MMX#0006</v>
      </c>
      <c r="H74" s="62" t="str">
        <f>IF(ISBLANK(Quote!AI71),"",Quote!AI71)</f>
        <v/>
      </c>
      <c r="I74" s="125"/>
      <c r="J74" s="125"/>
      <c r="K74" s="128">
        <v>0</v>
      </c>
      <c r="L74" s="125"/>
      <c r="N74" s="10" t="str">
        <f t="shared" si="15"/>
        <v>SW</v>
      </c>
      <c r="O74" s="95" t="str">
        <f t="shared" si="16"/>
        <v>--</v>
      </c>
      <c r="P74" s="146" t="str">
        <f>IFERROR(_xll.qlRateHelperQuoteName(O74,Trigger),"--")</f>
        <v>--</v>
      </c>
      <c r="Q74" s="99" t="str">
        <f>IFERROR(_xll.qlRateHelperQuoteValue($O74,Trigger),"--")</f>
        <v>--</v>
      </c>
      <c r="R74" s="141" t="b">
        <v>0</v>
      </c>
      <c r="S74" s="95">
        <v>20</v>
      </c>
      <c r="T74" s="95">
        <v>1</v>
      </c>
      <c r="U74" s="100" t="str">
        <f>IFERROR(_xll.qlRateHelperEarliestDate(O74,Trigger),"--")</f>
        <v>--</v>
      </c>
      <c r="V74" s="100" t="str">
        <f>IFERROR(_xll.qlRateHelperPillarDate(O74,Trigger),"--")</f>
        <v>--</v>
      </c>
      <c r="X74" s="162" t="str">
        <f t="shared" si="17"/>
        <v/>
      </c>
      <c r="Y74" s="162" t="e">
        <v>#N/A</v>
      </c>
      <c r="Z74" s="162" t="str">
        <f>IFERROR(_xll.qlRateHelperQuoteName(Y74,Trigger),"")</f>
        <v/>
      </c>
      <c r="AA74" s="73" t="str">
        <f>IFERROR(_xll.qlRateHelperRate(Y74,Trigger),"")</f>
        <v/>
      </c>
      <c r="AB74" s="105" t="str">
        <f>IF(ISERROR(_xll.qlSwapRateHelperSpread($Y74)),IF(ISERROR(_xll.qlFuturesRateHelperConvexityAdjustment($Y74)),"",_xll.qlFuturesRateHelperConvexityAdjustment($Y74)),_xll.qlSwapRateHelperSpread($Y74))</f>
        <v/>
      </c>
      <c r="AC74" s="5" t="str">
        <f>IFERROR(_xll.qlRateHelperEarliestDate(Y74,Trigger),"")</f>
        <v/>
      </c>
      <c r="AD74" s="5" t="str">
        <f>IFERROR(_xll.qlRateHelperPillarDate(Y74,Trigger),"")</f>
        <v/>
      </c>
      <c r="AE74" s="73" t="e">
        <v>#N/A</v>
      </c>
    </row>
    <row r="75" spans="1:31" ht="11.25" customHeight="1" x14ac:dyDescent="0.2">
      <c r="A75" s="62" t="str">
        <f>Quote!AF72</f>
        <v>SW</v>
      </c>
      <c r="B75" s="63" t="str">
        <f>Quote!AG72</f>
        <v>23M</v>
      </c>
      <c r="C75" s="64" t="s">
        <v>6</v>
      </c>
      <c r="D75" s="64" t="s">
        <v>8</v>
      </c>
      <c r="E75" s="64" t="s">
        <v>7</v>
      </c>
      <c r="F75" s="64" t="s">
        <v>132</v>
      </c>
      <c r="G75" s="64" t="str">
        <f t="shared" si="14"/>
        <v>Euribor6MMX#0006</v>
      </c>
      <c r="H75" s="62" t="str">
        <f>IF(ISBLANK(Quote!AI72),"",Quote!AI72)</f>
        <v/>
      </c>
      <c r="I75" s="125"/>
      <c r="J75" s="125"/>
      <c r="K75" s="128">
        <v>0</v>
      </c>
      <c r="L75" s="125"/>
      <c r="N75" s="10" t="str">
        <f t="shared" si="15"/>
        <v>SW</v>
      </c>
      <c r="O75" s="95" t="str">
        <f t="shared" si="16"/>
        <v>--</v>
      </c>
      <c r="P75" s="146" t="str">
        <f>IFERROR(_xll.qlRateHelperQuoteName(O75,Trigger),"--")</f>
        <v>--</v>
      </c>
      <c r="Q75" s="99" t="str">
        <f>IFERROR(_xll.qlRateHelperQuoteValue($O75,Trigger),"--")</f>
        <v>--</v>
      </c>
      <c r="R75" s="141" t="b">
        <v>0</v>
      </c>
      <c r="S75" s="95">
        <v>20</v>
      </c>
      <c r="T75" s="95">
        <v>1</v>
      </c>
      <c r="U75" s="100" t="str">
        <f>IFERROR(_xll.qlRateHelperEarliestDate(O75,Trigger),"--")</f>
        <v>--</v>
      </c>
      <c r="V75" s="100" t="str">
        <f>IFERROR(_xll.qlRateHelperPillarDate(O75,Trigger),"--")</f>
        <v>--</v>
      </c>
      <c r="X75" s="162" t="str">
        <f t="shared" si="17"/>
        <v/>
      </c>
      <c r="Y75" s="162" t="e">
        <v>#N/A</v>
      </c>
      <c r="Z75" s="162" t="str">
        <f>IFERROR(_xll.qlRateHelperQuoteName(Y75,Trigger),"")</f>
        <v/>
      </c>
      <c r="AA75" s="73" t="str">
        <f>IFERROR(_xll.qlRateHelperRate(Y75,Trigger),"")</f>
        <v/>
      </c>
      <c r="AB75" s="105" t="str">
        <f>IF(ISERROR(_xll.qlSwapRateHelperSpread($Y75)),IF(ISERROR(_xll.qlFuturesRateHelperConvexityAdjustment($Y75)),"",_xll.qlFuturesRateHelperConvexityAdjustment($Y75)),_xll.qlSwapRateHelperSpread($Y75))</f>
        <v/>
      </c>
      <c r="AC75" s="5" t="str">
        <f>IFERROR(_xll.qlRateHelperEarliestDate(Y75,Trigger),"")</f>
        <v/>
      </c>
      <c r="AD75" s="5" t="str">
        <f>IFERROR(_xll.qlRateHelperPillarDate(Y75,Trigger),"")</f>
        <v/>
      </c>
      <c r="AE75" s="73" t="e">
        <v>#N/A</v>
      </c>
    </row>
    <row r="76" spans="1:31" ht="11.25" customHeight="1" x14ac:dyDescent="0.2">
      <c r="A76" s="62" t="str">
        <f>Quote!AF73</f>
        <v>SW</v>
      </c>
      <c r="B76" s="63" t="str">
        <f>Quote!AG73</f>
        <v>2Y</v>
      </c>
      <c r="C76" s="64" t="s">
        <v>6</v>
      </c>
      <c r="D76" s="64" t="s">
        <v>8</v>
      </c>
      <c r="E76" s="64" t="s">
        <v>7</v>
      </c>
      <c r="F76" s="64" t="s">
        <v>132</v>
      </c>
      <c r="G76" s="64" t="str">
        <f t="shared" si="14"/>
        <v>Euribor6MMX#0006</v>
      </c>
      <c r="H76" s="62" t="str">
        <f>IF(ISBLANK(Quote!AI73),"",Quote!AI73)</f>
        <v/>
      </c>
      <c r="I76" s="125"/>
      <c r="J76" s="125"/>
      <c r="K76" s="128">
        <v>0</v>
      </c>
      <c r="L76" s="125"/>
      <c r="N76" s="10" t="str">
        <f t="shared" si="15"/>
        <v>SW</v>
      </c>
      <c r="O76" s="95" t="str">
        <f t="shared" si="16"/>
        <v>obj_00386#0006</v>
      </c>
      <c r="P76" s="146" t="str">
        <f>IFERROR(_xll.qlRateHelperQuoteName(O76,Trigger),"--")</f>
        <v>EUR6MSW3Y_Shifted</v>
      </c>
      <c r="Q76" s="99">
        <f>IFERROR(_xll.qlRateHelperQuoteValue($O76,Trigger),"--")</f>
        <v>-1.07E-3</v>
      </c>
      <c r="R76" s="141" t="b">
        <v>1</v>
      </c>
      <c r="S76" s="95">
        <v>20</v>
      </c>
      <c r="T76" s="95">
        <v>1</v>
      </c>
      <c r="U76" s="100">
        <f>IFERROR(_xll.qlRateHelperEarliestDate(O76,Trigger),"--")</f>
        <v>42748</v>
      </c>
      <c r="V76" s="100">
        <f>IFERROR(_xll.qlRateHelperPillarDate(O76,Trigger),"--")</f>
        <v>43843</v>
      </c>
      <c r="X76" s="162" t="str">
        <f t="shared" si="17"/>
        <v/>
      </c>
      <c r="Y76" s="162" t="e">
        <v>#N/A</v>
      </c>
      <c r="Z76" s="162" t="str">
        <f>IFERROR(_xll.qlRateHelperQuoteName(Y76,Trigger),"")</f>
        <v/>
      </c>
      <c r="AA76" s="73" t="str">
        <f>IFERROR(_xll.qlRateHelperRate(Y76,Trigger),"")</f>
        <v/>
      </c>
      <c r="AB76" s="105" t="str">
        <f>IF(ISERROR(_xll.qlSwapRateHelperSpread($Y76)),IF(ISERROR(_xll.qlFuturesRateHelperConvexityAdjustment($Y76)),"",_xll.qlFuturesRateHelperConvexityAdjustment($Y76)),_xll.qlSwapRateHelperSpread($Y76))</f>
        <v/>
      </c>
      <c r="AC76" s="5" t="str">
        <f>IFERROR(_xll.qlRateHelperEarliestDate(Y76,Trigger),"")</f>
        <v/>
      </c>
      <c r="AD76" s="5" t="str">
        <f>IFERROR(_xll.qlRateHelperPillarDate(Y76,Trigger),"")</f>
        <v/>
      </c>
      <c r="AE76" s="73" t="e">
        <v>#N/A</v>
      </c>
    </row>
    <row r="77" spans="1:31" ht="11.25" customHeight="1" x14ac:dyDescent="0.2">
      <c r="A77" s="62" t="str">
        <f>Quote!AF74</f>
        <v>SW</v>
      </c>
      <c r="B77" s="63" t="str">
        <f>Quote!AG74</f>
        <v>2Y3M</v>
      </c>
      <c r="C77" s="64" t="s">
        <v>6</v>
      </c>
      <c r="D77" s="64" t="s">
        <v>8</v>
      </c>
      <c r="E77" s="64" t="s">
        <v>7</v>
      </c>
      <c r="F77" s="64" t="s">
        <v>132</v>
      </c>
      <c r="G77" s="64" t="str">
        <f t="shared" si="14"/>
        <v>Euribor6MMX#0006</v>
      </c>
      <c r="H77" s="62" t="str">
        <f>IF(ISBLANK(Quote!AI74),"",Quote!AI74)</f>
        <v/>
      </c>
      <c r="I77" s="125"/>
      <c r="J77" s="125"/>
      <c r="K77" s="128">
        <v>0</v>
      </c>
      <c r="L77" s="125"/>
      <c r="N77" s="10" t="str">
        <f t="shared" si="15"/>
        <v>SW</v>
      </c>
      <c r="O77" s="95" t="str">
        <f t="shared" si="16"/>
        <v>obj_00396#0006</v>
      </c>
      <c r="P77" s="146" t="str">
        <f>IFERROR(_xll.qlRateHelperQuoteName(O77,Trigger),"--")</f>
        <v>EUR6MSW4Y_Shifted</v>
      </c>
      <c r="Q77" s="99">
        <f>IFERROR(_xll.qlRateHelperQuoteValue($O77,Trigger),"--")</f>
        <v>-1.8999999999999998E-4</v>
      </c>
      <c r="R77" s="141" t="b">
        <v>1</v>
      </c>
      <c r="S77" s="95">
        <v>20</v>
      </c>
      <c r="T77" s="95">
        <v>1</v>
      </c>
      <c r="U77" s="100">
        <f>IFERROR(_xll.qlRateHelperEarliestDate(O77,Trigger),"--")</f>
        <v>42748</v>
      </c>
      <c r="V77" s="100">
        <f>IFERROR(_xll.qlRateHelperPillarDate(O77,Trigger),"--")</f>
        <v>44209</v>
      </c>
      <c r="X77" s="162" t="str">
        <f t="shared" si="17"/>
        <v/>
      </c>
      <c r="Y77" s="162" t="e">
        <v>#N/A</v>
      </c>
      <c r="Z77" s="162" t="str">
        <f>IFERROR(_xll.qlRateHelperQuoteName(Y77,Trigger),"")</f>
        <v/>
      </c>
      <c r="AA77" s="73" t="str">
        <f>IFERROR(_xll.qlRateHelperRate(Y77,Trigger),"")</f>
        <v/>
      </c>
      <c r="AB77" s="105" t="str">
        <f>IF(ISERROR(_xll.qlSwapRateHelperSpread($Y77)),IF(ISERROR(_xll.qlFuturesRateHelperConvexityAdjustment($Y77)),"",_xll.qlFuturesRateHelperConvexityAdjustment($Y77)),_xll.qlSwapRateHelperSpread($Y77))</f>
        <v/>
      </c>
      <c r="AC77" s="5" t="str">
        <f>IFERROR(_xll.qlRateHelperEarliestDate(Y77,Trigger),"")</f>
        <v/>
      </c>
      <c r="AD77" s="5" t="str">
        <f>IFERROR(_xll.qlRateHelperPillarDate(Y77,Trigger),"")</f>
        <v/>
      </c>
      <c r="AE77" s="73" t="e">
        <v>#N/A</v>
      </c>
    </row>
    <row r="78" spans="1:31" ht="11.25" customHeight="1" x14ac:dyDescent="0.2">
      <c r="A78" s="62" t="str">
        <f>Quote!AF75</f>
        <v>SW</v>
      </c>
      <c r="B78" s="63" t="str">
        <f>Quote!AG75</f>
        <v>2Y6M</v>
      </c>
      <c r="C78" s="64" t="s">
        <v>6</v>
      </c>
      <c r="D78" s="64" t="s">
        <v>8</v>
      </c>
      <c r="E78" s="64" t="s">
        <v>7</v>
      </c>
      <c r="F78" s="64" t="s">
        <v>132</v>
      </c>
      <c r="G78" s="64" t="str">
        <f t="shared" si="14"/>
        <v>Euribor6MMX#0006</v>
      </c>
      <c r="H78" s="62" t="str">
        <f>IF(ISBLANK(Quote!AI75),"",Quote!AI75)</f>
        <v/>
      </c>
      <c r="I78" s="125"/>
      <c r="J78" s="125"/>
      <c r="K78" s="128">
        <v>0</v>
      </c>
      <c r="L78" s="125"/>
      <c r="N78" s="10" t="str">
        <f t="shared" si="15"/>
        <v>SW</v>
      </c>
      <c r="O78" s="95" t="str">
        <f t="shared" si="16"/>
        <v>obj_003b2#0006</v>
      </c>
      <c r="P78" s="146" t="str">
        <f>IFERROR(_xll.qlRateHelperQuoteName(O78,Trigger),"--")</f>
        <v>EUR6MSW5Y_Shifted</v>
      </c>
      <c r="Q78" s="99">
        <f>IFERROR(_xll.qlRateHelperQuoteValue($O78,Trigger),"--")</f>
        <v>8.7000000000000011E-4</v>
      </c>
      <c r="R78" s="141" t="b">
        <v>1</v>
      </c>
      <c r="S78" s="95">
        <v>20</v>
      </c>
      <c r="T78" s="95">
        <v>1</v>
      </c>
      <c r="U78" s="100">
        <f>IFERROR(_xll.qlRateHelperEarliestDate(O78,Trigger),"--")</f>
        <v>42748</v>
      </c>
      <c r="V78" s="100">
        <f>IFERROR(_xll.qlRateHelperPillarDate(O78,Trigger),"--")</f>
        <v>44574</v>
      </c>
      <c r="X78" s="162" t="str">
        <f t="shared" si="17"/>
        <v/>
      </c>
      <c r="Y78" s="162" t="e">
        <v>#N/A</v>
      </c>
      <c r="Z78" s="162" t="str">
        <f>IFERROR(_xll.qlRateHelperQuoteName(Y78,Trigger),"")</f>
        <v/>
      </c>
      <c r="AA78" s="73" t="str">
        <f>IFERROR(_xll.qlRateHelperRate(Y78,Trigger),"")</f>
        <v/>
      </c>
      <c r="AB78" s="105" t="str">
        <f>IF(ISERROR(_xll.qlSwapRateHelperSpread($Y78)),IF(ISERROR(_xll.qlFuturesRateHelperConvexityAdjustment($Y78)),"",_xll.qlFuturesRateHelperConvexityAdjustment($Y78)),_xll.qlSwapRateHelperSpread($Y78))</f>
        <v/>
      </c>
      <c r="AC78" s="5" t="str">
        <f>IFERROR(_xll.qlRateHelperEarliestDate(Y78,Trigger),"")</f>
        <v/>
      </c>
      <c r="AD78" s="5" t="str">
        <f>IFERROR(_xll.qlRateHelperPillarDate(Y78,Trigger),"")</f>
        <v/>
      </c>
      <c r="AE78" s="73" t="e">
        <v>#N/A</v>
      </c>
    </row>
    <row r="79" spans="1:31" ht="11.25" customHeight="1" x14ac:dyDescent="0.2">
      <c r="A79" s="221" t="str">
        <f>Quote!AF76</f>
        <v>SW</v>
      </c>
      <c r="B79" s="280" t="str">
        <f>Quote!AG76</f>
        <v>2Y9M</v>
      </c>
      <c r="C79" s="223" t="s">
        <v>6</v>
      </c>
      <c r="D79" s="223" t="s">
        <v>8</v>
      </c>
      <c r="E79" s="223" t="s">
        <v>7</v>
      </c>
      <c r="F79" s="223" t="s">
        <v>132</v>
      </c>
      <c r="G79" s="223" t="str">
        <f t="shared" si="14"/>
        <v>Euribor6MMX#0006</v>
      </c>
      <c r="H79" s="221" t="str">
        <f>IF(ISBLANK(Quote!AI76),"",Quote!AI76)</f>
        <v/>
      </c>
      <c r="I79" s="278"/>
      <c r="J79" s="278"/>
      <c r="K79" s="224">
        <v>0</v>
      </c>
      <c r="L79" s="278"/>
      <c r="N79" s="10" t="str">
        <f t="shared" si="15"/>
        <v>SW</v>
      </c>
      <c r="O79" s="95" t="str">
        <f t="shared" si="16"/>
        <v>obj_00341#0006</v>
      </c>
      <c r="P79" s="146" t="str">
        <f>IFERROR(_xll.qlRateHelperQuoteName(O79,Trigger),"--")</f>
        <v>EUR6MSW6Y_Shifted</v>
      </c>
      <c r="Q79" s="99">
        <f>IFERROR(_xll.qlRateHelperQuoteValue($O79,Trigger),"--")</f>
        <v>2.0300000000000001E-3</v>
      </c>
      <c r="R79" s="141" t="b">
        <v>1</v>
      </c>
      <c r="S79" s="95">
        <v>20</v>
      </c>
      <c r="T79" s="95">
        <v>1</v>
      </c>
      <c r="U79" s="100">
        <f>IFERROR(_xll.qlRateHelperEarliestDate(O79,Trigger),"--")</f>
        <v>42748</v>
      </c>
      <c r="V79" s="100">
        <f>IFERROR(_xll.qlRateHelperPillarDate(O79,Trigger),"--")</f>
        <v>44939</v>
      </c>
      <c r="X79" s="162" t="str">
        <f t="shared" si="17"/>
        <v/>
      </c>
      <c r="Y79" s="162" t="e">
        <v>#N/A</v>
      </c>
      <c r="Z79" s="162" t="str">
        <f>IFERROR(_xll.qlRateHelperQuoteName(Y79,Trigger),"")</f>
        <v/>
      </c>
      <c r="AA79" s="73" t="str">
        <f>IFERROR(_xll.qlRateHelperRate(Y79,Trigger),"")</f>
        <v/>
      </c>
      <c r="AB79" s="105" t="str">
        <f>IF(ISERROR(_xll.qlSwapRateHelperSpread($Y79)),IF(ISERROR(_xll.qlFuturesRateHelperConvexityAdjustment($Y79)),"",_xll.qlFuturesRateHelperConvexityAdjustment($Y79)),_xll.qlSwapRateHelperSpread($Y79))</f>
        <v/>
      </c>
      <c r="AC79" s="5" t="str">
        <f>IFERROR(_xll.qlRateHelperEarliestDate(Y79,Trigger),"")</f>
        <v/>
      </c>
      <c r="AD79" s="5" t="str">
        <f>IFERROR(_xll.qlRateHelperPillarDate(Y79,Trigger),"")</f>
        <v/>
      </c>
      <c r="AE79" s="73" t="e">
        <v>#N/A</v>
      </c>
    </row>
    <row r="80" spans="1:31" ht="11.25" customHeight="1" x14ac:dyDescent="0.2">
      <c r="A80" s="62" t="str">
        <f>Quote!AF77</f>
        <v>SW</v>
      </c>
      <c r="B80" s="63" t="str">
        <f>Quote!AG77</f>
        <v>3Y</v>
      </c>
      <c r="C80" s="64" t="s">
        <v>6</v>
      </c>
      <c r="D80" s="64" t="s">
        <v>8</v>
      </c>
      <c r="E80" s="64" t="s">
        <v>7</v>
      </c>
      <c r="F80" s="64" t="s">
        <v>132</v>
      </c>
      <c r="G80" s="64" t="str">
        <f t="shared" si="14"/>
        <v>Euribor6MMX#0006</v>
      </c>
      <c r="H80" s="62" t="str">
        <f>IF(ISBLANK(Quote!AI77),"",Quote!AI77)</f>
        <v>EUR6MSW3Y=#0006</v>
      </c>
      <c r="I80" s="62" t="str">
        <f>_xll.qlCompositeQuote(Currency&amp;"6M"&amp;A80&amp;B80&amp;"_Shifted",H80,IF(J80=0,BumpValue,J80),"+",Permanent,Trigger,ObjectOverwrite)</f>
        <v>EUR6MSW3Y_Shifted#0006</v>
      </c>
      <c r="J80" s="122">
        <v>0</v>
      </c>
      <c r="K80" s="128">
        <v>0</v>
      </c>
      <c r="L80" s="67" t="str">
        <f>_xll.qlSwapRateHelper2(,IF(Sensitivity,I80,H80),,B80,Calendar,D80,E80,F80,G80,K80,C80,Discounting,PillarDate,,Permanent,Trigger,ObjectOverwrite)</f>
        <v>obj_00386#0006</v>
      </c>
      <c r="N80" s="10" t="str">
        <f t="shared" si="15"/>
        <v>SW</v>
      </c>
      <c r="O80" s="95" t="str">
        <f t="shared" si="16"/>
        <v>obj_0037d#0006</v>
      </c>
      <c r="P80" s="146" t="str">
        <f>IFERROR(_xll.qlRateHelperQuoteName(O80,Trigger),"--")</f>
        <v>EUR6MSW7Y_Shifted</v>
      </c>
      <c r="Q80" s="99">
        <f>IFERROR(_xll.qlRateHelperQuoteValue($O80,Trigger),"--")</f>
        <v>3.2600000000000003E-3</v>
      </c>
      <c r="R80" s="141" t="b">
        <v>1</v>
      </c>
      <c r="S80" s="95">
        <v>20</v>
      </c>
      <c r="T80" s="95">
        <v>1</v>
      </c>
      <c r="U80" s="100">
        <f>IFERROR(_xll.qlRateHelperEarliestDate(O80,Trigger),"--")</f>
        <v>42748</v>
      </c>
      <c r="V80" s="100">
        <f>IFERROR(_xll.qlRateHelperPillarDate(O80,Trigger),"--")</f>
        <v>45306</v>
      </c>
      <c r="X80" s="162" t="str">
        <f t="shared" si="17"/>
        <v/>
      </c>
      <c r="Y80" s="162" t="e">
        <v>#N/A</v>
      </c>
      <c r="Z80" s="162" t="str">
        <f>IFERROR(_xll.qlRateHelperQuoteName(Y80,Trigger),"")</f>
        <v/>
      </c>
      <c r="AA80" s="73" t="str">
        <f>IFERROR(_xll.qlRateHelperRate(Y80,Trigger),"")</f>
        <v/>
      </c>
      <c r="AB80" s="105" t="str">
        <f>IF(ISERROR(_xll.qlSwapRateHelperSpread($Y80)),IF(ISERROR(_xll.qlFuturesRateHelperConvexityAdjustment($Y80)),"",_xll.qlFuturesRateHelperConvexityAdjustment($Y80)),_xll.qlSwapRateHelperSpread($Y80))</f>
        <v/>
      </c>
      <c r="AC80" s="5" t="str">
        <f>IFERROR(_xll.qlRateHelperEarliestDate(Y80,Trigger),"")</f>
        <v/>
      </c>
      <c r="AD80" s="5" t="str">
        <f>IFERROR(_xll.qlRateHelperPillarDate(Y80,Trigger),"")</f>
        <v/>
      </c>
      <c r="AE80" s="73" t="e">
        <v>#N/A</v>
      </c>
    </row>
    <row r="81" spans="1:31" x14ac:dyDescent="0.2">
      <c r="A81" s="62" t="str">
        <f>Quote!AF78</f>
        <v>SW</v>
      </c>
      <c r="B81" s="63" t="str">
        <f>Quote!AG78</f>
        <v>4Y</v>
      </c>
      <c r="C81" s="64" t="s">
        <v>6</v>
      </c>
      <c r="D81" s="64" t="s">
        <v>8</v>
      </c>
      <c r="E81" s="64" t="s">
        <v>7</v>
      </c>
      <c r="F81" s="64" t="s">
        <v>132</v>
      </c>
      <c r="G81" s="64" t="str">
        <f t="shared" si="14"/>
        <v>Euribor6MMX#0006</v>
      </c>
      <c r="H81" s="62" t="str">
        <f>IF(ISBLANK(Quote!AI78),"",Quote!AI78)</f>
        <v>EUR6MSW4Y=#0006</v>
      </c>
      <c r="I81" s="62" t="str">
        <f>_xll.qlCompositeQuote(Currency&amp;"6M"&amp;A81&amp;B81&amp;"_Shifted",H81,IF(J81=0,BumpValue,J81),"+",Permanent,Trigger,ObjectOverwrite)</f>
        <v>EUR6MSW4Y_Shifted#0006</v>
      </c>
      <c r="J81" s="122">
        <v>0</v>
      </c>
      <c r="K81" s="128">
        <v>0</v>
      </c>
      <c r="L81" s="67" t="str">
        <f>_xll.qlSwapRateHelper2(,IF(Sensitivity,I81,H81),,B81,Calendar,D81,E81,F81,G81,K81,C81,Discounting,PillarDate,,Permanent,Trigger,ObjectOverwrite)</f>
        <v>obj_00396#0006</v>
      </c>
      <c r="N81" s="10" t="str">
        <f t="shared" si="15"/>
        <v>SW</v>
      </c>
      <c r="O81" s="95" t="str">
        <f t="shared" si="16"/>
        <v>obj_0039d#0006</v>
      </c>
      <c r="P81" s="146" t="str">
        <f>IFERROR(_xll.qlRateHelperQuoteName(O81,Trigger),"--")</f>
        <v>EUR6MSW8Y_Shifted</v>
      </c>
      <c r="Q81" s="99">
        <f>IFERROR(_xll.qlRateHelperQuoteValue($O81,Trigger),"--")</f>
        <v>4.4900000000000001E-3</v>
      </c>
      <c r="R81" s="141" t="b">
        <v>1</v>
      </c>
      <c r="S81" s="95">
        <v>20</v>
      </c>
      <c r="T81" s="95">
        <v>1</v>
      </c>
      <c r="U81" s="100">
        <f>IFERROR(_xll.qlRateHelperEarliestDate(O81,Trigger),"--")</f>
        <v>42748</v>
      </c>
      <c r="V81" s="100">
        <f>IFERROR(_xll.qlRateHelperPillarDate(O81,Trigger),"--")</f>
        <v>45670</v>
      </c>
      <c r="X81" s="162" t="str">
        <f t="shared" si="17"/>
        <v/>
      </c>
      <c r="Y81" s="162" t="e">
        <v>#N/A</v>
      </c>
      <c r="Z81" s="162" t="str">
        <f>IFERROR(_xll.qlRateHelperQuoteName(Y81,Trigger),"")</f>
        <v/>
      </c>
      <c r="AA81" s="73" t="str">
        <f>IFERROR(_xll.qlRateHelperRate(Y81,Trigger),"")</f>
        <v/>
      </c>
      <c r="AB81" s="105" t="str">
        <f>IF(ISERROR(_xll.qlSwapRateHelperSpread($Y81)),IF(ISERROR(_xll.qlFuturesRateHelperConvexityAdjustment($Y81)),"",_xll.qlFuturesRateHelperConvexityAdjustment($Y81)),_xll.qlSwapRateHelperSpread($Y81))</f>
        <v/>
      </c>
      <c r="AC81" s="5" t="str">
        <f>IFERROR(_xll.qlRateHelperEarliestDate(Y81,Trigger),"")</f>
        <v/>
      </c>
      <c r="AD81" s="5" t="str">
        <f>IFERROR(_xll.qlRateHelperPillarDate(Y81,Trigger),"")</f>
        <v/>
      </c>
      <c r="AE81" s="73" t="e">
        <v>#N/A</v>
      </c>
    </row>
    <row r="82" spans="1:31" x14ac:dyDescent="0.2">
      <c r="A82" s="62" t="str">
        <f>Quote!AF79</f>
        <v>SW</v>
      </c>
      <c r="B82" s="63" t="str">
        <f>Quote!AG79</f>
        <v>5Y</v>
      </c>
      <c r="C82" s="64" t="s">
        <v>6</v>
      </c>
      <c r="D82" s="64" t="s">
        <v>8</v>
      </c>
      <c r="E82" s="64" t="s">
        <v>7</v>
      </c>
      <c r="F82" s="64" t="s">
        <v>132</v>
      </c>
      <c r="G82" s="64" t="str">
        <f t="shared" si="14"/>
        <v>Euribor6MMX#0006</v>
      </c>
      <c r="H82" s="62" t="str">
        <f>IF(ISBLANK(Quote!AI79),"",Quote!AI79)</f>
        <v>EUR6MSW5Y=#0006</v>
      </c>
      <c r="I82" s="62" t="str">
        <f>_xll.qlCompositeQuote(Currency&amp;"6M"&amp;A82&amp;B82&amp;"_Shifted",H82,IF(J82=0,BumpValue,J82),"+",Permanent,Trigger,ObjectOverwrite)</f>
        <v>EUR6MSW5Y_Shifted#0006</v>
      </c>
      <c r="J82" s="122">
        <v>0</v>
      </c>
      <c r="K82" s="128">
        <v>0</v>
      </c>
      <c r="L82" s="67" t="str">
        <f>_xll.qlSwapRateHelper2(,IF(Sensitivity,I82,H82),,B82,Calendar,D82,E82,F82,G82,K82,C82,Discounting,PillarDate,,Permanent,Trigger,ObjectOverwrite)</f>
        <v>obj_003b2#0006</v>
      </c>
      <c r="N82" s="10" t="str">
        <f t="shared" si="15"/>
        <v>SW</v>
      </c>
      <c r="O82" s="95" t="str">
        <f t="shared" si="16"/>
        <v>obj_00381#0006</v>
      </c>
      <c r="P82" s="146" t="str">
        <f>IFERROR(_xll.qlRateHelperQuoteName(O82,Trigger),"--")</f>
        <v>EUR6MSW9Y_Shifted</v>
      </c>
      <c r="Q82" s="99">
        <f>IFERROR(_xll.qlRateHelperQuoteValue($O82,Trigger),"--")</f>
        <v>5.680000000000001E-3</v>
      </c>
      <c r="R82" s="141" t="b">
        <v>1</v>
      </c>
      <c r="S82" s="95">
        <v>20</v>
      </c>
      <c r="T82" s="95">
        <v>1</v>
      </c>
      <c r="U82" s="100">
        <f>IFERROR(_xll.qlRateHelperEarliestDate(O82,Trigger),"--")</f>
        <v>42748</v>
      </c>
      <c r="V82" s="100">
        <f>IFERROR(_xll.qlRateHelperPillarDate(O82,Trigger),"--")</f>
        <v>46035</v>
      </c>
      <c r="X82" s="162" t="str">
        <f t="shared" si="17"/>
        <v/>
      </c>
      <c r="Y82" s="162" t="e">
        <v>#N/A</v>
      </c>
      <c r="Z82" s="162" t="str">
        <f>IFERROR(_xll.qlRateHelperQuoteName(Y82,Trigger),"")</f>
        <v/>
      </c>
      <c r="AA82" s="73" t="str">
        <f>IFERROR(_xll.qlRateHelperRate(Y82,Trigger),"")</f>
        <v/>
      </c>
      <c r="AB82" s="105" t="str">
        <f>IF(ISERROR(_xll.qlSwapRateHelperSpread($Y82)),IF(ISERROR(_xll.qlFuturesRateHelperConvexityAdjustment($Y82)),"",_xll.qlFuturesRateHelperConvexityAdjustment($Y82)),_xll.qlSwapRateHelperSpread($Y82))</f>
        <v/>
      </c>
      <c r="AC82" s="5" t="str">
        <f>IFERROR(_xll.qlRateHelperEarliestDate(Y82,Trigger),"")</f>
        <v/>
      </c>
      <c r="AD82" s="5" t="str">
        <f>IFERROR(_xll.qlRateHelperPillarDate(Y82,Trigger),"")</f>
        <v/>
      </c>
      <c r="AE82" s="73" t="e">
        <v>#N/A</v>
      </c>
    </row>
    <row r="83" spans="1:31" x14ac:dyDescent="0.2">
      <c r="A83" s="62" t="str">
        <f>Quote!AF80</f>
        <v>SW</v>
      </c>
      <c r="B83" s="63" t="str">
        <f>Quote!AG80</f>
        <v>6Y</v>
      </c>
      <c r="C83" s="64" t="s">
        <v>6</v>
      </c>
      <c r="D83" s="64" t="s">
        <v>8</v>
      </c>
      <c r="E83" s="64" t="s">
        <v>7</v>
      </c>
      <c r="F83" s="64" t="s">
        <v>132</v>
      </c>
      <c r="G83" s="64" t="str">
        <f t="shared" si="14"/>
        <v>Euribor6MMX#0006</v>
      </c>
      <c r="H83" s="62" t="str">
        <f>IF(ISBLANK(Quote!AI80),"",Quote!AI80)</f>
        <v>EUR6MSW6Y=#0006</v>
      </c>
      <c r="I83" s="62" t="str">
        <f>_xll.qlCompositeQuote(Currency&amp;"6M"&amp;A83&amp;B83&amp;"_Shifted",H83,IF(J83=0,BumpValue,J83),"+",Permanent,Trigger,ObjectOverwrite)</f>
        <v>EUR6MSW6Y_Shifted#0006</v>
      </c>
      <c r="J83" s="122">
        <v>0</v>
      </c>
      <c r="K83" s="128">
        <v>0</v>
      </c>
      <c r="L83" s="67" t="str">
        <f>_xll.qlSwapRateHelper2(,IF(Sensitivity,I83,H83),,B83,Calendar,D83,E83,F83,G83,K83,C83,Discounting,PillarDate,,Permanent,Trigger,ObjectOverwrite)</f>
        <v>obj_00341#0006</v>
      </c>
      <c r="N83" s="10" t="str">
        <f t="shared" si="15"/>
        <v>SW</v>
      </c>
      <c r="O83" s="95" t="str">
        <f t="shared" si="16"/>
        <v>obj_0033f#0006</v>
      </c>
      <c r="P83" s="146" t="str">
        <f>IFERROR(_xll.qlRateHelperQuoteName(O83,Trigger),"--")</f>
        <v>EUR6MSW10Y_Shifted</v>
      </c>
      <c r="Q83" s="99">
        <f>IFERROR(_xll.qlRateHelperQuoteValue($O83,Trigger),"--")</f>
        <v>6.7700000000000008E-3</v>
      </c>
      <c r="R83" s="141" t="b">
        <v>1</v>
      </c>
      <c r="S83" s="95">
        <v>20</v>
      </c>
      <c r="T83" s="95">
        <v>1</v>
      </c>
      <c r="U83" s="100">
        <f>IFERROR(_xll.qlRateHelperEarliestDate(O83,Trigger),"--")</f>
        <v>42748</v>
      </c>
      <c r="V83" s="100">
        <f>IFERROR(_xll.qlRateHelperPillarDate(O83,Trigger),"--")</f>
        <v>46400</v>
      </c>
      <c r="X83" s="162" t="str">
        <f t="shared" si="17"/>
        <v/>
      </c>
      <c r="Y83" s="162" t="e">
        <v>#N/A</v>
      </c>
      <c r="Z83" s="162" t="str">
        <f>IFERROR(_xll.qlRateHelperQuoteName(Y83,Trigger),"")</f>
        <v/>
      </c>
      <c r="AA83" s="162" t="str">
        <f>IFERROR(_xll.qlRateHelperRate(Y83,Trigger),"")</f>
        <v/>
      </c>
      <c r="AB83" s="162" t="str">
        <f>IF(ISERROR(_xll.qlSwapRateHelperSpread($Y83)),IF(ISERROR(_xll.qlFuturesRateHelperConvexityAdjustment($Y83)),"",_xll.qlFuturesRateHelperConvexityAdjustment($Y83)),_xll.qlSwapRateHelperSpread($Y83))</f>
        <v/>
      </c>
      <c r="AC83" s="162" t="str">
        <f>IFERROR(_xll.qlRateHelperEarliestDate(Y83,Trigger),"")</f>
        <v/>
      </c>
      <c r="AD83" s="162" t="str">
        <f>IFERROR(_xll.qlRateHelperPillarDate(Y83,Trigger),"")</f>
        <v/>
      </c>
      <c r="AE83" s="184" t="e">
        <v>#N/A</v>
      </c>
    </row>
    <row r="84" spans="1:31" x14ac:dyDescent="0.2">
      <c r="A84" s="62" t="str">
        <f>Quote!AF81</f>
        <v>SW</v>
      </c>
      <c r="B84" s="63" t="str">
        <f>Quote!AG81</f>
        <v>7Y</v>
      </c>
      <c r="C84" s="64" t="s">
        <v>6</v>
      </c>
      <c r="D84" s="64" t="s">
        <v>8</v>
      </c>
      <c r="E84" s="64" t="s">
        <v>7</v>
      </c>
      <c r="F84" s="64" t="s">
        <v>132</v>
      </c>
      <c r="G84" s="64" t="str">
        <f t="shared" si="14"/>
        <v>Euribor6MMX#0006</v>
      </c>
      <c r="H84" s="62" t="str">
        <f>IF(ISBLANK(Quote!AI81),"",Quote!AI81)</f>
        <v>EUR6MSW7Y=#0006</v>
      </c>
      <c r="I84" s="62" t="str">
        <f>_xll.qlCompositeQuote(Currency&amp;"6M"&amp;A84&amp;B84&amp;"_Shifted",H84,IF(J84=0,BumpValue,J84),"+",Permanent,Trigger,ObjectOverwrite)</f>
        <v>EUR6MSW7Y_Shifted#0006</v>
      </c>
      <c r="J84" s="122">
        <v>0</v>
      </c>
      <c r="K84" s="128">
        <v>0</v>
      </c>
      <c r="L84" s="67" t="str">
        <f>_xll.qlSwapRateHelper2(,IF(Sensitivity,I84,H84),,B84,Calendar,D84,E84,F84,G84,K84,C84,Discounting,PillarDate,,Permanent,Trigger,ObjectOverwrite)</f>
        <v>obj_0037d#0006</v>
      </c>
      <c r="N84" s="10" t="str">
        <f t="shared" si="15"/>
        <v>SW</v>
      </c>
      <c r="O84" s="95" t="str">
        <f t="shared" si="16"/>
        <v>obj_00366#0006</v>
      </c>
      <c r="P84" s="146" t="str">
        <f>IFERROR(_xll.qlRateHelperQuoteName(O84,Trigger),"--")</f>
        <v>EUR6MSW11Y_Shifted</v>
      </c>
      <c r="Q84" s="99">
        <f>IFERROR(_xll.qlRateHelperQuoteValue($O84,Trigger),"--")</f>
        <v>7.7364216900000001E-3</v>
      </c>
      <c r="R84" s="141" t="b">
        <v>1</v>
      </c>
      <c r="S84" s="95">
        <v>20</v>
      </c>
      <c r="T84" s="95">
        <v>1</v>
      </c>
      <c r="U84" s="100">
        <f>IFERROR(_xll.qlRateHelperEarliestDate(O84,Trigger),"--")</f>
        <v>42748</v>
      </c>
      <c r="V84" s="100">
        <f>IFERROR(_xll.qlRateHelperPillarDate(O84,Trigger),"--")</f>
        <v>46765</v>
      </c>
      <c r="X84" s="162" t="str">
        <f t="shared" si="17"/>
        <v/>
      </c>
      <c r="Y84" s="162" t="e">
        <v>#N/A</v>
      </c>
      <c r="Z84" s="162" t="str">
        <f>IFERROR(_xll.qlRateHelperQuoteName(Y84,Trigger),"")</f>
        <v/>
      </c>
      <c r="AA84" s="162" t="str">
        <f>IFERROR(_xll.qlRateHelperRate(Y84,Trigger),"")</f>
        <v/>
      </c>
      <c r="AB84" s="162" t="str">
        <f>IF(ISERROR(_xll.qlSwapRateHelperSpread($Y84)),IF(ISERROR(_xll.qlFuturesRateHelperConvexityAdjustment($Y84)),"",_xll.qlFuturesRateHelperConvexityAdjustment($Y84)),_xll.qlSwapRateHelperSpread($Y84))</f>
        <v/>
      </c>
      <c r="AC84" s="162" t="str">
        <f>IFERROR(_xll.qlRateHelperEarliestDate(Y84,Trigger),"")</f>
        <v/>
      </c>
      <c r="AD84" s="162" t="str">
        <f>IFERROR(_xll.qlRateHelperPillarDate(Y84,Trigger),"")</f>
        <v/>
      </c>
      <c r="AE84" s="184" t="e">
        <v>#N/A</v>
      </c>
    </row>
    <row r="85" spans="1:31" x14ac:dyDescent="0.2">
      <c r="A85" s="62" t="str">
        <f>Quote!AF82</f>
        <v>SW</v>
      </c>
      <c r="B85" s="63" t="str">
        <f>Quote!AG82</f>
        <v>8Y</v>
      </c>
      <c r="C85" s="64" t="s">
        <v>6</v>
      </c>
      <c r="D85" s="64" t="s">
        <v>8</v>
      </c>
      <c r="E85" s="64" t="s">
        <v>7</v>
      </c>
      <c r="F85" s="64" t="s">
        <v>132</v>
      </c>
      <c r="G85" s="64" t="str">
        <f t="shared" si="14"/>
        <v>Euribor6MMX#0006</v>
      </c>
      <c r="H85" s="62" t="str">
        <f>IF(ISBLANK(Quote!AI82),"",Quote!AI82)</f>
        <v>EUR6MSW8Y=#0006</v>
      </c>
      <c r="I85" s="62" t="str">
        <f>_xll.qlCompositeQuote(Currency&amp;"6M"&amp;A85&amp;B85&amp;"_Shifted",H85,IF(J85=0,BumpValue,J85),"+",Permanent,Trigger,ObjectOverwrite)</f>
        <v>EUR6MSW8Y_Shifted#0006</v>
      </c>
      <c r="J85" s="122">
        <v>0</v>
      </c>
      <c r="K85" s="128">
        <v>0</v>
      </c>
      <c r="L85" s="67" t="str">
        <f>_xll.qlSwapRateHelper2(,IF(Sensitivity,I85,H85),,B85,Calendar,D85,E85,F85,G85,K85,C85,Discounting,PillarDate,,Permanent,Trigger,ObjectOverwrite)</f>
        <v>obj_0039d#0006</v>
      </c>
      <c r="N85" s="10" t="str">
        <f t="shared" si="15"/>
        <v>SW</v>
      </c>
      <c r="O85" s="95" t="str">
        <f t="shared" si="16"/>
        <v>obj_003a7#0006</v>
      </c>
      <c r="P85" s="146" t="str">
        <f>IFERROR(_xll.qlRateHelperQuoteName(O85,Trigger),"--")</f>
        <v>EUR6MSW12Y_Shifted</v>
      </c>
      <c r="Q85" s="99">
        <f>IFERROR(_xll.qlRateHelperQuoteValue($O85,Trigger),"--")</f>
        <v>8.5900000000000004E-3</v>
      </c>
      <c r="R85" s="141" t="b">
        <v>1</v>
      </c>
      <c r="S85" s="95">
        <v>20</v>
      </c>
      <c r="T85" s="95">
        <v>1</v>
      </c>
      <c r="U85" s="100">
        <f>IFERROR(_xll.qlRateHelperEarliestDate(O85,Trigger),"--")</f>
        <v>42748</v>
      </c>
      <c r="V85" s="100">
        <f>IFERROR(_xll.qlRateHelperPillarDate(O85,Trigger),"--")</f>
        <v>47133</v>
      </c>
      <c r="X85" s="162" t="str">
        <f t="shared" si="17"/>
        <v/>
      </c>
      <c r="Y85" s="162" t="e">
        <v>#N/A</v>
      </c>
      <c r="Z85" s="162" t="str">
        <f>IFERROR(_xll.qlRateHelperQuoteName(Y85,Trigger),"")</f>
        <v/>
      </c>
      <c r="AA85" s="162" t="str">
        <f>IFERROR(_xll.qlRateHelperRate(Y85,Trigger),"")</f>
        <v/>
      </c>
      <c r="AB85" s="162" t="str">
        <f>IF(ISERROR(_xll.qlSwapRateHelperSpread($Y85)),IF(ISERROR(_xll.qlFuturesRateHelperConvexityAdjustment($Y85)),"",_xll.qlFuturesRateHelperConvexityAdjustment($Y85)),_xll.qlSwapRateHelperSpread($Y85))</f>
        <v/>
      </c>
      <c r="AC85" s="162" t="str">
        <f>IFERROR(_xll.qlRateHelperEarliestDate(Y85,Trigger),"")</f>
        <v/>
      </c>
      <c r="AD85" s="162" t="str">
        <f>IFERROR(_xll.qlRateHelperPillarDate(Y85,Trigger),"")</f>
        <v/>
      </c>
      <c r="AE85" s="184" t="e">
        <v>#N/A</v>
      </c>
    </row>
    <row r="86" spans="1:31" x14ac:dyDescent="0.2">
      <c r="A86" s="62" t="str">
        <f>Quote!AF83</f>
        <v>SW</v>
      </c>
      <c r="B86" s="63" t="str">
        <f>Quote!AG83</f>
        <v>9Y</v>
      </c>
      <c r="C86" s="64" t="s">
        <v>6</v>
      </c>
      <c r="D86" s="64" t="s">
        <v>8</v>
      </c>
      <c r="E86" s="64" t="s">
        <v>7</v>
      </c>
      <c r="F86" s="64" t="s">
        <v>132</v>
      </c>
      <c r="G86" s="64" t="str">
        <f t="shared" si="14"/>
        <v>Euribor6MMX#0006</v>
      </c>
      <c r="H86" s="62" t="str">
        <f>IF(ISBLANK(Quote!AI83),"",Quote!AI83)</f>
        <v>EUR6MSW9Y=#0006</v>
      </c>
      <c r="I86" s="62" t="str">
        <f>_xll.qlCompositeQuote(Currency&amp;"6M"&amp;A86&amp;B86&amp;"_Shifted",H86,IF(J86=0,BumpValue,J86),"+",Permanent,Trigger,ObjectOverwrite)</f>
        <v>EUR6MSW9Y_Shifted#0006</v>
      </c>
      <c r="J86" s="122">
        <v>0</v>
      </c>
      <c r="K86" s="128">
        <v>0</v>
      </c>
      <c r="L86" s="67" t="str">
        <f>_xll.qlSwapRateHelper2(,IF(Sensitivity,I86,H86),,B86,Calendar,D86,E86,F86,G86,K86,C86,Discounting,PillarDate,,Permanent,Trigger,ObjectOverwrite)</f>
        <v>obj_00381#0006</v>
      </c>
      <c r="N86" s="10" t="str">
        <f t="shared" si="15"/>
        <v>SW</v>
      </c>
      <c r="O86" s="95" t="str">
        <f t="shared" si="16"/>
        <v>obj_003b3#0006</v>
      </c>
      <c r="P86" s="146" t="str">
        <f>IFERROR(_xll.qlRateHelperQuoteName(O86,Trigger),"--")</f>
        <v>EUR6MSW13Y_Shifted</v>
      </c>
      <c r="Q86" s="99">
        <f>IFERROR(_xll.qlRateHelperQuoteValue($O86,Trigger),"--")</f>
        <v>9.3184720500000002E-3</v>
      </c>
      <c r="R86" s="141" t="b">
        <v>1</v>
      </c>
      <c r="S86" s="95">
        <v>20</v>
      </c>
      <c r="T86" s="95">
        <v>1</v>
      </c>
      <c r="U86" s="100">
        <f>IFERROR(_xll.qlRateHelperEarliestDate(O86,Trigger),"--")</f>
        <v>42748</v>
      </c>
      <c r="V86" s="100">
        <f>IFERROR(_xll.qlRateHelperPillarDate(O86,Trigger),"--")</f>
        <v>47497</v>
      </c>
      <c r="X86" s="162" t="str">
        <f t="shared" si="17"/>
        <v/>
      </c>
      <c r="Y86" s="162" t="e">
        <v>#N/A</v>
      </c>
      <c r="Z86" s="162" t="str">
        <f>IFERROR(_xll.qlRateHelperQuoteName(Y86,Trigger),"")</f>
        <v/>
      </c>
      <c r="AA86" s="162" t="str">
        <f>IFERROR(_xll.qlRateHelperRate(Y86,Trigger),"")</f>
        <v/>
      </c>
      <c r="AB86" s="162" t="str">
        <f>IF(ISERROR(_xll.qlSwapRateHelperSpread($Y86)),IF(ISERROR(_xll.qlFuturesRateHelperConvexityAdjustment($Y86)),"",_xll.qlFuturesRateHelperConvexityAdjustment($Y86)),_xll.qlSwapRateHelperSpread($Y86))</f>
        <v/>
      </c>
      <c r="AC86" s="162" t="str">
        <f>IFERROR(_xll.qlRateHelperEarliestDate(Y86,Trigger),"")</f>
        <v/>
      </c>
      <c r="AD86" s="162" t="str">
        <f>IFERROR(_xll.qlRateHelperPillarDate(Y86,Trigger),"")</f>
        <v/>
      </c>
      <c r="AE86" s="184" t="e">
        <v>#N/A</v>
      </c>
    </row>
    <row r="87" spans="1:31" x14ac:dyDescent="0.2">
      <c r="A87" s="62" t="str">
        <f>Quote!AF84</f>
        <v>SW</v>
      </c>
      <c r="B87" s="63" t="str">
        <f>Quote!AG84</f>
        <v>10Y</v>
      </c>
      <c r="C87" s="64" t="s">
        <v>6</v>
      </c>
      <c r="D87" s="64" t="s">
        <v>8</v>
      </c>
      <c r="E87" s="64" t="s">
        <v>7</v>
      </c>
      <c r="F87" s="64" t="s">
        <v>132</v>
      </c>
      <c r="G87" s="64" t="str">
        <f t="shared" si="14"/>
        <v>Euribor6MMX#0006</v>
      </c>
      <c r="H87" s="62" t="str">
        <f>IF(ISBLANK(Quote!AI84),"",Quote!AI84)</f>
        <v>EUR6MSW10Y=#0006</v>
      </c>
      <c r="I87" s="62" t="str">
        <f>_xll.qlCompositeQuote(Currency&amp;"6M"&amp;A87&amp;B87&amp;"_Shifted",H87,IF(J87=0,BumpValue,J87),"+",Permanent,Trigger,ObjectOverwrite)</f>
        <v>EUR6MSW10Y_Shifted#0006</v>
      </c>
      <c r="J87" s="122">
        <v>0</v>
      </c>
      <c r="K87" s="128">
        <v>0</v>
      </c>
      <c r="L87" s="67" t="str">
        <f>_xll.qlSwapRateHelper2(,IF(Sensitivity,I87,H87),,B87,Calendar,D87,E87,F87,G87,K87,C87,Discounting,PillarDate,,Permanent,Trigger,ObjectOverwrite)</f>
        <v>obj_0033f#0006</v>
      </c>
      <c r="N87" s="10" t="str">
        <f t="shared" ref="N87:N115" si="18">A91</f>
        <v>SW</v>
      </c>
      <c r="O87" s="95" t="str">
        <f t="shared" ref="O87:O115" si="19">IF(ISBLANK(L91),"--",L91)</f>
        <v>obj_00330#0006</v>
      </c>
      <c r="P87" s="146" t="str">
        <f>IFERROR(_xll.qlRateHelperQuoteName(O87,Trigger),"--")</f>
        <v>EUR6MSW14Y_Shifted</v>
      </c>
      <c r="Q87" s="99">
        <f>IFERROR(_xll.qlRateHelperQuoteValue($O87,Trigger),"--")</f>
        <v>9.9418868899999995E-3</v>
      </c>
      <c r="R87" s="141" t="b">
        <v>1</v>
      </c>
      <c r="S87" s="95">
        <v>20</v>
      </c>
      <c r="T87" s="95">
        <v>1</v>
      </c>
      <c r="U87" s="100">
        <f>IFERROR(_xll.qlRateHelperEarliestDate(O87,Trigger),"--")</f>
        <v>42748</v>
      </c>
      <c r="V87" s="100">
        <f>IFERROR(_xll.qlRateHelperPillarDate(O87,Trigger),"--")</f>
        <v>47861</v>
      </c>
      <c r="X87" s="162" t="str">
        <f t="shared" si="17"/>
        <v/>
      </c>
      <c r="Y87" s="162" t="e">
        <v>#N/A</v>
      </c>
      <c r="Z87" s="162" t="str">
        <f>IFERROR(_xll.qlRateHelperQuoteName(Y87,Trigger),"")</f>
        <v/>
      </c>
      <c r="AA87" s="162" t="str">
        <f>IFERROR(_xll.qlRateHelperRate(Y87,Trigger),"")</f>
        <v/>
      </c>
      <c r="AB87" s="162" t="str">
        <f>IF(ISERROR(_xll.qlSwapRateHelperSpread($Y87)),IF(ISERROR(_xll.qlFuturesRateHelperConvexityAdjustment($Y87)),"",_xll.qlFuturesRateHelperConvexityAdjustment($Y87)),_xll.qlSwapRateHelperSpread($Y87))</f>
        <v/>
      </c>
      <c r="AC87" s="162" t="str">
        <f>IFERROR(_xll.qlRateHelperEarliestDate(Y87,Trigger),"")</f>
        <v/>
      </c>
      <c r="AD87" s="162" t="str">
        <f>IFERROR(_xll.qlRateHelperPillarDate(Y87,Trigger),"")</f>
        <v/>
      </c>
      <c r="AE87" s="184" t="e">
        <v>#N/A</v>
      </c>
    </row>
    <row r="88" spans="1:31" x14ac:dyDescent="0.2">
      <c r="A88" s="62" t="str">
        <f>Quote!AF85</f>
        <v>SW</v>
      </c>
      <c r="B88" s="63" t="str">
        <f>Quote!AG85</f>
        <v>11Y</v>
      </c>
      <c r="C88" s="64" t="s">
        <v>6</v>
      </c>
      <c r="D88" s="64" t="s">
        <v>8</v>
      </c>
      <c r="E88" s="64" t="s">
        <v>7</v>
      </c>
      <c r="F88" s="64" t="s">
        <v>132</v>
      </c>
      <c r="G88" s="64" t="str">
        <f t="shared" si="14"/>
        <v>Euribor6MMX#0006</v>
      </c>
      <c r="H88" s="62" t="str">
        <f>IF(ISBLANK(Quote!AI85),"",Quote!AI85)</f>
        <v>EUR6MSW11Y=#0006</v>
      </c>
      <c r="I88" s="62" t="str">
        <f>_xll.qlCompositeQuote(Currency&amp;"6M"&amp;A88&amp;B88&amp;"_Shifted",H88,IF(J88=0,BumpValue,J88),"+",Permanent,Trigger,ObjectOverwrite)</f>
        <v>EUR6MSW11Y_Shifted#0006</v>
      </c>
      <c r="J88" s="122">
        <v>0</v>
      </c>
      <c r="K88" s="128">
        <v>0</v>
      </c>
      <c r="L88" s="67" t="str">
        <f>_xll.qlSwapRateHelper2(,IF(Sensitivity,I88,H88),,B88,Calendar,D88,E88,F88,G88,K88,C88,Discounting,PillarDate,,Permanent,Trigger,ObjectOverwrite)</f>
        <v>obj_00366#0006</v>
      </c>
      <c r="N88" s="10" t="str">
        <f t="shared" si="18"/>
        <v>SW</v>
      </c>
      <c r="O88" s="95" t="str">
        <f t="shared" si="19"/>
        <v>obj_00382#0006</v>
      </c>
      <c r="P88" s="146" t="str">
        <f>IFERROR(_xll.qlRateHelperQuoteName(O88,Trigger),"--")</f>
        <v>EUR6MSW15Y_Shifted</v>
      </c>
      <c r="Q88" s="99">
        <f>IFERROR(_xll.qlRateHelperQuoteValue($O88,Trigger),"--")</f>
        <v>1.047E-2</v>
      </c>
      <c r="R88" s="141" t="b">
        <v>1</v>
      </c>
      <c r="S88" s="95">
        <v>20</v>
      </c>
      <c r="T88" s="95">
        <v>1</v>
      </c>
      <c r="U88" s="100">
        <f>IFERROR(_xll.qlRateHelperEarliestDate(O88,Trigger),"--")</f>
        <v>42748</v>
      </c>
      <c r="V88" s="100">
        <f>IFERROR(_xll.qlRateHelperPillarDate(O88,Trigger),"--")</f>
        <v>48226</v>
      </c>
      <c r="X88" s="162" t="str">
        <f t="shared" si="17"/>
        <v/>
      </c>
      <c r="Y88" s="162" t="e">
        <v>#N/A</v>
      </c>
      <c r="Z88" s="162" t="str">
        <f>IFERROR(_xll.qlRateHelperQuoteName(Y88,Trigger),"")</f>
        <v/>
      </c>
      <c r="AA88" s="162" t="str">
        <f>IFERROR(_xll.qlRateHelperRate(Y88,Trigger),"")</f>
        <v/>
      </c>
      <c r="AB88" s="162" t="str">
        <f>IF(ISERROR(_xll.qlSwapRateHelperSpread($Y88)),IF(ISERROR(_xll.qlFuturesRateHelperConvexityAdjustment($Y88)),"",_xll.qlFuturesRateHelperConvexityAdjustment($Y88)),_xll.qlSwapRateHelperSpread($Y88))</f>
        <v/>
      </c>
      <c r="AC88" s="162" t="str">
        <f>IFERROR(_xll.qlRateHelperEarliestDate(Y88,Trigger),"")</f>
        <v/>
      </c>
      <c r="AD88" s="162" t="str">
        <f>IFERROR(_xll.qlRateHelperPillarDate(Y88,Trigger),"")</f>
        <v/>
      </c>
      <c r="AE88" s="184" t="e">
        <v>#N/A</v>
      </c>
    </row>
    <row r="89" spans="1:31" x14ac:dyDescent="0.2">
      <c r="A89" s="62" t="str">
        <f>Quote!AF86</f>
        <v>SW</v>
      </c>
      <c r="B89" s="63" t="str">
        <f>Quote!AG86</f>
        <v>12Y</v>
      </c>
      <c r="C89" s="64" t="s">
        <v>6</v>
      </c>
      <c r="D89" s="64" t="s">
        <v>8</v>
      </c>
      <c r="E89" s="64" t="s">
        <v>7</v>
      </c>
      <c r="F89" s="64" t="s">
        <v>132</v>
      </c>
      <c r="G89" s="64" t="str">
        <f t="shared" si="14"/>
        <v>Euribor6MMX#0006</v>
      </c>
      <c r="H89" s="62" t="str">
        <f>IF(ISBLANK(Quote!AI86),"",Quote!AI86)</f>
        <v>EUR6MSW12Y=#0006</v>
      </c>
      <c r="I89" s="62" t="str">
        <f>_xll.qlCompositeQuote(Currency&amp;"6M"&amp;A89&amp;B89&amp;"_Shifted",H89,IF(J89=0,BumpValue,J89),"+",Permanent,Trigger,ObjectOverwrite)</f>
        <v>EUR6MSW12Y_Shifted#0006</v>
      </c>
      <c r="J89" s="122">
        <v>0</v>
      </c>
      <c r="K89" s="128">
        <v>0</v>
      </c>
      <c r="L89" s="67" t="str">
        <f>_xll.qlSwapRateHelper2(,IF(Sensitivity,I89,H89),,B89,Calendar,D89,E89,F89,G89,K89,C89,Discounting,PillarDate,,Permanent,Trigger,ObjectOverwrite)</f>
        <v>obj_003a7#0006</v>
      </c>
      <c r="N89" s="10" t="str">
        <f t="shared" si="18"/>
        <v>SW</v>
      </c>
      <c r="O89" s="95" t="str">
        <f t="shared" si="19"/>
        <v>obj_00377#0006</v>
      </c>
      <c r="P89" s="146" t="str">
        <f>IFERROR(_xll.qlRateHelperQuoteName(O89,Trigger),"--")</f>
        <v>EUR6MSW16Y_Shifted</v>
      </c>
      <c r="Q89" s="99">
        <f>IFERROR(_xll.qlRateHelperQuoteValue($O89,Trigger),"--")</f>
        <v>1.0912421940000002E-2</v>
      </c>
      <c r="R89" s="141" t="b">
        <v>1</v>
      </c>
      <c r="S89" s="95">
        <v>20</v>
      </c>
      <c r="T89" s="95">
        <v>1</v>
      </c>
      <c r="U89" s="100">
        <f>IFERROR(_xll.qlRateHelperEarliestDate(O89,Trigger),"--")</f>
        <v>42748</v>
      </c>
      <c r="V89" s="100">
        <f>IFERROR(_xll.qlRateHelperPillarDate(O89,Trigger),"--")</f>
        <v>48592</v>
      </c>
      <c r="X89" s="162" t="str">
        <f t="shared" si="17"/>
        <v/>
      </c>
      <c r="Y89" s="162" t="e">
        <v>#N/A</v>
      </c>
      <c r="Z89" s="162" t="str">
        <f>IFERROR(_xll.qlRateHelperQuoteName(Y89,Trigger),"")</f>
        <v/>
      </c>
      <c r="AA89" s="162" t="str">
        <f>IFERROR(_xll.qlRateHelperRate(Y89,Trigger),"")</f>
        <v/>
      </c>
      <c r="AB89" s="162" t="str">
        <f>IF(ISERROR(_xll.qlSwapRateHelperSpread($Y89)),IF(ISERROR(_xll.qlFuturesRateHelperConvexityAdjustment($Y89)),"",_xll.qlFuturesRateHelperConvexityAdjustment($Y89)),_xll.qlSwapRateHelperSpread($Y89))</f>
        <v/>
      </c>
      <c r="AC89" s="162" t="str">
        <f>IFERROR(_xll.qlRateHelperEarliestDate(Y89,Trigger),"")</f>
        <v/>
      </c>
      <c r="AD89" s="162" t="str">
        <f>IFERROR(_xll.qlRateHelperPillarDate(Y89,Trigger),"")</f>
        <v/>
      </c>
      <c r="AE89" s="184" t="e">
        <v>#N/A</v>
      </c>
    </row>
    <row r="90" spans="1:31" x14ac:dyDescent="0.2">
      <c r="A90" s="62" t="str">
        <f>Quote!AF87</f>
        <v>SW</v>
      </c>
      <c r="B90" s="63" t="str">
        <f>Quote!AG87</f>
        <v>13Y</v>
      </c>
      <c r="C90" s="64" t="s">
        <v>6</v>
      </c>
      <c r="D90" s="64" t="s">
        <v>8</v>
      </c>
      <c r="E90" s="64" t="s">
        <v>7</v>
      </c>
      <c r="F90" s="64" t="s">
        <v>132</v>
      </c>
      <c r="G90" s="64" t="str">
        <f t="shared" si="14"/>
        <v>Euribor6MMX#0006</v>
      </c>
      <c r="H90" s="62" t="str">
        <f>IF(ISBLANK(Quote!AI87),"",Quote!AI87)</f>
        <v>EUR6MSW13Y=#0006</v>
      </c>
      <c r="I90" s="62" t="str">
        <f>_xll.qlCompositeQuote(Currency&amp;"6M"&amp;A90&amp;B90&amp;"_Shifted",H90,IF(J90=0,BumpValue,J90),"+",Permanent,Trigger,ObjectOverwrite)</f>
        <v>EUR6MSW13Y_Shifted#0006</v>
      </c>
      <c r="J90" s="122">
        <v>0</v>
      </c>
      <c r="K90" s="128">
        <v>0</v>
      </c>
      <c r="L90" s="67" t="str">
        <f>_xll.qlSwapRateHelper2(,IF(Sensitivity,I90,H90),,B90,Calendar,D90,E90,F90,G90,K90,C90,Discounting,PillarDate,,Permanent,Trigger,ObjectOverwrite)</f>
        <v>obj_003b3#0006</v>
      </c>
      <c r="M90" s="49" t="s">
        <v>34</v>
      </c>
      <c r="N90" s="10" t="str">
        <f t="shared" si="18"/>
        <v>SW</v>
      </c>
      <c r="O90" s="95" t="str">
        <f t="shared" si="19"/>
        <v>obj_0032d#0006</v>
      </c>
      <c r="P90" s="146" t="str">
        <f>IFERROR(_xll.qlRateHelperQuoteName(O90,Trigger),"--")</f>
        <v>EUR6MSW17Y_Shifted</v>
      </c>
      <c r="Q90" s="99">
        <f>IFERROR(_xll.qlRateHelperQuoteValue($O90,Trigger),"--")</f>
        <v>1.1273501890000003E-2</v>
      </c>
      <c r="R90" s="141" t="b">
        <v>1</v>
      </c>
      <c r="S90" s="95">
        <v>20</v>
      </c>
      <c r="T90" s="95">
        <v>1</v>
      </c>
      <c r="U90" s="100">
        <f>IFERROR(_xll.qlRateHelperEarliestDate(O90,Trigger),"--")</f>
        <v>42748</v>
      </c>
      <c r="V90" s="100">
        <f>IFERROR(_xll.qlRateHelperPillarDate(O90,Trigger),"--")</f>
        <v>48957</v>
      </c>
      <c r="X90" s="162" t="str">
        <f t="shared" si="17"/>
        <v/>
      </c>
      <c r="Y90" s="162" t="e">
        <v>#N/A</v>
      </c>
      <c r="Z90" s="162" t="str">
        <f>IFERROR(_xll.qlRateHelperQuoteName(Y90,Trigger),"")</f>
        <v/>
      </c>
      <c r="AA90" s="162" t="str">
        <f>IFERROR(_xll.qlRateHelperRate(Y90,Trigger),"")</f>
        <v/>
      </c>
      <c r="AB90" s="162" t="str">
        <f>IF(ISERROR(_xll.qlSwapRateHelperSpread($Y90)),IF(ISERROR(_xll.qlFuturesRateHelperConvexityAdjustment($Y90)),"",_xll.qlFuturesRateHelperConvexityAdjustment($Y90)),_xll.qlSwapRateHelperSpread($Y90))</f>
        <v/>
      </c>
      <c r="AC90" s="162" t="str">
        <f>IFERROR(_xll.qlRateHelperEarliestDate(Y90,Trigger),"")</f>
        <v/>
      </c>
      <c r="AD90" s="162" t="str">
        <f>IFERROR(_xll.qlRateHelperPillarDate(Y90,Trigger),"")</f>
        <v/>
      </c>
      <c r="AE90" s="184" t="e">
        <v>#N/A</v>
      </c>
    </row>
    <row r="91" spans="1:31" x14ac:dyDescent="0.2">
      <c r="A91" s="62" t="str">
        <f>Quote!AF88</f>
        <v>SW</v>
      </c>
      <c r="B91" s="63" t="str">
        <f>Quote!AG88</f>
        <v>14Y</v>
      </c>
      <c r="C91" s="64" t="s">
        <v>6</v>
      </c>
      <c r="D91" s="64" t="s">
        <v>8</v>
      </c>
      <c r="E91" s="64" t="s">
        <v>7</v>
      </c>
      <c r="F91" s="64" t="s">
        <v>132</v>
      </c>
      <c r="G91" s="64" t="str">
        <f t="shared" si="14"/>
        <v>Euribor6MMX#0006</v>
      </c>
      <c r="H91" s="62" t="str">
        <f>IF(ISBLANK(Quote!AI88),"",Quote!AI88)</f>
        <v>EUR6MSW14Y=#0006</v>
      </c>
      <c r="I91" s="62" t="str">
        <f>_xll.qlCompositeQuote(Currency&amp;"6M"&amp;A91&amp;B91&amp;"_Shifted",H91,IF(J91=0,BumpValue,J91),"+",Permanent,Trigger,ObjectOverwrite)</f>
        <v>EUR6MSW14Y_Shifted#0006</v>
      </c>
      <c r="J91" s="122">
        <v>0</v>
      </c>
      <c r="K91" s="128">
        <v>0</v>
      </c>
      <c r="L91" s="67" t="str">
        <f>_xll.qlSwapRateHelper2(,IF(Sensitivity,I91,H91),,B91,Calendar,D91,E91,F91,G91,K91,C91,Discounting,PillarDate,,Permanent,Trigger,ObjectOverwrite)</f>
        <v>obj_00330#0006</v>
      </c>
      <c r="N91" s="10" t="str">
        <f t="shared" si="18"/>
        <v>SW</v>
      </c>
      <c r="O91" s="95" t="str">
        <f t="shared" si="19"/>
        <v>obj_00397#0006</v>
      </c>
      <c r="P91" s="146" t="str">
        <f>IFERROR(_xll.qlRateHelperQuoteName(O91,Trigger),"--")</f>
        <v>EUR6MSW18Y_Shifted</v>
      </c>
      <c r="Q91" s="99">
        <f>IFERROR(_xll.qlRateHelperQuoteValue($O91,Trigger),"--")</f>
        <v>1.1567971240000001E-2</v>
      </c>
      <c r="R91" s="141" t="b">
        <v>1</v>
      </c>
      <c r="S91" s="95">
        <v>20</v>
      </c>
      <c r="T91" s="95">
        <v>1</v>
      </c>
      <c r="U91" s="100">
        <f>IFERROR(_xll.qlRateHelperEarliestDate(O91,Trigger),"--")</f>
        <v>42748</v>
      </c>
      <c r="V91" s="100">
        <f>IFERROR(_xll.qlRateHelperPillarDate(O91,Trigger),"--")</f>
        <v>49324</v>
      </c>
      <c r="X91" s="162" t="str">
        <f t="shared" si="17"/>
        <v/>
      </c>
      <c r="Y91" s="162" t="e">
        <v>#N/A</v>
      </c>
      <c r="Z91" s="162" t="str">
        <f>IFERROR(_xll.qlRateHelperQuoteName(Y91,Trigger),"")</f>
        <v/>
      </c>
      <c r="AA91" s="162" t="str">
        <f>IFERROR(_xll.qlRateHelperRate(Y91,Trigger),"")</f>
        <v/>
      </c>
      <c r="AB91" s="162" t="str">
        <f>IF(ISERROR(_xll.qlSwapRateHelperSpread($Y91)),IF(ISERROR(_xll.qlFuturesRateHelperConvexityAdjustment($Y91)),"",_xll.qlFuturesRateHelperConvexityAdjustment($Y91)),_xll.qlSwapRateHelperSpread($Y91))</f>
        <v/>
      </c>
      <c r="AC91" s="162" t="str">
        <f>IFERROR(_xll.qlRateHelperEarliestDate(Y91,Trigger),"")</f>
        <v/>
      </c>
      <c r="AD91" s="162" t="str">
        <f>IFERROR(_xll.qlRateHelperPillarDate(Y91,Trigger),"")</f>
        <v/>
      </c>
      <c r="AE91" s="184" t="e">
        <v>#N/A</v>
      </c>
    </row>
    <row r="92" spans="1:31" x14ac:dyDescent="0.2">
      <c r="A92" s="62" t="str">
        <f>Quote!AF89</f>
        <v>SW</v>
      </c>
      <c r="B92" s="63" t="str">
        <f>Quote!AG89</f>
        <v>15Y</v>
      </c>
      <c r="C92" s="64" t="s">
        <v>6</v>
      </c>
      <c r="D92" s="64" t="s">
        <v>8</v>
      </c>
      <c r="E92" s="64" t="s">
        <v>7</v>
      </c>
      <c r="F92" s="64" t="s">
        <v>132</v>
      </c>
      <c r="G92" s="64" t="str">
        <f t="shared" si="14"/>
        <v>Euribor6MMX#0006</v>
      </c>
      <c r="H92" s="62" t="str">
        <f>IF(ISBLANK(Quote!AI89),"",Quote!AI89)</f>
        <v>EUR6MSW15Y=#0006</v>
      </c>
      <c r="I92" s="62" t="str">
        <f>_xll.qlCompositeQuote(Currency&amp;"6M"&amp;A92&amp;B92&amp;"_Shifted",H92,IF(J92=0,BumpValue,J92),"+",Permanent,Trigger,ObjectOverwrite)</f>
        <v>EUR6MSW15Y_Shifted#0006</v>
      </c>
      <c r="J92" s="122">
        <v>0</v>
      </c>
      <c r="K92" s="128">
        <v>0</v>
      </c>
      <c r="L92" s="67" t="str">
        <f>_xll.qlSwapRateHelper2(,IF(Sensitivity,I92,H92),,B92,Calendar,D92,E92,F92,G92,K92,C92,Discounting,PillarDate,,Permanent,Trigger,ObjectOverwrite)</f>
        <v>obj_00382#0006</v>
      </c>
      <c r="N92" s="10" t="str">
        <f t="shared" si="18"/>
        <v>SW</v>
      </c>
      <c r="O92" s="95" t="str">
        <f t="shared" si="19"/>
        <v>obj_003cc#0006</v>
      </c>
      <c r="P92" s="146" t="str">
        <f>IFERROR(_xll.qlRateHelperQuoteName(O92,Trigger),"--")</f>
        <v>EUR6MSW19Y_Shifted</v>
      </c>
      <c r="Q92" s="99">
        <f>IFERROR(_xll.qlRateHelperQuoteValue($O92,Trigger),"--")</f>
        <v>1.18020968E-2</v>
      </c>
      <c r="R92" s="141" t="b">
        <v>1</v>
      </c>
      <c r="S92" s="95">
        <v>20</v>
      </c>
      <c r="T92" s="95">
        <v>1</v>
      </c>
      <c r="U92" s="100">
        <f>IFERROR(_xll.qlRateHelperEarliestDate(O92,Trigger),"--")</f>
        <v>42748</v>
      </c>
      <c r="V92" s="100">
        <f>IFERROR(_xll.qlRateHelperPillarDate(O92,Trigger),"--")</f>
        <v>49688</v>
      </c>
      <c r="X92" s="162" t="str">
        <f t="shared" si="17"/>
        <v/>
      </c>
      <c r="Y92" s="162" t="e">
        <v>#N/A</v>
      </c>
      <c r="Z92" s="162" t="str">
        <f>IFERROR(_xll.qlRateHelperQuoteName(Y92,Trigger),"")</f>
        <v/>
      </c>
      <c r="AA92" s="162" t="str">
        <f>IFERROR(_xll.qlRateHelperRate(Y92,Trigger),"")</f>
        <v/>
      </c>
      <c r="AB92" s="162" t="str">
        <f>IF(ISERROR(_xll.qlSwapRateHelperSpread($Y92)),IF(ISERROR(_xll.qlFuturesRateHelperConvexityAdjustment($Y92)),"",_xll.qlFuturesRateHelperConvexityAdjustment($Y92)),_xll.qlSwapRateHelperSpread($Y92))</f>
        <v/>
      </c>
      <c r="AC92" s="162" t="str">
        <f>IFERROR(_xll.qlRateHelperEarliestDate(Y92,Trigger),"")</f>
        <v/>
      </c>
      <c r="AD92" s="162" t="str">
        <f>IFERROR(_xll.qlRateHelperPillarDate(Y92,Trigger),"")</f>
        <v/>
      </c>
      <c r="AE92" s="184" t="e">
        <v>#N/A</v>
      </c>
    </row>
    <row r="93" spans="1:31" x14ac:dyDescent="0.2">
      <c r="A93" s="62" t="str">
        <f>Quote!AF90</f>
        <v>SW</v>
      </c>
      <c r="B93" s="63" t="str">
        <f>Quote!AG90</f>
        <v>16Y</v>
      </c>
      <c r="C93" s="64" t="s">
        <v>6</v>
      </c>
      <c r="D93" s="64" t="s">
        <v>8</v>
      </c>
      <c r="E93" s="64" t="s">
        <v>7</v>
      </c>
      <c r="F93" s="64" t="s">
        <v>132</v>
      </c>
      <c r="G93" s="64" t="str">
        <f t="shared" si="14"/>
        <v>Euribor6MMX#0006</v>
      </c>
      <c r="H93" s="62" t="str">
        <f>IF(ISBLANK(Quote!AI90),"",Quote!AI90)</f>
        <v>EUR6MSW16Y=#0006</v>
      </c>
      <c r="I93" s="62" t="str">
        <f>_xll.qlCompositeQuote(Currency&amp;"6M"&amp;A93&amp;B93&amp;"_Shifted",H93,IF(J93=0,BumpValue,J93),"+",Permanent,Trigger,ObjectOverwrite)</f>
        <v>EUR6MSW16Y_Shifted#0006</v>
      </c>
      <c r="J93" s="122">
        <v>0</v>
      </c>
      <c r="K93" s="128">
        <v>0</v>
      </c>
      <c r="L93" s="67" t="str">
        <f>_xll.qlSwapRateHelper2(,IF(Sensitivity,I93,H93),,B93,Calendar,D93,E93,F93,G93,K93,C93,Discounting,PillarDate,,Permanent,Trigger,ObjectOverwrite)</f>
        <v>obj_00377#0006</v>
      </c>
      <c r="N93" s="10" t="str">
        <f t="shared" si="18"/>
        <v>SW</v>
      </c>
      <c r="O93" s="95" t="str">
        <f t="shared" si="19"/>
        <v>obj_003aa#0006</v>
      </c>
      <c r="P93" s="146" t="str">
        <f>IFERROR(_xll.qlRateHelperQuoteName(O93,Trigger),"--")</f>
        <v>EUR6MSW20Y_Shifted</v>
      </c>
      <c r="Q93" s="99">
        <f>IFERROR(_xll.qlRateHelperQuoteValue($O93,Trigger),"--")</f>
        <v>1.1990000000000001E-2</v>
      </c>
      <c r="R93" s="141" t="b">
        <v>1</v>
      </c>
      <c r="S93" s="95">
        <v>20</v>
      </c>
      <c r="T93" s="95">
        <v>1</v>
      </c>
      <c r="U93" s="100">
        <f>IFERROR(_xll.qlRateHelperEarliestDate(O93,Trigger),"--")</f>
        <v>42748</v>
      </c>
      <c r="V93" s="100">
        <f>IFERROR(_xll.qlRateHelperPillarDate(O93,Trigger),"--")</f>
        <v>50053</v>
      </c>
      <c r="X93" s="162" t="str">
        <f t="shared" si="17"/>
        <v/>
      </c>
      <c r="Y93" s="162" t="e">
        <v>#N/A</v>
      </c>
      <c r="Z93" s="162" t="str">
        <f>IFERROR(_xll.qlRateHelperQuoteName(Y93,Trigger),"")</f>
        <v/>
      </c>
      <c r="AA93" s="162" t="str">
        <f>IFERROR(_xll.qlRateHelperRate(Y93,Trigger),"")</f>
        <v/>
      </c>
      <c r="AB93" s="162" t="str">
        <f>IF(ISERROR(_xll.qlSwapRateHelperSpread($Y93)),IF(ISERROR(_xll.qlFuturesRateHelperConvexityAdjustment($Y93)),"",_xll.qlFuturesRateHelperConvexityAdjustment($Y93)),_xll.qlSwapRateHelperSpread($Y93))</f>
        <v/>
      </c>
      <c r="AC93" s="162" t="str">
        <f>IFERROR(_xll.qlRateHelperEarliestDate(Y93,Trigger),"")</f>
        <v/>
      </c>
      <c r="AD93" s="162" t="str">
        <f>IFERROR(_xll.qlRateHelperPillarDate(Y93,Trigger),"")</f>
        <v/>
      </c>
      <c r="AE93" s="184" t="e">
        <v>#N/A</v>
      </c>
    </row>
    <row r="94" spans="1:31" x14ac:dyDescent="0.2">
      <c r="A94" s="62" t="str">
        <f>Quote!AF91</f>
        <v>SW</v>
      </c>
      <c r="B94" s="63" t="str">
        <f>Quote!AG91</f>
        <v>17Y</v>
      </c>
      <c r="C94" s="64" t="s">
        <v>6</v>
      </c>
      <c r="D94" s="64" t="s">
        <v>8</v>
      </c>
      <c r="E94" s="64" t="s">
        <v>7</v>
      </c>
      <c r="F94" s="64" t="s">
        <v>132</v>
      </c>
      <c r="G94" s="64" t="str">
        <f t="shared" si="14"/>
        <v>Euribor6MMX#0006</v>
      </c>
      <c r="H94" s="62" t="str">
        <f>IF(ISBLANK(Quote!AI91),"",Quote!AI91)</f>
        <v>EUR6MSW17Y=#0006</v>
      </c>
      <c r="I94" s="62" t="str">
        <f>_xll.qlCompositeQuote(Currency&amp;"6M"&amp;A94&amp;B94&amp;"_Shifted",H94,IF(J94=0,BumpValue,J94),"+",Permanent,Trigger,ObjectOverwrite)</f>
        <v>EUR6MSW17Y_Shifted#0006</v>
      </c>
      <c r="J94" s="122">
        <v>0</v>
      </c>
      <c r="K94" s="128">
        <v>0</v>
      </c>
      <c r="L94" s="67" t="str">
        <f>_xll.qlSwapRateHelper2(,IF(Sensitivity,I94,H94),,B94,Calendar,D94,E94,F94,G94,K94,C94,Discounting,PillarDate,,Permanent,Trigger,ObjectOverwrite)</f>
        <v>obj_0032d#0006</v>
      </c>
      <c r="N94" s="10" t="str">
        <f t="shared" si="18"/>
        <v>SW</v>
      </c>
      <c r="O94" s="95" t="str">
        <f t="shared" si="19"/>
        <v>obj_003c6#0006</v>
      </c>
      <c r="P94" s="146" t="str">
        <f>IFERROR(_xll.qlRateHelperQuoteName(O94,Trigger),"--")</f>
        <v>EUR6MSW21Y_Shifted</v>
      </c>
      <c r="Q94" s="99">
        <f>IFERROR(_xll.qlRateHelperQuoteValue($O94,Trigger),"--")</f>
        <v>1.21370622E-2</v>
      </c>
      <c r="R94" s="141" t="b">
        <v>1</v>
      </c>
      <c r="S94" s="95">
        <v>20</v>
      </c>
      <c r="T94" s="95">
        <v>1</v>
      </c>
      <c r="U94" s="100">
        <f>IFERROR(_xll.qlRateHelperEarliestDate(O94,Trigger),"--")</f>
        <v>42748</v>
      </c>
      <c r="V94" s="100">
        <f>IFERROR(_xll.qlRateHelperPillarDate(O94,Trigger),"--")</f>
        <v>50418</v>
      </c>
      <c r="X94" s="162" t="str">
        <f t="shared" si="17"/>
        <v/>
      </c>
      <c r="Y94" s="162" t="e">
        <v>#N/A</v>
      </c>
      <c r="Z94" s="162" t="str">
        <f>IFERROR(_xll.qlRateHelperQuoteName(Y94,Trigger),"")</f>
        <v/>
      </c>
      <c r="AA94" s="162" t="str">
        <f>IFERROR(_xll.qlRateHelperRate(Y94,Trigger),"")</f>
        <v/>
      </c>
      <c r="AB94" s="162" t="str">
        <f>IF(ISERROR(_xll.qlSwapRateHelperSpread($Y94)),IF(ISERROR(_xll.qlFuturesRateHelperConvexityAdjustment($Y94)),"",_xll.qlFuturesRateHelperConvexityAdjustment($Y94)),_xll.qlSwapRateHelperSpread($Y94))</f>
        <v/>
      </c>
      <c r="AC94" s="162" t="str">
        <f>IFERROR(_xll.qlRateHelperEarliestDate(Y94,Trigger),"")</f>
        <v/>
      </c>
      <c r="AD94" s="162" t="str">
        <f>IFERROR(_xll.qlRateHelperPillarDate(Y94,Trigger),"")</f>
        <v/>
      </c>
      <c r="AE94" s="184" t="e">
        <v>#N/A</v>
      </c>
    </row>
    <row r="95" spans="1:31" x14ac:dyDescent="0.2">
      <c r="A95" s="62" t="str">
        <f>Quote!AF92</f>
        <v>SW</v>
      </c>
      <c r="B95" s="63" t="str">
        <f>Quote!AG92</f>
        <v>18Y</v>
      </c>
      <c r="C95" s="64" t="s">
        <v>6</v>
      </c>
      <c r="D95" s="64" t="s">
        <v>8</v>
      </c>
      <c r="E95" s="64" t="s">
        <v>7</v>
      </c>
      <c r="F95" s="64" t="s">
        <v>132</v>
      </c>
      <c r="G95" s="64" t="str">
        <f t="shared" si="14"/>
        <v>Euribor6MMX#0006</v>
      </c>
      <c r="H95" s="62" t="str">
        <f>IF(ISBLANK(Quote!AI92),"",Quote!AI92)</f>
        <v>EUR6MSW18Y=#0006</v>
      </c>
      <c r="I95" s="62" t="str">
        <f>_xll.qlCompositeQuote(Currency&amp;"6M"&amp;A95&amp;B95&amp;"_Shifted",H95,IF(J95=0,BumpValue,J95),"+",Permanent,Trigger,ObjectOverwrite)</f>
        <v>EUR6MSW18Y_Shifted#0006</v>
      </c>
      <c r="J95" s="122">
        <v>0</v>
      </c>
      <c r="K95" s="128">
        <v>0</v>
      </c>
      <c r="L95" s="67" t="str">
        <f>_xll.qlSwapRateHelper2(,IF(Sensitivity,I95,H95),,B95,Calendar,D95,E95,F95,G95,K95,C95,Discounting,PillarDate,,Permanent,Trigger,ObjectOverwrite)</f>
        <v>obj_00397#0006</v>
      </c>
      <c r="N95" s="10" t="str">
        <f t="shared" si="18"/>
        <v>SW</v>
      </c>
      <c r="O95" s="95" t="str">
        <f t="shared" si="19"/>
        <v>obj_0036a#0006</v>
      </c>
      <c r="P95" s="146" t="str">
        <f>IFERROR(_xll.qlRateHelperQuoteName(O95,Trigger),"--")</f>
        <v>EUR6MSW22Y_Shifted</v>
      </c>
      <c r="Q95" s="99">
        <f>IFERROR(_xll.qlRateHelperQuoteValue($O95,Trigger),"--")</f>
        <v>1.2251931860000001E-2</v>
      </c>
      <c r="R95" s="141" t="b">
        <v>1</v>
      </c>
      <c r="S95" s="95">
        <v>20</v>
      </c>
      <c r="T95" s="95">
        <v>1</v>
      </c>
      <c r="U95" s="100">
        <f>IFERROR(_xll.qlRateHelperEarliestDate(O95,Trigger),"--")</f>
        <v>42748</v>
      </c>
      <c r="V95" s="100">
        <f>IFERROR(_xll.qlRateHelperPillarDate(O95,Trigger),"--")</f>
        <v>50783</v>
      </c>
      <c r="X95" s="162" t="str">
        <f t="shared" si="17"/>
        <v/>
      </c>
      <c r="Y95" s="162" t="e">
        <v>#N/A</v>
      </c>
      <c r="Z95" s="162" t="str">
        <f>IFERROR(_xll.qlRateHelperQuoteName(Y95,Trigger),"")</f>
        <v/>
      </c>
      <c r="AA95" s="162" t="str">
        <f>IFERROR(_xll.qlRateHelperRate(Y95,Trigger),"")</f>
        <v/>
      </c>
      <c r="AB95" s="162" t="str">
        <f>IF(ISERROR(_xll.qlSwapRateHelperSpread($Y95)),IF(ISERROR(_xll.qlFuturesRateHelperConvexityAdjustment($Y95)),"",_xll.qlFuturesRateHelperConvexityAdjustment($Y95)),_xll.qlSwapRateHelperSpread($Y95))</f>
        <v/>
      </c>
      <c r="AC95" s="162" t="str">
        <f>IFERROR(_xll.qlRateHelperEarliestDate(Y95,Trigger),"")</f>
        <v/>
      </c>
      <c r="AD95" s="162" t="str">
        <f>IFERROR(_xll.qlRateHelperPillarDate(Y95,Trigger),"")</f>
        <v/>
      </c>
      <c r="AE95" s="184" t="e">
        <v>#N/A</v>
      </c>
    </row>
    <row r="96" spans="1:31" x14ac:dyDescent="0.2">
      <c r="A96" s="62" t="str">
        <f>Quote!AF93</f>
        <v>SW</v>
      </c>
      <c r="B96" s="63" t="str">
        <f>Quote!AG93</f>
        <v>19Y</v>
      </c>
      <c r="C96" s="64" t="s">
        <v>6</v>
      </c>
      <c r="D96" s="64" t="s">
        <v>8</v>
      </c>
      <c r="E96" s="64" t="s">
        <v>7</v>
      </c>
      <c r="F96" s="64" t="s">
        <v>132</v>
      </c>
      <c r="G96" s="64" t="str">
        <f t="shared" si="14"/>
        <v>Euribor6MMX#0006</v>
      </c>
      <c r="H96" s="62" t="str">
        <f>IF(ISBLANK(Quote!AI93),"",Quote!AI93)</f>
        <v>EUR6MSW19Y=#0006</v>
      </c>
      <c r="I96" s="62" t="str">
        <f>_xll.qlCompositeQuote(Currency&amp;"6M"&amp;A96&amp;B96&amp;"_Shifted",H96,IF(J96=0,BumpValue,J96),"+",Permanent,Trigger,ObjectOverwrite)</f>
        <v>EUR6MSW19Y_Shifted#0006</v>
      </c>
      <c r="J96" s="122">
        <v>0</v>
      </c>
      <c r="K96" s="128">
        <v>0</v>
      </c>
      <c r="L96" s="67" t="str">
        <f>_xll.qlSwapRateHelper2(,IF(Sensitivity,I96,H96),,B96,Calendar,D96,E96,F96,G96,K96,C96,Discounting,PillarDate,,Permanent,Trigger,ObjectOverwrite)</f>
        <v>obj_003cc#0006</v>
      </c>
      <c r="N96" s="10" t="str">
        <f t="shared" si="18"/>
        <v>SW</v>
      </c>
      <c r="O96" s="95" t="str">
        <f t="shared" si="19"/>
        <v>obj_0037e#0006</v>
      </c>
      <c r="P96" s="146" t="str">
        <f>IFERROR(_xll.qlRateHelperQuoteName(O96,Trigger),"--")</f>
        <v>EUR6MSW23Y_Shifted</v>
      </c>
      <c r="Q96" s="99">
        <f>IFERROR(_xll.qlRateHelperQuoteValue($O96,Trigger),"--")</f>
        <v>1.2341208290000001E-2</v>
      </c>
      <c r="R96" s="141" t="b">
        <v>1</v>
      </c>
      <c r="S96" s="95">
        <v>20</v>
      </c>
      <c r="T96" s="95">
        <v>1</v>
      </c>
      <c r="U96" s="100">
        <f>IFERROR(_xll.qlRateHelperEarliestDate(O96,Trigger),"--")</f>
        <v>42748</v>
      </c>
      <c r="V96" s="100">
        <f>IFERROR(_xll.qlRateHelperPillarDate(O96,Trigger),"--")</f>
        <v>51148</v>
      </c>
      <c r="X96" s="162" t="str">
        <f t="shared" si="17"/>
        <v/>
      </c>
      <c r="Y96" s="162" t="e">
        <v>#N/A</v>
      </c>
      <c r="Z96" s="162" t="str">
        <f>IFERROR(_xll.qlRateHelperQuoteName(Y96,Trigger),"")</f>
        <v/>
      </c>
      <c r="AA96" s="162" t="str">
        <f>IFERROR(_xll.qlRateHelperRate(Y96,Trigger),"")</f>
        <v/>
      </c>
      <c r="AB96" s="162" t="str">
        <f>IF(ISERROR(_xll.qlSwapRateHelperSpread($Y96)),IF(ISERROR(_xll.qlFuturesRateHelperConvexityAdjustment($Y96)),"",_xll.qlFuturesRateHelperConvexityAdjustment($Y96)),_xll.qlSwapRateHelperSpread($Y96))</f>
        <v/>
      </c>
      <c r="AC96" s="162" t="str">
        <f>IFERROR(_xll.qlRateHelperEarliestDate(Y96,Trigger),"")</f>
        <v/>
      </c>
      <c r="AD96" s="162" t="str">
        <f>IFERROR(_xll.qlRateHelperPillarDate(Y96,Trigger),"")</f>
        <v/>
      </c>
      <c r="AE96" s="184" t="e">
        <v>#N/A</v>
      </c>
    </row>
    <row r="97" spans="1:31" x14ac:dyDescent="0.2">
      <c r="A97" s="62" t="str">
        <f>Quote!AF94</f>
        <v>SW</v>
      </c>
      <c r="B97" s="63" t="str">
        <f>Quote!AG94</f>
        <v>20Y</v>
      </c>
      <c r="C97" s="64" t="s">
        <v>6</v>
      </c>
      <c r="D97" s="64" t="s">
        <v>8</v>
      </c>
      <c r="E97" s="64" t="s">
        <v>7</v>
      </c>
      <c r="F97" s="64" t="s">
        <v>132</v>
      </c>
      <c r="G97" s="64" t="str">
        <f t="shared" si="14"/>
        <v>Euribor6MMX#0006</v>
      </c>
      <c r="H97" s="62" t="str">
        <f>IF(ISBLANK(Quote!AI94),"",Quote!AI94)</f>
        <v>EUR6MSW20Y=#0006</v>
      </c>
      <c r="I97" s="62" t="str">
        <f>_xll.qlCompositeQuote(Currency&amp;"6M"&amp;A97&amp;B97&amp;"_Shifted",H97,IF(J97=0,BumpValue,J97),"+",Permanent,Trigger,ObjectOverwrite)</f>
        <v>EUR6MSW20Y_Shifted#0006</v>
      </c>
      <c r="J97" s="122">
        <v>0</v>
      </c>
      <c r="K97" s="128">
        <v>0</v>
      </c>
      <c r="L97" s="67" t="str">
        <f>_xll.qlSwapRateHelper2(,IF(Sensitivity,I97,H97),,B97,Calendar,D97,E97,F97,G97,K97,C97,Discounting,PillarDate,,Permanent,Trigger,ObjectOverwrite)</f>
        <v>obj_003aa#0006</v>
      </c>
      <c r="N97" s="10" t="str">
        <f t="shared" si="18"/>
        <v>SW</v>
      </c>
      <c r="O97" s="95" t="str">
        <f t="shared" si="19"/>
        <v>obj_0033e#0006</v>
      </c>
      <c r="P97" s="146" t="str">
        <f>IFERROR(_xll.qlRateHelperQuoteName(O97,Trigger),"--")</f>
        <v>EUR6MSW24Y_Shifted</v>
      </c>
      <c r="Q97" s="99">
        <f>IFERROR(_xll.qlRateHelperQuoteValue($O97,Trigger),"--")</f>
        <v>1.2412880440000001E-2</v>
      </c>
      <c r="R97" s="141" t="b">
        <v>1</v>
      </c>
      <c r="S97" s="95">
        <v>20</v>
      </c>
      <c r="T97" s="95">
        <v>1</v>
      </c>
      <c r="U97" s="100">
        <f>IFERROR(_xll.qlRateHelperEarliestDate(O97,Trigger),"--")</f>
        <v>42748</v>
      </c>
      <c r="V97" s="100">
        <f>IFERROR(_xll.qlRateHelperPillarDate(O97,Trigger),"--")</f>
        <v>51515</v>
      </c>
      <c r="X97" s="162" t="str">
        <f t="shared" si="17"/>
        <v/>
      </c>
      <c r="Y97" s="162" t="e">
        <v>#N/A</v>
      </c>
      <c r="Z97" s="162" t="str">
        <f>IFERROR(_xll.qlRateHelperQuoteName(Y97,Trigger),"")</f>
        <v/>
      </c>
      <c r="AA97" s="162" t="str">
        <f>IFERROR(_xll.qlRateHelperRate(Y97,Trigger),"")</f>
        <v/>
      </c>
      <c r="AB97" s="162" t="str">
        <f>IF(ISERROR(_xll.qlSwapRateHelperSpread($Y97)),IF(ISERROR(_xll.qlFuturesRateHelperConvexityAdjustment($Y97)),"",_xll.qlFuturesRateHelperConvexityAdjustment($Y97)),_xll.qlSwapRateHelperSpread($Y97))</f>
        <v/>
      </c>
      <c r="AC97" s="162" t="str">
        <f>IFERROR(_xll.qlRateHelperEarliestDate(Y97,Trigger),"")</f>
        <v/>
      </c>
      <c r="AD97" s="162" t="str">
        <f>IFERROR(_xll.qlRateHelperPillarDate(Y97,Trigger),"")</f>
        <v/>
      </c>
      <c r="AE97" s="184" t="e">
        <v>#N/A</v>
      </c>
    </row>
    <row r="98" spans="1:31" x14ac:dyDescent="0.2">
      <c r="A98" s="62" t="str">
        <f>Quote!AF95</f>
        <v>SW</v>
      </c>
      <c r="B98" s="63" t="str">
        <f>Quote!AG95</f>
        <v>21Y</v>
      </c>
      <c r="C98" s="64" t="s">
        <v>6</v>
      </c>
      <c r="D98" s="64" t="s">
        <v>8</v>
      </c>
      <c r="E98" s="64" t="s">
        <v>7</v>
      </c>
      <c r="F98" s="64" t="s">
        <v>132</v>
      </c>
      <c r="G98" s="64" t="str">
        <f t="shared" si="14"/>
        <v>Euribor6MMX#0006</v>
      </c>
      <c r="H98" s="62" t="str">
        <f>IF(ISBLANK(Quote!AI95),"",Quote!AI95)</f>
        <v>EUR6MSW21Y=#0006</v>
      </c>
      <c r="I98" s="62" t="str">
        <f>_xll.qlCompositeQuote(Currency&amp;"6M"&amp;A98&amp;B98&amp;"_Shifted",H98,IF(J98=0,BumpValue,J98),"+",Permanent,Trigger,ObjectOverwrite)</f>
        <v>EUR6MSW21Y_Shifted#0006</v>
      </c>
      <c r="J98" s="122">
        <v>0</v>
      </c>
      <c r="K98" s="128">
        <v>0</v>
      </c>
      <c r="L98" s="67" t="str">
        <f>_xll.qlSwapRateHelper2(,IF(Sensitivity,I98,H98),,B98,Calendar,D98,E98,F98,G98,K98,C98,Discounting,PillarDate,,Permanent,Trigger,ObjectOverwrite)</f>
        <v>obj_003c6#0006</v>
      </c>
      <c r="N98" s="10" t="str">
        <f t="shared" si="18"/>
        <v>SW</v>
      </c>
      <c r="O98" s="95" t="str">
        <f t="shared" si="19"/>
        <v>obj_00369#0006</v>
      </c>
      <c r="P98" s="146" t="str">
        <f>IFERROR(_xll.qlRateHelperQuoteName(O98,Trigger),"--")</f>
        <v>EUR6MSW25Y_Shifted</v>
      </c>
      <c r="Q98" s="99">
        <f>IFERROR(_xll.qlRateHelperQuoteValue($O98,Trigger),"--")</f>
        <v>1.2470000000000002E-2</v>
      </c>
      <c r="R98" s="141" t="b">
        <v>1</v>
      </c>
      <c r="S98" s="95">
        <v>20</v>
      </c>
      <c r="T98" s="95">
        <v>1</v>
      </c>
      <c r="U98" s="100">
        <f>IFERROR(_xll.qlRateHelperEarliestDate(O98,Trigger),"--")</f>
        <v>42748</v>
      </c>
      <c r="V98" s="100">
        <f>IFERROR(_xll.qlRateHelperPillarDate(O98,Trigger),"--")</f>
        <v>51879</v>
      </c>
      <c r="X98" s="162" t="str">
        <f t="shared" si="17"/>
        <v/>
      </c>
      <c r="Y98" s="162" t="e">
        <v>#N/A</v>
      </c>
      <c r="Z98" s="162" t="str">
        <f>IFERROR(_xll.qlRateHelperQuoteName(Y98,Trigger),"")</f>
        <v/>
      </c>
      <c r="AA98" s="162" t="str">
        <f>IFERROR(_xll.qlRateHelperRate(Y98,Trigger),"")</f>
        <v/>
      </c>
      <c r="AB98" s="162" t="str">
        <f>IF(ISERROR(_xll.qlSwapRateHelperSpread($Y98)),IF(ISERROR(_xll.qlFuturesRateHelperConvexityAdjustment($Y98)),"",_xll.qlFuturesRateHelperConvexityAdjustment($Y98)),_xll.qlSwapRateHelperSpread($Y98))</f>
        <v/>
      </c>
      <c r="AC98" s="162" t="str">
        <f>IFERROR(_xll.qlRateHelperEarliestDate(Y98,Trigger),"")</f>
        <v/>
      </c>
      <c r="AD98" s="162" t="str">
        <f>IFERROR(_xll.qlRateHelperPillarDate(Y98,Trigger),"")</f>
        <v/>
      </c>
      <c r="AE98" s="184" t="e">
        <v>#N/A</v>
      </c>
    </row>
    <row r="99" spans="1:31" x14ac:dyDescent="0.2">
      <c r="A99" s="62" t="str">
        <f>Quote!AF96</f>
        <v>SW</v>
      </c>
      <c r="B99" s="63" t="str">
        <f>Quote!AG96</f>
        <v>22Y</v>
      </c>
      <c r="C99" s="64" t="s">
        <v>6</v>
      </c>
      <c r="D99" s="64" t="s">
        <v>8</v>
      </c>
      <c r="E99" s="64" t="s">
        <v>7</v>
      </c>
      <c r="F99" s="64" t="s">
        <v>132</v>
      </c>
      <c r="G99" s="64" t="str">
        <f t="shared" si="14"/>
        <v>Euribor6MMX#0006</v>
      </c>
      <c r="H99" s="62" t="str">
        <f>IF(ISBLANK(Quote!AI96),"",Quote!AI96)</f>
        <v>EUR6MSW22Y=#0006</v>
      </c>
      <c r="I99" s="62" t="str">
        <f>_xll.qlCompositeQuote(Currency&amp;"6M"&amp;A99&amp;B99&amp;"_Shifted",H99,IF(J99=0,BumpValue,J99),"+",Permanent,Trigger,ObjectOverwrite)</f>
        <v>EUR6MSW22Y_Shifted#0006</v>
      </c>
      <c r="J99" s="122">
        <v>0</v>
      </c>
      <c r="K99" s="128">
        <v>0</v>
      </c>
      <c r="L99" s="67" t="str">
        <f>_xll.qlSwapRateHelper2(,IF(Sensitivity,I99,H99),,B99,Calendar,D99,E99,F99,G99,K99,C99,Discounting,PillarDate,,Permanent,Trigger,ObjectOverwrite)</f>
        <v>obj_0036a#0006</v>
      </c>
      <c r="N99" s="10" t="str">
        <f t="shared" si="18"/>
        <v>SW</v>
      </c>
      <c r="O99" s="95" t="str">
        <f t="shared" si="19"/>
        <v>obj_00352#0006</v>
      </c>
      <c r="P99" s="146" t="str">
        <f>IFERROR(_xll.qlRateHelperQuoteName(O99,Trigger),"--")</f>
        <v>EUR6MSW26Y_Shifted</v>
      </c>
      <c r="Q99" s="99">
        <f>IFERROR(_xll.qlRateHelperQuoteValue($O99,Trigger),"--")</f>
        <v>1.251975327E-2</v>
      </c>
      <c r="R99" s="141" t="b">
        <v>1</v>
      </c>
      <c r="S99" s="95">
        <v>20</v>
      </c>
      <c r="T99" s="95">
        <v>1</v>
      </c>
      <c r="U99" s="100">
        <f>IFERROR(_xll.qlRateHelperEarliestDate(O99,Trigger),"--")</f>
        <v>42748</v>
      </c>
      <c r="V99" s="100">
        <f>IFERROR(_xll.qlRateHelperPillarDate(O99,Trigger),"--")</f>
        <v>52244</v>
      </c>
      <c r="X99" s="162" t="str">
        <f t="shared" si="17"/>
        <v/>
      </c>
      <c r="Y99" s="162" t="e">
        <v>#N/A</v>
      </c>
      <c r="Z99" s="162" t="str">
        <f>IFERROR(_xll.qlRateHelperQuoteName(Y99,Trigger),"")</f>
        <v/>
      </c>
      <c r="AA99" s="162" t="str">
        <f>IFERROR(_xll.qlRateHelperRate(Y99,Trigger),"")</f>
        <v/>
      </c>
      <c r="AB99" s="162" t="str">
        <f>IF(ISERROR(_xll.qlSwapRateHelperSpread($Y99)),IF(ISERROR(_xll.qlFuturesRateHelperConvexityAdjustment($Y99)),"",_xll.qlFuturesRateHelperConvexityAdjustment($Y99)),_xll.qlSwapRateHelperSpread($Y99))</f>
        <v/>
      </c>
      <c r="AC99" s="162" t="str">
        <f>IFERROR(_xll.qlRateHelperEarliestDate(Y99,Trigger),"")</f>
        <v/>
      </c>
      <c r="AD99" s="162" t="str">
        <f>IFERROR(_xll.qlRateHelperPillarDate(Y99,Trigger),"")</f>
        <v/>
      </c>
      <c r="AE99" s="184" t="e">
        <v>#N/A</v>
      </c>
    </row>
    <row r="100" spans="1:31" x14ac:dyDescent="0.2">
      <c r="A100" s="62" t="str">
        <f>Quote!AF97</f>
        <v>SW</v>
      </c>
      <c r="B100" s="63" t="str">
        <f>Quote!AG97</f>
        <v>23Y</v>
      </c>
      <c r="C100" s="64" t="s">
        <v>6</v>
      </c>
      <c r="D100" s="64" t="s">
        <v>8</v>
      </c>
      <c r="E100" s="64" t="s">
        <v>7</v>
      </c>
      <c r="F100" s="64" t="s">
        <v>132</v>
      </c>
      <c r="G100" s="64" t="str">
        <f t="shared" si="14"/>
        <v>Euribor6MMX#0006</v>
      </c>
      <c r="H100" s="62" t="str">
        <f>IF(ISBLANK(Quote!AI97),"",Quote!AI97)</f>
        <v>EUR6MSW23Y=#0006</v>
      </c>
      <c r="I100" s="62" t="str">
        <f>_xll.qlCompositeQuote(Currency&amp;"6M"&amp;A100&amp;B100&amp;"_Shifted",H100,IF(J100=0,BumpValue,J100),"+",Permanent,Trigger,ObjectOverwrite)</f>
        <v>EUR6MSW23Y_Shifted#0006</v>
      </c>
      <c r="J100" s="122">
        <v>0</v>
      </c>
      <c r="K100" s="128">
        <v>0</v>
      </c>
      <c r="L100" s="67" t="str">
        <f>_xll.qlSwapRateHelper2(,IF(Sensitivity,I100,H100),,B100,Calendar,D100,E100,F100,G100,K100,C100,Discounting,PillarDate,,Permanent,Trigger,ObjectOverwrite)</f>
        <v>obj_0037e#0006</v>
      </c>
      <c r="N100" s="10" t="str">
        <f t="shared" si="18"/>
        <v>SW</v>
      </c>
      <c r="O100" s="95" t="str">
        <f t="shared" si="19"/>
        <v>obj_00385#0006</v>
      </c>
      <c r="P100" s="146" t="str">
        <f>IFERROR(_xll.qlRateHelperQuoteName(O100,Trigger),"--")</f>
        <v>EUR6MSW27Y_Shifted</v>
      </c>
      <c r="Q100" s="99">
        <f>IFERROR(_xll.qlRateHelperQuoteValue($O100,Trigger),"--")</f>
        <v>1.256324862E-2</v>
      </c>
      <c r="R100" s="141" t="b">
        <v>1</v>
      </c>
      <c r="S100" s="95">
        <v>20</v>
      </c>
      <c r="T100" s="95">
        <v>1</v>
      </c>
      <c r="U100" s="100">
        <f>IFERROR(_xll.qlRateHelperEarliestDate(O100,Trigger),"--")</f>
        <v>42748</v>
      </c>
      <c r="V100" s="100">
        <f>IFERROR(_xll.qlRateHelperPillarDate(O100,Trigger),"--")</f>
        <v>52609</v>
      </c>
      <c r="X100" s="162" t="str">
        <f t="shared" si="17"/>
        <v/>
      </c>
      <c r="Y100" s="162" t="e">
        <v>#N/A</v>
      </c>
      <c r="Z100" s="162" t="str">
        <f>IFERROR(_xll.qlRateHelperQuoteName(Y100,Trigger),"")</f>
        <v/>
      </c>
      <c r="AA100" s="162" t="str">
        <f>IFERROR(_xll.qlRateHelperRate(Y100,Trigger),"")</f>
        <v/>
      </c>
      <c r="AB100" s="162" t="str">
        <f>IF(ISERROR(_xll.qlSwapRateHelperSpread($Y100)),IF(ISERROR(_xll.qlFuturesRateHelperConvexityAdjustment($Y100)),"",_xll.qlFuturesRateHelperConvexityAdjustment($Y100)),_xll.qlSwapRateHelperSpread($Y100))</f>
        <v/>
      </c>
      <c r="AC100" s="162" t="str">
        <f>IFERROR(_xll.qlRateHelperEarliestDate(Y100,Trigger),"")</f>
        <v/>
      </c>
      <c r="AD100" s="162" t="str">
        <f>IFERROR(_xll.qlRateHelperPillarDate(Y100,Trigger),"")</f>
        <v/>
      </c>
      <c r="AE100" s="184" t="e">
        <v>#N/A</v>
      </c>
    </row>
    <row r="101" spans="1:31" x14ac:dyDescent="0.2">
      <c r="A101" s="62" t="str">
        <f>Quote!AF98</f>
        <v>SW</v>
      </c>
      <c r="B101" s="63" t="str">
        <f>Quote!AG98</f>
        <v>24Y</v>
      </c>
      <c r="C101" s="64" t="s">
        <v>6</v>
      </c>
      <c r="D101" s="64" t="s">
        <v>8</v>
      </c>
      <c r="E101" s="64" t="s">
        <v>7</v>
      </c>
      <c r="F101" s="64" t="s">
        <v>132</v>
      </c>
      <c r="G101" s="64" t="str">
        <f t="shared" si="14"/>
        <v>Euribor6MMX#0006</v>
      </c>
      <c r="H101" s="62" t="str">
        <f>IF(ISBLANK(Quote!AI98),"",Quote!AI98)</f>
        <v>EUR6MSW24Y=#0006</v>
      </c>
      <c r="I101" s="62" t="str">
        <f>_xll.qlCompositeQuote(Currency&amp;"6M"&amp;A101&amp;B101&amp;"_Shifted",H101,IF(J101=0,BumpValue,J101),"+",Permanent,Trigger,ObjectOverwrite)</f>
        <v>EUR6MSW24Y_Shifted#0006</v>
      </c>
      <c r="J101" s="122">
        <v>0</v>
      </c>
      <c r="K101" s="128">
        <v>0</v>
      </c>
      <c r="L101" s="67" t="str">
        <f>_xll.qlSwapRateHelper2(,IF(Sensitivity,I101,H101),,B101,Calendar,D101,E101,F101,G101,K101,C101,Discounting,PillarDate,,Permanent,Trigger,ObjectOverwrite)</f>
        <v>obj_0033e#0006</v>
      </c>
      <c r="N101" s="10" t="str">
        <f t="shared" si="18"/>
        <v>SW</v>
      </c>
      <c r="O101" s="95" t="str">
        <f t="shared" si="19"/>
        <v>obj_003c1#0006</v>
      </c>
      <c r="P101" s="146" t="str">
        <f>IFERROR(_xll.qlRateHelperQuoteName(O101,Trigger),"--")</f>
        <v>EUR6MSW28Y_Shifted</v>
      </c>
      <c r="Q101" s="99">
        <f>IFERROR(_xll.qlRateHelperQuoteValue($O101,Trigger),"--")</f>
        <v>1.2601871590000001E-2</v>
      </c>
      <c r="R101" s="141" t="b">
        <v>1</v>
      </c>
      <c r="S101" s="95">
        <v>20</v>
      </c>
      <c r="T101" s="95">
        <v>1</v>
      </c>
      <c r="U101" s="100">
        <f>IFERROR(_xll.qlRateHelperEarliestDate(O101,Trigger),"--")</f>
        <v>42748</v>
      </c>
      <c r="V101" s="100">
        <f>IFERROR(_xll.qlRateHelperPillarDate(O101,Trigger),"--")</f>
        <v>52975</v>
      </c>
      <c r="X101" s="162" t="str">
        <f t="shared" si="17"/>
        <v/>
      </c>
      <c r="Y101" s="162" t="e">
        <v>#N/A</v>
      </c>
      <c r="Z101" s="162" t="str">
        <f>IFERROR(_xll.qlRateHelperQuoteName(Y101,Trigger),"")</f>
        <v/>
      </c>
      <c r="AA101" s="162" t="str">
        <f>IFERROR(_xll.qlRateHelperRate(Y101,Trigger),"")</f>
        <v/>
      </c>
      <c r="AB101" s="162" t="str">
        <f>IF(ISERROR(_xll.qlSwapRateHelperSpread($Y101)),IF(ISERROR(_xll.qlFuturesRateHelperConvexityAdjustment($Y101)),"",_xll.qlFuturesRateHelperConvexityAdjustment($Y101)),_xll.qlSwapRateHelperSpread($Y101))</f>
        <v/>
      </c>
      <c r="AC101" s="162" t="str">
        <f>IFERROR(_xll.qlRateHelperEarliestDate(Y101,Trigger),"")</f>
        <v/>
      </c>
      <c r="AD101" s="162" t="str">
        <f>IFERROR(_xll.qlRateHelperPillarDate(Y101,Trigger),"")</f>
        <v/>
      </c>
      <c r="AE101" s="184" t="e">
        <v>#N/A</v>
      </c>
    </row>
    <row r="102" spans="1:31" x14ac:dyDescent="0.2">
      <c r="A102" s="62" t="str">
        <f>Quote!AF99</f>
        <v>SW</v>
      </c>
      <c r="B102" s="63" t="str">
        <f>Quote!AG99</f>
        <v>25Y</v>
      </c>
      <c r="C102" s="64" t="s">
        <v>6</v>
      </c>
      <c r="D102" s="64" t="s">
        <v>8</v>
      </c>
      <c r="E102" s="64" t="s">
        <v>7</v>
      </c>
      <c r="F102" s="64" t="s">
        <v>132</v>
      </c>
      <c r="G102" s="64" t="str">
        <f t="shared" si="14"/>
        <v>Euribor6MMX#0006</v>
      </c>
      <c r="H102" s="62" t="str">
        <f>IF(ISBLANK(Quote!AI99),"",Quote!AI99)</f>
        <v>EUR6MSW25Y=#0006</v>
      </c>
      <c r="I102" s="62" t="str">
        <f>_xll.qlCompositeQuote(Currency&amp;"6M"&amp;A102&amp;B102&amp;"_Shifted",H102,IF(J102=0,BumpValue,J102),"+",Permanent,Trigger,ObjectOverwrite)</f>
        <v>EUR6MSW25Y_Shifted#0006</v>
      </c>
      <c r="J102" s="122">
        <v>0</v>
      </c>
      <c r="K102" s="128">
        <v>0</v>
      </c>
      <c r="L102" s="67" t="str">
        <f>_xll.qlSwapRateHelper2(,IF(Sensitivity,I102,H102),,B102,Calendar,D102,E102,F102,G102,K102,C102,Discounting,PillarDate,,Permanent,Trigger,ObjectOverwrite)</f>
        <v>obj_00369#0006</v>
      </c>
      <c r="N102" s="10" t="str">
        <f t="shared" si="18"/>
        <v>SW</v>
      </c>
      <c r="O102" s="95" t="str">
        <f t="shared" si="19"/>
        <v>obj_00380#0006</v>
      </c>
      <c r="P102" s="146" t="str">
        <f>IFERROR(_xll.qlRateHelperQuoteName(O102,Trigger),"--")</f>
        <v>EUR6MSW29Y_Shifted</v>
      </c>
      <c r="Q102" s="99">
        <f>IFERROR(_xll.qlRateHelperQuoteValue($O102,Trigger),"--")</f>
        <v>1.263377846E-2</v>
      </c>
      <c r="R102" s="141" t="b">
        <v>1</v>
      </c>
      <c r="S102" s="95">
        <v>20</v>
      </c>
      <c r="T102" s="95">
        <v>1</v>
      </c>
      <c r="U102" s="100">
        <f>IFERROR(_xll.qlRateHelperEarliestDate(O102,Trigger),"--")</f>
        <v>42748</v>
      </c>
      <c r="V102" s="100">
        <f>IFERROR(_xll.qlRateHelperPillarDate(O102,Trigger),"--")</f>
        <v>53342</v>
      </c>
      <c r="X102" s="162" t="str">
        <f t="shared" si="17"/>
        <v/>
      </c>
      <c r="Y102" s="162" t="e">
        <v>#N/A</v>
      </c>
      <c r="Z102" s="162" t="str">
        <f>IFERROR(_xll.qlRateHelperQuoteName(Y102,Trigger),"")</f>
        <v/>
      </c>
      <c r="AA102" s="162" t="str">
        <f>IFERROR(_xll.qlRateHelperRate(Y102,Trigger),"")</f>
        <v/>
      </c>
      <c r="AB102" s="162" t="str">
        <f>IF(ISERROR(_xll.qlSwapRateHelperSpread($Y102)),IF(ISERROR(_xll.qlFuturesRateHelperConvexityAdjustment($Y102)),"",_xll.qlFuturesRateHelperConvexityAdjustment($Y102)),_xll.qlSwapRateHelperSpread($Y102))</f>
        <v/>
      </c>
      <c r="AC102" s="162" t="str">
        <f>IFERROR(_xll.qlRateHelperEarliestDate(Y102,Trigger),"")</f>
        <v/>
      </c>
      <c r="AD102" s="162" t="str">
        <f>IFERROR(_xll.qlRateHelperPillarDate(Y102,Trigger),"")</f>
        <v/>
      </c>
      <c r="AE102" s="184" t="e">
        <v>#N/A</v>
      </c>
    </row>
    <row r="103" spans="1:31" x14ac:dyDescent="0.2">
      <c r="A103" s="62" t="str">
        <f>Quote!AF100</f>
        <v>SW</v>
      </c>
      <c r="B103" s="63" t="str">
        <f>Quote!AG100</f>
        <v>26Y</v>
      </c>
      <c r="C103" s="64" t="s">
        <v>6</v>
      </c>
      <c r="D103" s="64" t="s">
        <v>8</v>
      </c>
      <c r="E103" s="64" t="s">
        <v>7</v>
      </c>
      <c r="F103" s="64" t="s">
        <v>132</v>
      </c>
      <c r="G103" s="64" t="str">
        <f t="shared" si="14"/>
        <v>Euribor6MMX#0006</v>
      </c>
      <c r="H103" s="62" t="str">
        <f>IF(ISBLANK(Quote!AI100),"",Quote!AI100)</f>
        <v>EUR6MSW26Y=#0006</v>
      </c>
      <c r="I103" s="62" t="str">
        <f>_xll.qlCompositeQuote(Currency&amp;"6M"&amp;A103&amp;B103&amp;"_Shifted",H103,IF(J103=0,BumpValue,J103),"+",Permanent,Trigger,ObjectOverwrite)</f>
        <v>EUR6MSW26Y_Shifted#0006</v>
      </c>
      <c r="J103" s="122">
        <v>0</v>
      </c>
      <c r="K103" s="128">
        <v>0</v>
      </c>
      <c r="L103" s="67" t="str">
        <f>_xll.qlSwapRateHelper2(,IF(Sensitivity,I103,H103),,B103,Calendar,D103,E103,F103,G103,K103,C103,Discounting,PillarDate,,Permanent,Trigger,ObjectOverwrite)</f>
        <v>obj_00352#0006</v>
      </c>
      <c r="N103" s="10" t="str">
        <f t="shared" si="18"/>
        <v>SW</v>
      </c>
      <c r="O103" s="95" t="str">
        <f t="shared" si="19"/>
        <v>obj_003d8#0006</v>
      </c>
      <c r="P103" s="146" t="str">
        <f>IFERROR(_xll.qlRateHelperQuoteName(O103,Trigger),"--")</f>
        <v>EUR6MSW30Y_Shifted</v>
      </c>
      <c r="Q103" s="99">
        <f>IFERROR(_xll.qlRateHelperQuoteValue($O103,Trigger),"--")</f>
        <v>1.2659999999999999E-2</v>
      </c>
      <c r="R103" s="141" t="b">
        <v>1</v>
      </c>
      <c r="S103" s="95">
        <v>20</v>
      </c>
      <c r="T103" s="95">
        <v>1</v>
      </c>
      <c r="U103" s="100">
        <f>IFERROR(_xll.qlRateHelperEarliestDate(O103,Trigger),"--")</f>
        <v>42748</v>
      </c>
      <c r="V103" s="100">
        <f>IFERROR(_xll.qlRateHelperPillarDate(O103,Trigger),"--")</f>
        <v>53706</v>
      </c>
      <c r="X103" s="162" t="str">
        <f t="shared" si="17"/>
        <v/>
      </c>
      <c r="Y103" s="162" t="e">
        <v>#N/A</v>
      </c>
      <c r="Z103" s="162" t="str">
        <f>IFERROR(_xll.qlRateHelperQuoteName(Y103,Trigger),"")</f>
        <v/>
      </c>
      <c r="AA103" s="162" t="str">
        <f>IFERROR(_xll.qlRateHelperRate(Y103,Trigger),"")</f>
        <v/>
      </c>
      <c r="AB103" s="162" t="str">
        <f>IF(ISERROR(_xll.qlSwapRateHelperSpread($Y103)),IF(ISERROR(_xll.qlFuturesRateHelperConvexityAdjustment($Y103)),"",_xll.qlFuturesRateHelperConvexityAdjustment($Y103)),_xll.qlSwapRateHelperSpread($Y103))</f>
        <v/>
      </c>
      <c r="AC103" s="162" t="str">
        <f>IFERROR(_xll.qlRateHelperEarliestDate(Y103,Trigger),"")</f>
        <v/>
      </c>
      <c r="AD103" s="162" t="str">
        <f>IFERROR(_xll.qlRateHelperPillarDate(Y103,Trigger),"")</f>
        <v/>
      </c>
      <c r="AE103" s="184" t="e">
        <v>#N/A</v>
      </c>
    </row>
    <row r="104" spans="1:31" x14ac:dyDescent="0.2">
      <c r="A104" s="62" t="str">
        <f>Quote!AF101</f>
        <v>SW</v>
      </c>
      <c r="B104" s="63" t="str">
        <f>Quote!AG101</f>
        <v>27Y</v>
      </c>
      <c r="C104" s="64" t="s">
        <v>6</v>
      </c>
      <c r="D104" s="64" t="s">
        <v>8</v>
      </c>
      <c r="E104" s="64" t="s">
        <v>7</v>
      </c>
      <c r="F104" s="64" t="s">
        <v>132</v>
      </c>
      <c r="G104" s="64" t="str">
        <f t="shared" si="14"/>
        <v>Euribor6MMX#0006</v>
      </c>
      <c r="H104" s="62" t="str">
        <f>IF(ISBLANK(Quote!AI101),"",Quote!AI101)</f>
        <v>EUR6MSW27Y=#0006</v>
      </c>
      <c r="I104" s="62" t="str">
        <f>_xll.qlCompositeQuote(Currency&amp;"6M"&amp;A104&amp;B104&amp;"_Shifted",H104,IF(J104=0,BumpValue,J104),"+",Permanent,Trigger,ObjectOverwrite)</f>
        <v>EUR6MSW27Y_Shifted#0006</v>
      </c>
      <c r="J104" s="122">
        <v>0</v>
      </c>
      <c r="K104" s="128">
        <v>0</v>
      </c>
      <c r="L104" s="67" t="str">
        <f>_xll.qlSwapRateHelper2(,IF(Sensitivity,I104,H104),,B104,Calendar,D104,E104,F104,G104,K104,C104,Discounting,PillarDate,,Permanent,Trigger,ObjectOverwrite)</f>
        <v>obj_00385#0006</v>
      </c>
      <c r="N104" s="10" t="str">
        <f t="shared" si="18"/>
        <v>SW</v>
      </c>
      <c r="O104" s="95" t="str">
        <f t="shared" si="19"/>
        <v>obj_0038a#0006</v>
      </c>
      <c r="P104" s="146" t="str">
        <f>IFERROR(_xll.qlRateHelperQuoteName(O104,Trigger),"--")</f>
        <v>EUR6MSW31Y_Shifted</v>
      </c>
      <c r="Q104" s="99">
        <f>IFERROR(_xll.qlRateHelperQuoteValue($O104,Trigger),"--")</f>
        <v>1.268113391E-2</v>
      </c>
      <c r="R104" s="141" t="b">
        <v>1</v>
      </c>
      <c r="S104" s="95">
        <v>20</v>
      </c>
      <c r="T104" s="95">
        <v>1</v>
      </c>
      <c r="U104" s="100">
        <f>IFERROR(_xll.qlRateHelperEarliestDate(O104,Trigger),"--")</f>
        <v>42748</v>
      </c>
      <c r="V104" s="100">
        <f>IFERROR(_xll.qlRateHelperPillarDate(O104,Trigger),"--")</f>
        <v>54070</v>
      </c>
      <c r="X104" s="162" t="str">
        <f t="shared" si="17"/>
        <v/>
      </c>
      <c r="Y104" s="162" t="e">
        <v>#N/A</v>
      </c>
      <c r="Z104" s="162" t="str">
        <f>IFERROR(_xll.qlRateHelperQuoteName(Y104,Trigger),"")</f>
        <v/>
      </c>
      <c r="AA104" s="162" t="str">
        <f>IFERROR(_xll.qlRateHelperRate(Y104,Trigger),"")</f>
        <v/>
      </c>
      <c r="AB104" s="162" t="str">
        <f>IF(ISERROR(_xll.qlSwapRateHelperSpread($Y104)),IF(ISERROR(_xll.qlFuturesRateHelperConvexityAdjustment($Y104)),"",_xll.qlFuturesRateHelperConvexityAdjustment($Y104)),_xll.qlSwapRateHelperSpread($Y104))</f>
        <v/>
      </c>
      <c r="AC104" s="162" t="str">
        <f>IFERROR(_xll.qlRateHelperEarliestDate(Y104,Trigger),"")</f>
        <v/>
      </c>
      <c r="AD104" s="162" t="str">
        <f>IFERROR(_xll.qlRateHelperPillarDate(Y104,Trigger),"")</f>
        <v/>
      </c>
      <c r="AE104" s="184" t="e">
        <v>#N/A</v>
      </c>
    </row>
    <row r="105" spans="1:31" x14ac:dyDescent="0.2">
      <c r="A105" s="62" t="str">
        <f>Quote!AF102</f>
        <v>SW</v>
      </c>
      <c r="B105" s="63" t="str">
        <f>Quote!AG102</f>
        <v>28Y</v>
      </c>
      <c r="C105" s="64" t="s">
        <v>6</v>
      </c>
      <c r="D105" s="64" t="s">
        <v>8</v>
      </c>
      <c r="E105" s="64" t="s">
        <v>7</v>
      </c>
      <c r="F105" s="64" t="s">
        <v>132</v>
      </c>
      <c r="G105" s="64" t="str">
        <f t="shared" si="14"/>
        <v>Euribor6MMX#0006</v>
      </c>
      <c r="H105" s="62" t="str">
        <f>IF(ISBLANK(Quote!AI102),"",Quote!AI102)</f>
        <v>EUR6MSW28Y=#0006</v>
      </c>
      <c r="I105" s="62" t="str">
        <f>_xll.qlCompositeQuote(Currency&amp;"6M"&amp;A105&amp;B105&amp;"_Shifted",H105,IF(J105=0,BumpValue,J105),"+",Permanent,Trigger,ObjectOverwrite)</f>
        <v>EUR6MSW28Y_Shifted#0006</v>
      </c>
      <c r="J105" s="122">
        <v>0</v>
      </c>
      <c r="K105" s="128">
        <v>0</v>
      </c>
      <c r="L105" s="67" t="str">
        <f>_xll.qlSwapRateHelper2(,IF(Sensitivity,I105,H105),,B105,Calendar,D105,E105,F105,G105,K105,C105,Discounting,PillarDate,,Permanent,Trigger,ObjectOverwrite)</f>
        <v>obj_003c1#0006</v>
      </c>
      <c r="N105" s="10" t="str">
        <f t="shared" si="18"/>
        <v>SW</v>
      </c>
      <c r="O105" s="95" t="str">
        <f t="shared" si="19"/>
        <v>obj_00359#0006</v>
      </c>
      <c r="P105" s="146" t="str">
        <f>IFERROR(_xll.qlRateHelperQuoteName(O105,Trigger),"--")</f>
        <v>EUR6MSW32Y_Shifted</v>
      </c>
      <c r="Q105" s="99">
        <f>IFERROR(_xll.qlRateHelperQuoteValue($O105,Trigger),"--")</f>
        <v>1.2698803599999999E-2</v>
      </c>
      <c r="R105" s="141" t="b">
        <v>1</v>
      </c>
      <c r="S105" s="95">
        <v>20</v>
      </c>
      <c r="T105" s="95">
        <v>1</v>
      </c>
      <c r="U105" s="100">
        <f>IFERROR(_xll.qlRateHelperEarliestDate(O105,Trigger),"--")</f>
        <v>42748</v>
      </c>
      <c r="V105" s="100">
        <f>IFERROR(_xll.qlRateHelperPillarDate(O105,Trigger),"--")</f>
        <v>54436</v>
      </c>
      <c r="X105" s="162" t="str">
        <f t="shared" si="17"/>
        <v/>
      </c>
      <c r="Y105" s="162" t="e">
        <v>#N/A</v>
      </c>
      <c r="Z105" s="162" t="str">
        <f>IFERROR(_xll.qlRateHelperQuoteName(Y105,Trigger),"")</f>
        <v/>
      </c>
      <c r="AA105" s="162" t="str">
        <f>IFERROR(_xll.qlRateHelperRate(Y105,Trigger),"")</f>
        <v/>
      </c>
      <c r="AB105" s="162" t="str">
        <f>IF(ISERROR(_xll.qlSwapRateHelperSpread($Y105)),IF(ISERROR(_xll.qlFuturesRateHelperConvexityAdjustment($Y105)),"",_xll.qlFuturesRateHelperConvexityAdjustment($Y105)),_xll.qlSwapRateHelperSpread($Y105))</f>
        <v/>
      </c>
      <c r="AC105" s="162" t="str">
        <f>IFERROR(_xll.qlRateHelperEarliestDate(Y105,Trigger),"")</f>
        <v/>
      </c>
      <c r="AD105" s="162" t="str">
        <f>IFERROR(_xll.qlRateHelperPillarDate(Y105,Trigger),"")</f>
        <v/>
      </c>
      <c r="AE105" s="184" t="e">
        <v>#N/A</v>
      </c>
    </row>
    <row r="106" spans="1:31" x14ac:dyDescent="0.2">
      <c r="A106" s="62" t="str">
        <f>Quote!AF103</f>
        <v>SW</v>
      </c>
      <c r="B106" s="63" t="str">
        <f>Quote!AG103</f>
        <v>29Y</v>
      </c>
      <c r="C106" s="64" t="s">
        <v>6</v>
      </c>
      <c r="D106" s="64" t="s">
        <v>8</v>
      </c>
      <c r="E106" s="64" t="s">
        <v>7</v>
      </c>
      <c r="F106" s="64" t="s">
        <v>132</v>
      </c>
      <c r="G106" s="64" t="str">
        <f t="shared" si="14"/>
        <v>Euribor6MMX#0006</v>
      </c>
      <c r="H106" s="62" t="str">
        <f>IF(ISBLANK(Quote!AI103),"",Quote!AI103)</f>
        <v>EUR6MSW29Y=#0006</v>
      </c>
      <c r="I106" s="62" t="str">
        <f>_xll.qlCompositeQuote(Currency&amp;"6M"&amp;A106&amp;B106&amp;"_Shifted",H106,IF(J106=0,BumpValue,J106),"+",Permanent,Trigger,ObjectOverwrite)</f>
        <v>EUR6MSW29Y_Shifted#0006</v>
      </c>
      <c r="J106" s="122">
        <v>0</v>
      </c>
      <c r="K106" s="128">
        <v>0</v>
      </c>
      <c r="L106" s="67" t="str">
        <f>_xll.qlSwapRateHelper2(,IF(Sensitivity,I106,H106),,B106,Calendar,D106,E106,F106,G106,K106,C106,Discounting,PillarDate,,Permanent,Trigger,ObjectOverwrite)</f>
        <v>obj_00380#0006</v>
      </c>
      <c r="N106" s="10" t="str">
        <f t="shared" si="18"/>
        <v>SW</v>
      </c>
      <c r="O106" s="95" t="str">
        <f t="shared" si="19"/>
        <v>obj_00360#0006</v>
      </c>
      <c r="P106" s="146" t="str">
        <f>IFERROR(_xll.qlRateHelperQuoteName(O106,Trigger),"--")</f>
        <v>EUR6MSW33Y_Shifted</v>
      </c>
      <c r="Q106" s="99">
        <f>IFERROR(_xll.qlRateHelperQuoteValue($O106,Trigger),"--")</f>
        <v>1.271186535E-2</v>
      </c>
      <c r="R106" s="141" t="b">
        <v>1</v>
      </c>
      <c r="S106" s="95">
        <v>20</v>
      </c>
      <c r="T106" s="95">
        <v>1</v>
      </c>
      <c r="U106" s="100">
        <f>IFERROR(_xll.qlRateHelperEarliestDate(O106,Trigger),"--")</f>
        <v>42748</v>
      </c>
      <c r="V106" s="100">
        <f>IFERROR(_xll.qlRateHelperPillarDate(O106,Trigger),"--")</f>
        <v>54801</v>
      </c>
      <c r="X106" s="162" t="str">
        <f t="shared" si="17"/>
        <v/>
      </c>
      <c r="Y106" s="162" t="e">
        <v>#N/A</v>
      </c>
      <c r="Z106" s="162" t="str">
        <f>IFERROR(_xll.qlRateHelperQuoteName(Y106,Trigger),"")</f>
        <v/>
      </c>
      <c r="AA106" s="162" t="str">
        <f>IFERROR(_xll.qlRateHelperRate(Y106,Trigger),"")</f>
        <v/>
      </c>
      <c r="AB106" s="162" t="str">
        <f>IF(ISERROR(_xll.qlSwapRateHelperSpread($Y106)),IF(ISERROR(_xll.qlFuturesRateHelperConvexityAdjustment($Y106)),"",_xll.qlFuturesRateHelperConvexityAdjustment($Y106)),_xll.qlSwapRateHelperSpread($Y106))</f>
        <v/>
      </c>
      <c r="AC106" s="162" t="str">
        <f>IFERROR(_xll.qlRateHelperEarliestDate(Y106,Trigger),"")</f>
        <v/>
      </c>
      <c r="AD106" s="162" t="str">
        <f>IFERROR(_xll.qlRateHelperPillarDate(Y106,Trigger),"")</f>
        <v/>
      </c>
      <c r="AE106" s="184" t="e">
        <v>#N/A</v>
      </c>
    </row>
    <row r="107" spans="1:31" x14ac:dyDescent="0.2">
      <c r="A107" s="62" t="str">
        <f>Quote!AF104</f>
        <v>SW</v>
      </c>
      <c r="B107" s="63" t="str">
        <f>Quote!AG104</f>
        <v>30Y</v>
      </c>
      <c r="C107" s="64" t="s">
        <v>6</v>
      </c>
      <c r="D107" s="64" t="s">
        <v>8</v>
      </c>
      <c r="E107" s="64" t="s">
        <v>7</v>
      </c>
      <c r="F107" s="64" t="s">
        <v>132</v>
      </c>
      <c r="G107" s="64" t="str">
        <f t="shared" si="14"/>
        <v>Euribor6MMX#0006</v>
      </c>
      <c r="H107" s="62" t="str">
        <f>IF(ISBLANK(Quote!AI104),"",Quote!AI104)</f>
        <v>EUR6MSW30Y=#0006</v>
      </c>
      <c r="I107" s="62" t="str">
        <f>_xll.qlCompositeQuote(Currency&amp;"6M"&amp;A107&amp;B107&amp;"_Shifted",H107,IF(J107=0,BumpValue,J107),"+",Permanent,Trigger,ObjectOverwrite)</f>
        <v>EUR6MSW30Y_Shifted#0006</v>
      </c>
      <c r="J107" s="122">
        <v>0</v>
      </c>
      <c r="K107" s="128">
        <v>0</v>
      </c>
      <c r="L107" s="67" t="str">
        <f>_xll.qlSwapRateHelper2(,IF(Sensitivity,I107,H107),,B107,Calendar,D107,E107,F107,G107,K107,C107,Discounting,PillarDate,,Permanent,Trigger,ObjectOverwrite)</f>
        <v>obj_003d8#0006</v>
      </c>
      <c r="N107" s="10" t="str">
        <f t="shared" si="18"/>
        <v>SW</v>
      </c>
      <c r="O107" s="95" t="str">
        <f t="shared" si="19"/>
        <v>obj_00383#0006</v>
      </c>
      <c r="P107" s="146" t="str">
        <f>IFERROR(_xll.qlRateHelperQuoteName(O107,Trigger),"--")</f>
        <v>EUR6MSW34Y_Shifted</v>
      </c>
      <c r="Q107" s="99">
        <f>IFERROR(_xll.qlRateHelperQuoteValue($O107,Trigger),"--")</f>
        <v>1.2722009760000002E-2</v>
      </c>
      <c r="R107" s="141" t="b">
        <v>1</v>
      </c>
      <c r="S107" s="95">
        <v>20</v>
      </c>
      <c r="T107" s="95">
        <v>1</v>
      </c>
      <c r="U107" s="100">
        <f>IFERROR(_xll.qlRateHelperEarliestDate(O107,Trigger),"--")</f>
        <v>42748</v>
      </c>
      <c r="V107" s="100">
        <f>IFERROR(_xll.qlRateHelperPillarDate(O107,Trigger),"--")</f>
        <v>55166</v>
      </c>
      <c r="X107" s="162" t="str">
        <f t="shared" si="17"/>
        <v/>
      </c>
      <c r="Y107" s="162" t="e">
        <v>#N/A</v>
      </c>
      <c r="Z107" s="162" t="str">
        <f>IFERROR(_xll.qlRateHelperQuoteName(Y107,Trigger),"")</f>
        <v/>
      </c>
      <c r="AA107" s="162" t="str">
        <f>IFERROR(_xll.qlRateHelperRate(Y107,Trigger),"")</f>
        <v/>
      </c>
      <c r="AB107" s="162" t="str">
        <f>IF(ISERROR(_xll.qlSwapRateHelperSpread($Y107)),IF(ISERROR(_xll.qlFuturesRateHelperConvexityAdjustment($Y107)),"",_xll.qlFuturesRateHelperConvexityAdjustment($Y107)),_xll.qlSwapRateHelperSpread($Y107))</f>
        <v/>
      </c>
      <c r="AC107" s="162" t="str">
        <f>IFERROR(_xll.qlRateHelperEarliestDate(Y107,Trigger),"")</f>
        <v/>
      </c>
      <c r="AD107" s="162" t="str">
        <f>IFERROR(_xll.qlRateHelperPillarDate(Y107,Trigger),"")</f>
        <v/>
      </c>
      <c r="AE107" s="184" t="e">
        <v>#N/A</v>
      </c>
    </row>
    <row r="108" spans="1:31" x14ac:dyDescent="0.2">
      <c r="A108" s="62" t="str">
        <f>Quote!AF105</f>
        <v>SW</v>
      </c>
      <c r="B108" s="63" t="str">
        <f>Quote!AG105</f>
        <v>31Y</v>
      </c>
      <c r="C108" s="64" t="s">
        <v>6</v>
      </c>
      <c r="D108" s="64" t="s">
        <v>8</v>
      </c>
      <c r="E108" s="64" t="s">
        <v>7</v>
      </c>
      <c r="F108" s="64" t="s">
        <v>132</v>
      </c>
      <c r="G108" s="64" t="str">
        <f t="shared" si="14"/>
        <v>Euribor6MMX#0006</v>
      </c>
      <c r="H108" s="62" t="str">
        <f>IF(ISBLANK(Quote!AI105),"",Quote!AI105)</f>
        <v>EUR6MSW31Y=#0006</v>
      </c>
      <c r="I108" s="62" t="str">
        <f>_xll.qlCompositeQuote(Currency&amp;"6M"&amp;A108&amp;B108&amp;"_Shifted",H108,IF(J108=0,BumpValue,J108),"+",Permanent,Trigger,ObjectOverwrite)</f>
        <v>EUR6MSW31Y_Shifted#0006</v>
      </c>
      <c r="J108" s="122">
        <v>0</v>
      </c>
      <c r="K108" s="128">
        <v>0</v>
      </c>
      <c r="L108" s="67" t="str">
        <f>_xll.qlSwapRateHelper2(,IF(Sensitivity,I108,H108),,B108,Calendar,D108,E108,F108,G108,K108,C108,Discounting,PillarDate,,Permanent,Trigger,ObjectOverwrite)</f>
        <v>obj_0038a#0006</v>
      </c>
      <c r="N108" s="10" t="str">
        <f t="shared" si="18"/>
        <v>SW</v>
      </c>
      <c r="O108" s="95" t="str">
        <f t="shared" si="19"/>
        <v>obj_0039a#0006</v>
      </c>
      <c r="P108" s="146" t="str">
        <f>IFERROR(_xll.qlRateHelperQuoteName(O108,Trigger),"--")</f>
        <v>EUR6MSW35Y_Shifted</v>
      </c>
      <c r="Q108" s="99">
        <f>IFERROR(_xll.qlRateHelperQuoteValue($O108,Trigger),"--")</f>
        <v>1.2730000000000002E-2</v>
      </c>
      <c r="R108" s="141" t="b">
        <v>1</v>
      </c>
      <c r="S108" s="95">
        <v>20</v>
      </c>
      <c r="T108" s="95">
        <v>1</v>
      </c>
      <c r="U108" s="100">
        <f>IFERROR(_xll.qlRateHelperEarliestDate(O108,Trigger),"--")</f>
        <v>42748</v>
      </c>
      <c r="V108" s="100">
        <f>IFERROR(_xll.qlRateHelperPillarDate(O108,Trigger),"--")</f>
        <v>55533</v>
      </c>
      <c r="X108" s="162" t="str">
        <f t="shared" si="17"/>
        <v/>
      </c>
      <c r="Y108" s="162" t="e">
        <v>#N/A</v>
      </c>
      <c r="Z108" s="162" t="str">
        <f>IFERROR(_xll.qlRateHelperQuoteName(Y108,Trigger),"")</f>
        <v/>
      </c>
      <c r="AA108" s="162" t="str">
        <f>IFERROR(_xll.qlRateHelperRate(Y108,Trigger),"")</f>
        <v/>
      </c>
      <c r="AB108" s="162" t="str">
        <f>IF(ISERROR(_xll.qlSwapRateHelperSpread($Y108)),IF(ISERROR(_xll.qlFuturesRateHelperConvexityAdjustment($Y108)),"",_xll.qlFuturesRateHelperConvexityAdjustment($Y108)),_xll.qlSwapRateHelperSpread($Y108))</f>
        <v/>
      </c>
      <c r="AC108" s="162" t="str">
        <f>IFERROR(_xll.qlRateHelperEarliestDate(Y108,Trigger),"")</f>
        <v/>
      </c>
      <c r="AD108" s="162" t="str">
        <f>IFERROR(_xll.qlRateHelperPillarDate(Y108,Trigger),"")</f>
        <v/>
      </c>
      <c r="AE108" s="184" t="e">
        <v>#N/A</v>
      </c>
    </row>
    <row r="109" spans="1:31" x14ac:dyDescent="0.2">
      <c r="A109" s="62" t="str">
        <f>Quote!AF106</f>
        <v>SW</v>
      </c>
      <c r="B109" s="63" t="str">
        <f>Quote!AG106</f>
        <v>32Y</v>
      </c>
      <c r="C109" s="64" t="s">
        <v>6</v>
      </c>
      <c r="D109" s="64" t="s">
        <v>8</v>
      </c>
      <c r="E109" s="64" t="s">
        <v>7</v>
      </c>
      <c r="F109" s="64" t="s">
        <v>132</v>
      </c>
      <c r="G109" s="64" t="str">
        <f t="shared" si="14"/>
        <v>Euribor6MMX#0006</v>
      </c>
      <c r="H109" s="62" t="str">
        <f>IF(ISBLANK(Quote!AI106),"",Quote!AI106)</f>
        <v>EUR6MSW32Y=#0006</v>
      </c>
      <c r="I109" s="62" t="str">
        <f>_xll.qlCompositeQuote(Currency&amp;"6M"&amp;A109&amp;B109&amp;"_Shifted",H109,IF(J109=0,BumpValue,J109),"+",Permanent,Trigger,ObjectOverwrite)</f>
        <v>EUR6MSW32Y_Shifted#0006</v>
      </c>
      <c r="J109" s="122">
        <v>0</v>
      </c>
      <c r="K109" s="128">
        <v>0</v>
      </c>
      <c r="L109" s="67" t="str">
        <f>_xll.qlSwapRateHelper2(,IF(Sensitivity,I109,H109),,B109,Calendar,D109,E109,F109,G109,K109,C109,Discounting,PillarDate,,Permanent,Trigger,ObjectOverwrite)</f>
        <v>obj_00359#0006</v>
      </c>
      <c r="N109" s="10" t="str">
        <f t="shared" si="18"/>
        <v>SW</v>
      </c>
      <c r="O109" s="95" t="str">
        <f t="shared" si="19"/>
        <v>obj_003c5#0006</v>
      </c>
      <c r="P109" s="146" t="str">
        <f>IFERROR(_xll.qlRateHelperQuoteName(O109,Trigger),"--")</f>
        <v>EUR6MSW36Y_Shifted</v>
      </c>
      <c r="Q109" s="99">
        <f>IFERROR(_xll.qlRateHelperQuoteValue($O109,Trigger),"--")</f>
        <v>1.273681909E-2</v>
      </c>
      <c r="R109" s="141" t="b">
        <v>1</v>
      </c>
      <c r="S109" s="95">
        <v>20</v>
      </c>
      <c r="T109" s="95">
        <v>1</v>
      </c>
      <c r="U109" s="100">
        <f>IFERROR(_xll.qlRateHelperEarliestDate(O109,Trigger),"--")</f>
        <v>42748</v>
      </c>
      <c r="V109" s="100">
        <f>IFERROR(_xll.qlRateHelperPillarDate(O109,Trigger),"--")</f>
        <v>55897</v>
      </c>
      <c r="X109" s="162" t="str">
        <f t="shared" si="17"/>
        <v/>
      </c>
      <c r="Y109" s="162" t="e">
        <v>#N/A</v>
      </c>
      <c r="Z109" s="162" t="str">
        <f>IFERROR(_xll.qlRateHelperQuoteName(Y109,Trigger),"")</f>
        <v/>
      </c>
      <c r="AA109" s="162" t="str">
        <f>IFERROR(_xll.qlRateHelperRate(Y109,Trigger),"")</f>
        <v/>
      </c>
      <c r="AB109" s="162" t="str">
        <f>IF(ISERROR(_xll.qlSwapRateHelperSpread($Y109)),IF(ISERROR(_xll.qlFuturesRateHelperConvexityAdjustment($Y109)),"",_xll.qlFuturesRateHelperConvexityAdjustment($Y109)),_xll.qlSwapRateHelperSpread($Y109))</f>
        <v/>
      </c>
      <c r="AC109" s="162" t="str">
        <f>IFERROR(_xll.qlRateHelperEarliestDate(Y109,Trigger),"")</f>
        <v/>
      </c>
      <c r="AD109" s="162" t="str">
        <f>IFERROR(_xll.qlRateHelperPillarDate(Y109,Trigger),"")</f>
        <v/>
      </c>
      <c r="AE109" s="184" t="e">
        <v>#N/A</v>
      </c>
    </row>
    <row r="110" spans="1:31" x14ac:dyDescent="0.2">
      <c r="A110" s="62" t="str">
        <f>Quote!AF107</f>
        <v>SW</v>
      </c>
      <c r="B110" s="63" t="str">
        <f>Quote!AG107</f>
        <v>33Y</v>
      </c>
      <c r="C110" s="64" t="s">
        <v>6</v>
      </c>
      <c r="D110" s="64" t="s">
        <v>8</v>
      </c>
      <c r="E110" s="64" t="s">
        <v>7</v>
      </c>
      <c r="F110" s="64" t="s">
        <v>132</v>
      </c>
      <c r="G110" s="64" t="str">
        <f t="shared" si="14"/>
        <v>Euribor6MMX#0006</v>
      </c>
      <c r="H110" s="62" t="str">
        <f>IF(ISBLANK(Quote!AI107),"",Quote!AI107)</f>
        <v>EUR6MSW33Y=#0006</v>
      </c>
      <c r="I110" s="62" t="str">
        <f>_xll.qlCompositeQuote(Currency&amp;"6M"&amp;A110&amp;B110&amp;"_Shifted",H110,IF(J110=0,BumpValue,J110),"+",Permanent,Trigger,ObjectOverwrite)</f>
        <v>EUR6MSW33Y_Shifted#0006</v>
      </c>
      <c r="J110" s="122">
        <v>0</v>
      </c>
      <c r="K110" s="128">
        <v>0</v>
      </c>
      <c r="L110" s="67" t="str">
        <f>_xll.qlSwapRateHelper2(,IF(Sensitivity,I110,H110),,B110,Calendar,D110,E110,F110,G110,K110,C110,Discounting,PillarDate,,Permanent,Trigger,ObjectOverwrite)</f>
        <v>obj_00360#0006</v>
      </c>
      <c r="N110" s="10" t="str">
        <f t="shared" si="18"/>
        <v>SW</v>
      </c>
      <c r="O110" s="95" t="str">
        <f t="shared" si="19"/>
        <v>obj_00375#0006</v>
      </c>
      <c r="P110" s="146" t="str">
        <f>IFERROR(_xll.qlRateHelperQuoteName(O110,Trigger),"--")</f>
        <v>EUR6MSW37Y_Shifted</v>
      </c>
      <c r="Q110" s="99">
        <f>IFERROR(_xll.qlRateHelperQuoteValue($O110,Trigger),"--")</f>
        <v>1.273956278E-2</v>
      </c>
      <c r="R110" s="141" t="b">
        <v>1</v>
      </c>
      <c r="S110" s="95">
        <v>20</v>
      </c>
      <c r="T110" s="95">
        <v>1</v>
      </c>
      <c r="U110" s="100">
        <f>IFERROR(_xll.qlRateHelperEarliestDate(O110,Trigger),"--")</f>
        <v>42748</v>
      </c>
      <c r="V110" s="100">
        <f>IFERROR(_xll.qlRateHelperPillarDate(O110,Trigger),"--")</f>
        <v>56262</v>
      </c>
      <c r="X110" s="162" t="str">
        <f t="shared" si="17"/>
        <v/>
      </c>
      <c r="Y110" s="162" t="e">
        <v>#N/A</v>
      </c>
      <c r="Z110" s="162" t="str">
        <f>IFERROR(_xll.qlRateHelperQuoteName(Y110,Trigger),"")</f>
        <v/>
      </c>
      <c r="AA110" s="162" t="str">
        <f>IFERROR(_xll.qlRateHelperRate(Y110,Trigger),"")</f>
        <v/>
      </c>
      <c r="AB110" s="162" t="str">
        <f>IF(ISERROR(_xll.qlSwapRateHelperSpread($Y110)),IF(ISERROR(_xll.qlFuturesRateHelperConvexityAdjustment($Y110)),"",_xll.qlFuturesRateHelperConvexityAdjustment($Y110)),_xll.qlSwapRateHelperSpread($Y110))</f>
        <v/>
      </c>
      <c r="AC110" s="162" t="str">
        <f>IFERROR(_xll.qlRateHelperEarliestDate(Y110,Trigger),"")</f>
        <v/>
      </c>
      <c r="AD110" s="162" t="str">
        <f>IFERROR(_xll.qlRateHelperPillarDate(Y110,Trigger),"")</f>
        <v/>
      </c>
      <c r="AE110" s="184" t="e">
        <v>#N/A</v>
      </c>
    </row>
    <row r="111" spans="1:31" x14ac:dyDescent="0.2">
      <c r="A111" s="62" t="str">
        <f>Quote!AF108</f>
        <v>SW</v>
      </c>
      <c r="B111" s="63" t="str">
        <f>Quote!AG108</f>
        <v>34Y</v>
      </c>
      <c r="C111" s="64" t="s">
        <v>6</v>
      </c>
      <c r="D111" s="64" t="s">
        <v>8</v>
      </c>
      <c r="E111" s="64" t="s">
        <v>7</v>
      </c>
      <c r="F111" s="64" t="s">
        <v>132</v>
      </c>
      <c r="G111" s="64" t="str">
        <f t="shared" si="14"/>
        <v>Euribor6MMX#0006</v>
      </c>
      <c r="H111" s="62" t="str">
        <f>IF(ISBLANK(Quote!AI108),"",Quote!AI108)</f>
        <v>EUR6MSW34Y=#0006</v>
      </c>
      <c r="I111" s="62" t="str">
        <f>_xll.qlCompositeQuote(Currency&amp;"6M"&amp;A111&amp;B111&amp;"_Shifted",H111,IF(J111=0,BumpValue,J111),"+",Permanent,Trigger,ObjectOverwrite)</f>
        <v>EUR6MSW34Y_Shifted#0006</v>
      </c>
      <c r="J111" s="122">
        <v>0</v>
      </c>
      <c r="K111" s="128">
        <v>0</v>
      </c>
      <c r="L111" s="67" t="str">
        <f>_xll.qlSwapRateHelper2(,IF(Sensitivity,I111,H111),,B111,Calendar,D111,E111,F111,G111,K111,C111,Discounting,PillarDate,,Permanent,Trigger,ObjectOverwrite)</f>
        <v>obj_00383#0006</v>
      </c>
      <c r="N111" s="10" t="str">
        <f t="shared" si="18"/>
        <v>SW</v>
      </c>
      <c r="O111" s="95" t="str">
        <f t="shared" si="19"/>
        <v>obj_0038c#0006</v>
      </c>
      <c r="P111" s="146" t="str">
        <f>IFERROR(_xll.qlRateHelperQuoteName(O111,Trigger),"--")</f>
        <v>EUR6MSW38Y_Shifted</v>
      </c>
      <c r="Q111" s="99">
        <f>IFERROR(_xll.qlRateHelperQuoteValue($O111,Trigger),"--")</f>
        <v>1.2737147660000002E-2</v>
      </c>
      <c r="R111" s="141" t="b">
        <v>1</v>
      </c>
      <c r="S111" s="95">
        <v>20</v>
      </c>
      <c r="T111" s="95">
        <v>1</v>
      </c>
      <c r="U111" s="100">
        <f>IFERROR(_xll.qlRateHelperEarliestDate(O111,Trigger),"--")</f>
        <v>42748</v>
      </c>
      <c r="V111" s="100">
        <f>IFERROR(_xll.qlRateHelperPillarDate(O111,Trigger),"--")</f>
        <v>56627</v>
      </c>
      <c r="X111" s="162" t="str">
        <f t="shared" si="17"/>
        <v/>
      </c>
      <c r="Y111" s="162" t="e">
        <v>#N/A</v>
      </c>
      <c r="Z111" s="162" t="str">
        <f>IFERROR(_xll.qlRateHelperQuoteName(Y111,Trigger),"")</f>
        <v/>
      </c>
      <c r="AA111" s="162" t="str">
        <f>IFERROR(_xll.qlRateHelperRate(Y111,Trigger),"")</f>
        <v/>
      </c>
      <c r="AB111" s="162" t="str">
        <f>IF(ISERROR(_xll.qlSwapRateHelperSpread($Y111)),IF(ISERROR(_xll.qlFuturesRateHelperConvexityAdjustment($Y111)),"",_xll.qlFuturesRateHelperConvexityAdjustment($Y111)),_xll.qlSwapRateHelperSpread($Y111))</f>
        <v/>
      </c>
      <c r="AC111" s="162" t="str">
        <f>IFERROR(_xll.qlRateHelperEarliestDate(Y111,Trigger),"")</f>
        <v/>
      </c>
      <c r="AD111" s="162" t="str">
        <f>IFERROR(_xll.qlRateHelperPillarDate(Y111,Trigger),"")</f>
        <v/>
      </c>
      <c r="AE111" s="184" t="e">
        <v>#N/A</v>
      </c>
    </row>
    <row r="112" spans="1:31" x14ac:dyDescent="0.2">
      <c r="A112" s="62" t="str">
        <f>Quote!AF109</f>
        <v>SW</v>
      </c>
      <c r="B112" s="63" t="str">
        <f>Quote!AG109</f>
        <v>35Y</v>
      </c>
      <c r="C112" s="64" t="s">
        <v>6</v>
      </c>
      <c r="D112" s="64" t="s">
        <v>8</v>
      </c>
      <c r="E112" s="64" t="s">
        <v>7</v>
      </c>
      <c r="F112" s="64" t="s">
        <v>132</v>
      </c>
      <c r="G112" s="64" t="str">
        <f t="shared" si="14"/>
        <v>Euribor6MMX#0006</v>
      </c>
      <c r="H112" s="62" t="str">
        <f>IF(ISBLANK(Quote!AI109),"",Quote!AI109)</f>
        <v>EUR6MSW35Y=#0006</v>
      </c>
      <c r="I112" s="62" t="str">
        <f>_xll.qlCompositeQuote(Currency&amp;"6M"&amp;A112&amp;B112&amp;"_Shifted",H112,IF(J112=0,BumpValue,J112),"+",Permanent,Trigger,ObjectOverwrite)</f>
        <v>EUR6MSW35Y_Shifted#0006</v>
      </c>
      <c r="J112" s="122">
        <v>0</v>
      </c>
      <c r="K112" s="128">
        <v>0</v>
      </c>
      <c r="L112" s="67" t="str">
        <f>_xll.qlSwapRateHelper2(,IF(Sensitivity,I112,H112),,B112,Calendar,D112,E112,F112,G112,K112,C112,Discounting,PillarDate,,Permanent,Trigger,ObjectOverwrite)</f>
        <v>obj_0039a#0006</v>
      </c>
      <c r="N112" s="10" t="str">
        <f t="shared" si="18"/>
        <v>SW</v>
      </c>
      <c r="O112" s="95" t="str">
        <f t="shared" si="19"/>
        <v>obj_00333#0006</v>
      </c>
      <c r="P112" s="146" t="str">
        <f>IFERROR(_xll.qlRateHelperQuoteName(O112,Trigger),"--")</f>
        <v>EUR6MSW39Y_Shifted</v>
      </c>
      <c r="Q112" s="99">
        <f>IFERROR(_xll.qlRateHelperQuoteValue($O112,Trigger),"--")</f>
        <v>1.2727745190000002E-2</v>
      </c>
      <c r="R112" s="141" t="b">
        <v>1</v>
      </c>
      <c r="S112" s="95">
        <v>20</v>
      </c>
      <c r="T112" s="95">
        <v>1</v>
      </c>
      <c r="U112" s="100">
        <f>IFERROR(_xll.qlRateHelperEarliestDate(O112,Trigger),"--")</f>
        <v>42748</v>
      </c>
      <c r="V112" s="100">
        <f>IFERROR(_xll.qlRateHelperPillarDate(O112,Trigger),"--")</f>
        <v>56992</v>
      </c>
      <c r="X112" s="162" t="str">
        <f t="shared" si="17"/>
        <v/>
      </c>
      <c r="Y112" s="162" t="e">
        <v>#N/A</v>
      </c>
      <c r="Z112" s="162" t="str">
        <f>IFERROR(_xll.qlRateHelperQuoteName(Y112,Trigger),"")</f>
        <v/>
      </c>
      <c r="AA112" s="162" t="str">
        <f>IFERROR(_xll.qlRateHelperRate(Y112,Trigger),"")</f>
        <v/>
      </c>
      <c r="AB112" s="162" t="str">
        <f>IF(ISERROR(_xll.qlSwapRateHelperSpread($Y112)),IF(ISERROR(_xll.qlFuturesRateHelperConvexityAdjustment($Y112)),"",_xll.qlFuturesRateHelperConvexityAdjustment($Y112)),_xll.qlSwapRateHelperSpread($Y112))</f>
        <v/>
      </c>
      <c r="AC112" s="162" t="str">
        <f>IFERROR(_xll.qlRateHelperEarliestDate(Y112,Trigger),"")</f>
        <v/>
      </c>
      <c r="AD112" s="162" t="str">
        <f>IFERROR(_xll.qlRateHelperPillarDate(Y112,Trigger),"")</f>
        <v/>
      </c>
      <c r="AE112" s="184" t="e">
        <v>#N/A</v>
      </c>
    </row>
    <row r="113" spans="1:31" x14ac:dyDescent="0.2">
      <c r="A113" s="62" t="str">
        <f>Quote!AF110</f>
        <v>SW</v>
      </c>
      <c r="B113" s="63" t="str">
        <f>Quote!AG110</f>
        <v>36Y</v>
      </c>
      <c r="C113" s="64" t="s">
        <v>6</v>
      </c>
      <c r="D113" s="64" t="s">
        <v>8</v>
      </c>
      <c r="E113" s="64" t="s">
        <v>7</v>
      </c>
      <c r="F113" s="64" t="s">
        <v>132</v>
      </c>
      <c r="G113" s="64" t="str">
        <f t="shared" si="14"/>
        <v>Euribor6MMX#0006</v>
      </c>
      <c r="H113" s="62" t="str">
        <f>IF(ISBLANK(Quote!AI110),"",Quote!AI110)</f>
        <v>EUR6MSW36Y=#0006</v>
      </c>
      <c r="I113" s="62" t="str">
        <f>_xll.qlCompositeQuote(Currency&amp;"6M"&amp;A113&amp;B113&amp;"_Shifted",H113,IF(J113=0,BumpValue,J113),"+",Permanent,Trigger,ObjectOverwrite)</f>
        <v>EUR6MSW36Y_Shifted#0006</v>
      </c>
      <c r="J113" s="122">
        <v>0</v>
      </c>
      <c r="K113" s="128">
        <v>0</v>
      </c>
      <c r="L113" s="67" t="str">
        <f>_xll.qlSwapRateHelper2(,IF(Sensitivity,I113,H113),,B113,Calendar,D113,E113,F113,G113,K113,C113,Discounting,PillarDate,,Permanent,Trigger,ObjectOverwrite)</f>
        <v>obj_003c5#0006</v>
      </c>
      <c r="N113" s="10" t="str">
        <f t="shared" si="18"/>
        <v>SW</v>
      </c>
      <c r="O113" s="95" t="str">
        <f t="shared" si="19"/>
        <v>obj_003b9#0006</v>
      </c>
      <c r="P113" s="146" t="str">
        <f>IFERROR(_xll.qlRateHelperQuoteName(O113,Trigger),"--")</f>
        <v>EUR6MSW40Y_Shifted</v>
      </c>
      <c r="Q113" s="99">
        <f>IFERROR(_xll.qlRateHelperQuoteValue($O113,Trigger),"--")</f>
        <v>1.2710000000000001E-2</v>
      </c>
      <c r="R113" s="141" t="b">
        <v>1</v>
      </c>
      <c r="S113" s="95">
        <v>20</v>
      </c>
      <c r="T113" s="95">
        <v>1</v>
      </c>
      <c r="U113" s="100">
        <f>IFERROR(_xll.qlRateHelperEarliestDate(O113,Trigger),"--")</f>
        <v>42748</v>
      </c>
      <c r="V113" s="100">
        <f>IFERROR(_xll.qlRateHelperPillarDate(O113,Trigger),"--")</f>
        <v>57360</v>
      </c>
      <c r="X113" s="162" t="str">
        <f t="shared" si="17"/>
        <v/>
      </c>
      <c r="Y113" s="162" t="e">
        <v>#N/A</v>
      </c>
      <c r="Z113" s="162" t="str">
        <f>IFERROR(_xll.qlRateHelperQuoteName(Y113,Trigger),"")</f>
        <v/>
      </c>
      <c r="AA113" s="162" t="str">
        <f>IFERROR(_xll.qlRateHelperRate(Y113,Trigger),"")</f>
        <v/>
      </c>
      <c r="AB113" s="162" t="str">
        <f>IF(ISERROR(_xll.qlSwapRateHelperSpread($Y113)),IF(ISERROR(_xll.qlFuturesRateHelperConvexityAdjustment($Y113)),"",_xll.qlFuturesRateHelperConvexityAdjustment($Y113)),_xll.qlSwapRateHelperSpread($Y113))</f>
        <v/>
      </c>
      <c r="AC113" s="162" t="str">
        <f>IFERROR(_xll.qlRateHelperEarliestDate(Y113,Trigger),"")</f>
        <v/>
      </c>
      <c r="AD113" s="162" t="str">
        <f>IFERROR(_xll.qlRateHelperPillarDate(Y113,Trigger),"")</f>
        <v/>
      </c>
      <c r="AE113" s="184" t="e">
        <v>#N/A</v>
      </c>
    </row>
    <row r="114" spans="1:31" x14ac:dyDescent="0.2">
      <c r="A114" s="62" t="str">
        <f>Quote!AF111</f>
        <v>SW</v>
      </c>
      <c r="B114" s="63" t="str">
        <f>Quote!AG111</f>
        <v>37Y</v>
      </c>
      <c r="C114" s="64" t="s">
        <v>6</v>
      </c>
      <c r="D114" s="64" t="s">
        <v>8</v>
      </c>
      <c r="E114" s="64" t="s">
        <v>7</v>
      </c>
      <c r="F114" s="64" t="s">
        <v>132</v>
      </c>
      <c r="G114" s="64" t="str">
        <f t="shared" ref="G114:G119" si="20">$G$14</f>
        <v>Euribor6MMX#0006</v>
      </c>
      <c r="H114" s="62" t="str">
        <f>IF(ISBLANK(Quote!AI111),"",Quote!AI111)</f>
        <v>EUR6MSW37Y=#0006</v>
      </c>
      <c r="I114" s="62" t="str">
        <f>_xll.qlCompositeQuote(Currency&amp;"6M"&amp;A114&amp;B114&amp;"_Shifted",H114,IF(J114=0,BumpValue,J114),"+",Permanent,Trigger,ObjectOverwrite)</f>
        <v>EUR6MSW37Y_Shifted#0006</v>
      </c>
      <c r="J114" s="122">
        <v>0</v>
      </c>
      <c r="K114" s="128">
        <v>0</v>
      </c>
      <c r="L114" s="67" t="str">
        <f>_xll.qlSwapRateHelper2(,IF(Sensitivity,I114,H114),,B114,Calendar,D114,E114,F114,G114,K114,C114,Discounting,PillarDate,,Permanent,Trigger,ObjectOverwrite)</f>
        <v>obj_00375#0006</v>
      </c>
      <c r="N114" s="10" t="str">
        <f t="shared" si="18"/>
        <v>SW</v>
      </c>
      <c r="O114" s="95" t="str">
        <f t="shared" si="19"/>
        <v>obj_00334#0006</v>
      </c>
      <c r="P114" s="146" t="str">
        <f>IFERROR(_xll.qlRateHelperQuoteName(O114,Trigger),"--")</f>
        <v>EUR6MSW50Y_Shifted</v>
      </c>
      <c r="Q114" s="99">
        <f>IFERROR(_xll.qlRateHelperQuoteValue($O114,Trigger),"--")</f>
        <v>1.2230000000000001E-2</v>
      </c>
      <c r="R114" s="141" t="b">
        <v>1</v>
      </c>
      <c r="S114" s="95">
        <v>20</v>
      </c>
      <c r="T114" s="95">
        <v>1</v>
      </c>
      <c r="U114" s="100">
        <f>IFERROR(_xll.qlRateHelperEarliestDate(O114,Trigger),"--")</f>
        <v>42748</v>
      </c>
      <c r="V114" s="100">
        <f>IFERROR(_xll.qlRateHelperPillarDate(O114,Trigger),"--")</f>
        <v>61010</v>
      </c>
      <c r="X114" s="162" t="str">
        <f t="shared" si="17"/>
        <v/>
      </c>
      <c r="Y114" s="162" t="e">
        <v>#N/A</v>
      </c>
      <c r="Z114" s="162" t="str">
        <f>IFERROR(_xll.qlRateHelperQuoteName(Y114,Trigger),"")</f>
        <v/>
      </c>
      <c r="AA114" s="162" t="str">
        <f>IFERROR(_xll.qlRateHelperRate(Y114,Trigger),"")</f>
        <v/>
      </c>
      <c r="AB114" s="162" t="str">
        <f>IF(ISERROR(_xll.qlSwapRateHelperSpread($Y114)),IF(ISERROR(_xll.qlFuturesRateHelperConvexityAdjustment($Y114)),"",_xll.qlFuturesRateHelperConvexityAdjustment($Y114)),_xll.qlSwapRateHelperSpread($Y114))</f>
        <v/>
      </c>
      <c r="AC114" s="162" t="str">
        <f>IFERROR(_xll.qlRateHelperEarliestDate(Y114,Trigger),"")</f>
        <v/>
      </c>
      <c r="AD114" s="162" t="str">
        <f>IFERROR(_xll.qlRateHelperPillarDate(Y114,Trigger),"")</f>
        <v/>
      </c>
      <c r="AE114" s="184" t="e">
        <v>#N/A</v>
      </c>
    </row>
    <row r="115" spans="1:31" x14ac:dyDescent="0.2">
      <c r="A115" s="62" t="str">
        <f>Quote!AF112</f>
        <v>SW</v>
      </c>
      <c r="B115" s="63" t="str">
        <f>Quote!AG112</f>
        <v>38Y</v>
      </c>
      <c r="C115" s="64" t="s">
        <v>6</v>
      </c>
      <c r="D115" s="64" t="s">
        <v>8</v>
      </c>
      <c r="E115" s="64" t="s">
        <v>7</v>
      </c>
      <c r="F115" s="64" t="s">
        <v>132</v>
      </c>
      <c r="G115" s="64" t="str">
        <f t="shared" si="20"/>
        <v>Euribor6MMX#0006</v>
      </c>
      <c r="H115" s="62" t="str">
        <f>IF(ISBLANK(Quote!AI112),"",Quote!AI112)</f>
        <v>EUR6MSW38Y=#0006</v>
      </c>
      <c r="I115" s="62" t="str">
        <f>_xll.qlCompositeQuote(Currency&amp;"6M"&amp;A115&amp;B115&amp;"_Shifted",H115,IF(J115=0,BumpValue,J115),"+",Permanent,Trigger,ObjectOverwrite)</f>
        <v>EUR6MSW38Y_Shifted#0006</v>
      </c>
      <c r="J115" s="122">
        <v>0</v>
      </c>
      <c r="K115" s="128">
        <v>0</v>
      </c>
      <c r="L115" s="67" t="str">
        <f>_xll.qlSwapRateHelper2(,IF(Sensitivity,I115,H115),,B115,Calendar,D115,E115,F115,G115,K115,C115,Discounting,PillarDate,,Permanent,Trigger,ObjectOverwrite)</f>
        <v>obj_0038c#0006</v>
      </c>
      <c r="N115" s="11" t="str">
        <f t="shared" si="18"/>
        <v>SW</v>
      </c>
      <c r="O115" s="96" t="str">
        <f t="shared" si="19"/>
        <v>obj_003bc#0006</v>
      </c>
      <c r="P115" s="147" t="str">
        <f>IFERROR(_xll.qlRateHelperQuoteName(O115,Trigger),"--")</f>
        <v>EUR6MSW60Y_Shifted</v>
      </c>
      <c r="Q115" s="102">
        <f>IFERROR(_xll.qlRateHelperQuoteValue($O115,Trigger),"--")</f>
        <v>1.188E-2</v>
      </c>
      <c r="R115" s="144" t="b">
        <v>1</v>
      </c>
      <c r="S115" s="96">
        <v>20</v>
      </c>
      <c r="T115" s="96">
        <v>1</v>
      </c>
      <c r="U115" s="103">
        <f>IFERROR(_xll.qlRateHelperEarliestDate(O115,Trigger),"--")</f>
        <v>42748</v>
      </c>
      <c r="V115" s="103">
        <f>IFERROR(_xll.qlRateHelperPillarDate(O115,Trigger),"--")</f>
        <v>64663</v>
      </c>
      <c r="X115" s="165" t="str">
        <f t="shared" si="17"/>
        <v/>
      </c>
      <c r="Y115" s="165" t="e">
        <v>#N/A</v>
      </c>
      <c r="Z115" s="165" t="str">
        <f>IFERROR(_xll.qlRateHelperQuoteName(Y115,Trigger),"")</f>
        <v/>
      </c>
      <c r="AA115" s="165" t="str">
        <f>IFERROR(_xll.qlRateHelperRate(Y115,Trigger),"")</f>
        <v/>
      </c>
      <c r="AB115" s="165" t="str">
        <f>IF(ISERROR(_xll.qlSwapRateHelperSpread($Y115)),IF(ISERROR(_xll.qlFuturesRateHelperConvexityAdjustment($Y115)),"",_xll.qlFuturesRateHelperConvexityAdjustment($Y115)),_xll.qlSwapRateHelperSpread($Y115))</f>
        <v/>
      </c>
      <c r="AC115" s="165" t="str">
        <f>IFERROR(_xll.qlRateHelperEarliestDate(Y115,Trigger),"")</f>
        <v/>
      </c>
      <c r="AD115" s="165" t="str">
        <f>IFERROR(_xll.qlRateHelperPillarDate(Y115,Trigger),"")</f>
        <v/>
      </c>
      <c r="AE115" s="182" t="e">
        <v>#N/A</v>
      </c>
    </row>
    <row r="116" spans="1:31" x14ac:dyDescent="0.2">
      <c r="A116" s="62" t="str">
        <f>Quote!AF113</f>
        <v>SW</v>
      </c>
      <c r="B116" s="63" t="str">
        <f>Quote!AG113</f>
        <v>39Y</v>
      </c>
      <c r="C116" s="64" t="s">
        <v>6</v>
      </c>
      <c r="D116" s="64" t="s">
        <v>8</v>
      </c>
      <c r="E116" s="64" t="s">
        <v>7</v>
      </c>
      <c r="F116" s="64" t="s">
        <v>132</v>
      </c>
      <c r="G116" s="64" t="str">
        <f t="shared" si="20"/>
        <v>Euribor6MMX#0006</v>
      </c>
      <c r="H116" s="62" t="str">
        <f>IF(ISBLANK(Quote!AI113),"",Quote!AI113)</f>
        <v>EUR6MSW39Y=#0006</v>
      </c>
      <c r="I116" s="62" t="str">
        <f>_xll.qlCompositeQuote(Currency&amp;"6M"&amp;A116&amp;B116&amp;"_Shifted",H116,IF(J116=0,BumpValue,J116),"+",Permanent,Trigger,ObjectOverwrite)</f>
        <v>EUR6MSW39Y_Shifted#0006</v>
      </c>
      <c r="J116" s="122">
        <v>0</v>
      </c>
      <c r="K116" s="128">
        <v>0</v>
      </c>
      <c r="L116" s="67" t="str">
        <f>_xll.qlSwapRateHelper2(,IF(Sensitivity,I116,H116),,B116,Calendar,D116,E116,F116,G116,K116,C116,Discounting,PillarDate,,Permanent,Trigger,ObjectOverwrite)</f>
        <v>obj_00333#0006</v>
      </c>
    </row>
    <row r="117" spans="1:31" x14ac:dyDescent="0.2">
      <c r="A117" s="62" t="str">
        <f>Quote!AF114</f>
        <v>SW</v>
      </c>
      <c r="B117" s="63" t="str">
        <f>Quote!AG114</f>
        <v>40Y</v>
      </c>
      <c r="C117" s="64" t="s">
        <v>6</v>
      </c>
      <c r="D117" s="64" t="s">
        <v>8</v>
      </c>
      <c r="E117" s="64" t="s">
        <v>7</v>
      </c>
      <c r="F117" s="64" t="s">
        <v>132</v>
      </c>
      <c r="G117" s="64" t="str">
        <f t="shared" si="20"/>
        <v>Euribor6MMX#0006</v>
      </c>
      <c r="H117" s="62" t="str">
        <f>IF(ISBLANK(Quote!AI114),"",Quote!AI114)</f>
        <v>EUR6MSW40Y=#0006</v>
      </c>
      <c r="I117" s="62" t="str">
        <f>_xll.qlCompositeQuote(Currency&amp;"6M"&amp;A117&amp;B117&amp;"_Shifted",H117,IF(J117=0,BumpValue,J117),"+",Permanent,Trigger,ObjectOverwrite)</f>
        <v>EUR6MSW40Y_Shifted#0006</v>
      </c>
      <c r="J117" s="122">
        <v>0</v>
      </c>
      <c r="K117" s="128">
        <v>0</v>
      </c>
      <c r="L117" s="67" t="str">
        <f>_xll.qlSwapRateHelper2(,IF(Sensitivity,I117,H117),,B117,Calendar,D117,E117,F117,G117,K117,C117,Discounting,PillarDate,,Permanent,Trigger,ObjectOverwrite)</f>
        <v>obj_003b9#0006</v>
      </c>
    </row>
    <row r="118" spans="1:31" x14ac:dyDescent="0.2">
      <c r="A118" s="62" t="str">
        <f>Quote!AF115</f>
        <v>SW</v>
      </c>
      <c r="B118" s="63" t="str">
        <f>Quote!AG115</f>
        <v>50Y</v>
      </c>
      <c r="C118" s="64" t="s">
        <v>6</v>
      </c>
      <c r="D118" s="64" t="s">
        <v>8</v>
      </c>
      <c r="E118" s="64" t="s">
        <v>7</v>
      </c>
      <c r="F118" s="64" t="s">
        <v>132</v>
      </c>
      <c r="G118" s="64" t="str">
        <f t="shared" si="20"/>
        <v>Euribor6MMX#0006</v>
      </c>
      <c r="H118" s="62" t="str">
        <f>IF(ISBLANK(Quote!AI115),"",Quote!AI115)</f>
        <v>EUR6MSW50Y=#0006</v>
      </c>
      <c r="I118" s="62" t="str">
        <f>_xll.qlCompositeQuote(Currency&amp;"6M"&amp;A118&amp;B118&amp;"_Shifted",H118,IF(J118=0,BumpValue,J118),"+",Permanent,Trigger,ObjectOverwrite)</f>
        <v>EUR6MSW50Y_Shifted#0006</v>
      </c>
      <c r="J118" s="122">
        <v>0</v>
      </c>
      <c r="K118" s="128">
        <v>0</v>
      </c>
      <c r="L118" s="67" t="str">
        <f>_xll.qlSwapRateHelper2(,IF(Sensitivity,I118,H118),,B118,Calendar,D118,E118,F118,G118,K118,C118,Discounting,PillarDate,,Permanent,Trigger,ObjectOverwrite)</f>
        <v>obj_00334#0006</v>
      </c>
    </row>
    <row r="119" spans="1:31" x14ac:dyDescent="0.2">
      <c r="A119" s="1" t="str">
        <f>Quote!AF116</f>
        <v>SW</v>
      </c>
      <c r="B119" s="8" t="str">
        <f>Quote!AG116</f>
        <v>60Y</v>
      </c>
      <c r="C119" s="7" t="s">
        <v>6</v>
      </c>
      <c r="D119" s="7" t="s">
        <v>8</v>
      </c>
      <c r="E119" s="7" t="s">
        <v>7</v>
      </c>
      <c r="F119" s="7" t="s">
        <v>132</v>
      </c>
      <c r="G119" s="7" t="str">
        <f t="shared" si="20"/>
        <v>Euribor6MMX#0006</v>
      </c>
      <c r="H119" s="1" t="str">
        <f>IF(ISBLANK(Quote!AI116),"",Quote!AI116)</f>
        <v>EUR6MSW60Y=#0006</v>
      </c>
      <c r="I119" s="1" t="str">
        <f>_xll.qlCompositeQuote(Currency&amp;"6M"&amp;A119&amp;B119&amp;"_Shifted",H119,IF(J119=0,BumpValue,J119),"+",Permanent,Trigger,ObjectOverwrite)</f>
        <v>EUR6MSW60Y_Shifted#0006</v>
      </c>
      <c r="J119" s="123">
        <v>0</v>
      </c>
      <c r="K119" s="130">
        <v>0</v>
      </c>
      <c r="L119" s="3" t="str">
        <f>_xll.qlSwapRateHelper2(,IF(Sensitivity,I119,H119),,B119,Calendar,D119,E119,F119,G119,K119,C119,Discounting,PillarDate,,Permanent,Trigger,ObjectOverwrite)</f>
        <v>obj_003bc#0006</v>
      </c>
    </row>
  </sheetData>
  <dataValidations count="6">
    <dataValidation type="list" allowBlank="1" showInputMessage="1" showErrorMessage="1" sqref="F3 F49:F1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49:E119">
      <formula1>"Following,Modified Following,Preceding,Modified Preceding,Unadjusted,Half-Month Modified Following"</formula1>
    </dataValidation>
    <dataValidation type="list" allowBlank="1" showInputMessage="1" showErrorMessage="1" sqref="AL6">
      <formula1>"AllDepos,DeposBeforeFirstFuturesStartDate,DeposBeforeFirstFuturesStartDatePlusOne,DeposBeforeFirstFuturesExpiryDate"</formula1>
    </dataValidation>
    <dataValidation type="list" allowBlank="1" showInputMessage="1" showErrorMessage="1" sqref="D49:D119">
      <formula1>"Annual,Semiannual,EveryFourthMonth,Quarterly,Bimonthly,Monthly,Biweekly,Weekly,Daily,Once,NoFrequency"</formula1>
    </dataValidation>
    <dataValidation type="list" allowBlank="1" showInputMessage="1" showErrorMessage="1" sqref="AL8">
      <formula1>"true,false"</formula1>
    </dataValidation>
    <dataValidation type="list" allowBlank="1" showInputMessage="1" showErrorMessage="1" sqref="J5:J14 J23:J40 J80:J119 J46">
      <formula1>"0,0.01%"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5"/>
  <sheetViews>
    <sheetView showGridLines="0" topLeftCell="L1" zoomScaleNormal="100" workbookViewId="0">
      <selection activeCell="AD1" sqref="AD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3.42578125" style="55" hidden="1" customWidth="1" outlineLevel="1"/>
    <col min="10" max="10" width="9" style="49" hidden="1" customWidth="1" outlineLevel="1"/>
    <col min="11" max="11" width="15.140625" style="49" hidden="1" customWidth="1" outlineLevel="1"/>
    <col min="12" max="12" width="2.7109375" style="49" customWidth="1" collapsed="1"/>
    <col min="13" max="13" width="6" style="49" hidden="1" customWidth="1" outlineLevel="1"/>
    <col min="14" max="14" width="15.140625" style="104" hidden="1" customWidth="1" outlineLevel="1"/>
    <col min="15" max="15" width="22.42578125" style="104" hidden="1" customWidth="1" outlineLevel="1"/>
    <col min="16" max="16" width="9.7109375" style="104" hidden="1" customWidth="1" outlineLevel="1"/>
    <col min="17" max="17" width="7.85546875" style="104" hidden="1" customWidth="1" outlineLevel="1"/>
    <col min="18" max="18" width="9" style="104" hidden="1" customWidth="1" outlineLevel="1"/>
    <col min="19" max="19" width="5.85546875" style="104" hidden="1" customWidth="1" outlineLevel="1"/>
    <col min="20" max="21" width="10.7109375" style="104" hidden="1" customWidth="1" outlineLevel="1"/>
    <col min="22" max="22" width="2.7109375" style="51" hidden="1" customWidth="1" outlineLevel="1"/>
    <col min="23" max="23" width="6" style="49" bestFit="1" customWidth="1" collapsed="1"/>
    <col min="24" max="24" width="10.140625" style="49" hidden="1" customWidth="1" outlineLevel="1"/>
    <col min="25" max="25" width="24.7109375" style="49" customWidth="1" collapsed="1"/>
    <col min="26" max="27" width="9.7109375" style="49" customWidth="1"/>
    <col min="28" max="29" width="17.28515625" style="49" bestFit="1" customWidth="1"/>
    <col min="30" max="30" width="10" style="49" bestFit="1" customWidth="1"/>
    <col min="31" max="31" width="2.7109375" style="49" customWidth="1"/>
    <col min="32" max="32" width="3" style="49" bestFit="1" customWidth="1"/>
    <col min="33" max="33" width="24.42578125" style="49" bestFit="1" customWidth="1"/>
    <col min="34" max="34" width="24.42578125" style="49" hidden="1" customWidth="1" outlineLevel="1"/>
    <col min="35" max="35" width="7" style="49" hidden="1" customWidth="1" outlineLevel="1"/>
    <col min="36" max="36" width="11" style="49" hidden="1" customWidth="1" outlineLevel="1"/>
    <col min="37" max="37" width="9" style="49" bestFit="1" customWidth="1" collapsed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9" ht="18" customHeight="1" x14ac:dyDescent="0.2">
      <c r="G1" s="53" t="s">
        <v>2</v>
      </c>
      <c r="H1" s="53"/>
      <c r="I1" s="53"/>
      <c r="M1" s="70" t="s">
        <v>25</v>
      </c>
      <c r="N1" s="107"/>
      <c r="O1" s="107"/>
      <c r="P1" s="107"/>
      <c r="Q1" s="107"/>
      <c r="R1" s="107"/>
      <c r="S1" s="107"/>
      <c r="T1" s="107"/>
      <c r="U1" s="97"/>
      <c r="V1" s="94"/>
      <c r="W1" s="78" t="str">
        <f>Currency&amp;$G$1</f>
        <v>EUR1M</v>
      </c>
      <c r="X1" s="69"/>
      <c r="Y1" s="69"/>
      <c r="Z1" s="72"/>
      <c r="AA1" s="72"/>
      <c r="AB1" s="69"/>
      <c r="AC1" s="69"/>
      <c r="AD1" s="76" t="s">
        <v>134</v>
      </c>
    </row>
    <row r="2" spans="1:39" ht="21.75" customHeight="1" x14ac:dyDescent="0.2">
      <c r="A2" s="68" t="s">
        <v>9</v>
      </c>
      <c r="B2" s="68" t="s">
        <v>28</v>
      </c>
      <c r="C2" s="68" t="s">
        <v>92</v>
      </c>
      <c r="D2" s="68" t="s">
        <v>130</v>
      </c>
      <c r="E2" s="68" t="s">
        <v>32</v>
      </c>
      <c r="F2" s="68" t="s">
        <v>115</v>
      </c>
      <c r="G2" s="68" t="s">
        <v>4</v>
      </c>
      <c r="H2" s="68" t="s">
        <v>1</v>
      </c>
      <c r="I2" s="68" t="s">
        <v>171</v>
      </c>
      <c r="J2" s="68"/>
      <c r="K2" s="68" t="s">
        <v>25</v>
      </c>
      <c r="M2" s="77" t="s">
        <v>9</v>
      </c>
      <c r="N2" s="77" t="s">
        <v>25</v>
      </c>
      <c r="O2" s="77" t="s">
        <v>79</v>
      </c>
      <c r="P2" s="77" t="s">
        <v>82</v>
      </c>
      <c r="Q2" s="77" t="s">
        <v>80</v>
      </c>
      <c r="R2" s="77" t="s">
        <v>81</v>
      </c>
      <c r="S2" s="77" t="s">
        <v>83</v>
      </c>
      <c r="T2" s="77" t="s">
        <v>23</v>
      </c>
      <c r="U2" s="77" t="s">
        <v>76</v>
      </c>
      <c r="V2" s="94"/>
      <c r="W2" s="77" t="s">
        <v>9</v>
      </c>
      <c r="X2" s="77" t="s">
        <v>25</v>
      </c>
      <c r="Y2" s="77" t="s">
        <v>79</v>
      </c>
      <c r="Z2" s="79" t="s">
        <v>24</v>
      </c>
      <c r="AA2" s="79" t="s">
        <v>84</v>
      </c>
      <c r="AB2" s="77" t="s">
        <v>23</v>
      </c>
      <c r="AC2" s="77" t="s">
        <v>76</v>
      </c>
      <c r="AD2" s="207">
        <f t="array" ref="AD2:AD91">_xll.qlPiecewiseYieldCurveData(YieldCurve_1M,Trigger)</f>
        <v>-3.8083057368223077E-3</v>
      </c>
      <c r="AE2" s="81"/>
      <c r="AG2" s="204" t="s">
        <v>85</v>
      </c>
      <c r="AH2" s="205"/>
      <c r="AI2" s="205"/>
      <c r="AJ2" s="205"/>
      <c r="AK2" s="206"/>
    </row>
    <row r="3" spans="1:39" ht="11.25" customHeight="1" x14ac:dyDescent="0.2">
      <c r="A3" s="56" t="str">
        <f>Quote!L4</f>
        <v>DP</v>
      </c>
      <c r="B3" s="57" t="str">
        <f>Quote!M4</f>
        <v>ON</v>
      </c>
      <c r="C3" s="59" t="s">
        <v>73</v>
      </c>
      <c r="D3" s="59" t="b">
        <v>0</v>
      </c>
      <c r="E3" s="58" t="s">
        <v>131</v>
      </c>
      <c r="F3" s="59" t="s">
        <v>26</v>
      </c>
      <c r="G3" s="125"/>
      <c r="H3" s="156" t="str">
        <f>IF(ISBLANK(Quote!O4),"",Quote!O4)</f>
        <v/>
      </c>
      <c r="I3" s="129"/>
      <c r="J3" s="129"/>
      <c r="K3" s="61"/>
      <c r="L3" s="52"/>
      <c r="M3" s="71" t="str">
        <f>A3</f>
        <v>DP</v>
      </c>
      <c r="N3" s="131" t="str">
        <f>IF(ISBLANK(K3),"--",K3)</f>
        <v>--</v>
      </c>
      <c r="O3" s="145" t="str">
        <f>IFERROR(_xll.qlRateHelperQuoteName(N3,Trigger),"--")</f>
        <v>--</v>
      </c>
      <c r="P3" s="133" t="str">
        <f>IFERROR(_xll.qlRateHelperQuoteValue($N3,Trigger),"--")</f>
        <v>--</v>
      </c>
      <c r="Q3" s="132" t="b">
        <v>0</v>
      </c>
      <c r="R3" s="131">
        <v>10</v>
      </c>
      <c r="S3" s="131">
        <v>1</v>
      </c>
      <c r="T3" s="134" t="str">
        <f>IFERROR(_xll.qlRateHelperEarliestDate(N3,Trigger),"--")</f>
        <v>--</v>
      </c>
      <c r="U3" s="134" t="str">
        <f>IFERROR(_xll.qlRateHelperPillarDate(N3,Trigger),"--")</f>
        <v>--</v>
      </c>
      <c r="W3" s="162" t="str">
        <f t="shared" ref="W3:W34" si="0">IFERROR(INDEX($M$3:$M$91,MATCH(Y3,$O$3:$O$91,0),1),"")</f>
        <v>DP</v>
      </c>
      <c r="X3" s="162" t="str">
        <f t="array" ref="X3:X91">_xll.qlRateHelperSelection(_xll.ohFilter(RateHelpers,IncludeFlag),_xll.ohFilter(Priority,IncludeFlag),$AK$3,$AK$4,$AK$5,$AK$6,_xll.ohFilter(MinDistance,IncludeFlag),Trigger)</f>
        <v>obj_002cc</v>
      </c>
      <c r="Y3" s="162" t="str">
        <f>IFERROR(_xll.qlRateHelperQuoteName(X3,Trigger),"")</f>
        <v>EUR1MDPSN_Shifted</v>
      </c>
      <c r="Z3" s="184">
        <f>IFERROR(_xll.qlRateHelperRate(X3,Trigger),"")</f>
        <v>-3.7560783800000002E-3</v>
      </c>
      <c r="AA3" s="185" t="str">
        <f>IF(ISERROR(_xll.qlSwapRateHelperSpread($X3)),IF(ISERROR(_xll.qlFuturesRateHelperConvexityAdjustment($X3)),"",_xll.qlFuturesRateHelperConvexityAdjustment($X3)),_xll.qlSwapRateHelperSpread($X3))</f>
        <v/>
      </c>
      <c r="AB3" s="163">
        <f>IFERROR(_xll.qlRateHelperEarliestDate(X3,Trigger),"")</f>
        <v>42748</v>
      </c>
      <c r="AC3" s="163">
        <f>IFERROR(_xll.qlRateHelperPillarDate(X3,Trigger),"")</f>
        <v>42751</v>
      </c>
      <c r="AD3" s="184">
        <v>-3.8083057368223077E-3</v>
      </c>
      <c r="AE3" s="81"/>
      <c r="AG3" s="202" t="s">
        <v>86</v>
      </c>
      <c r="AK3" s="203">
        <v>0</v>
      </c>
    </row>
    <row r="4" spans="1:39" ht="11.25" customHeight="1" x14ac:dyDescent="0.2">
      <c r="A4" s="221" t="str">
        <f>Quote!L5</f>
        <v>DP</v>
      </c>
      <c r="B4" s="280" t="str">
        <f>Quote!M5</f>
        <v>TN</v>
      </c>
      <c r="C4" s="281" t="s">
        <v>36</v>
      </c>
      <c r="D4" s="278"/>
      <c r="E4" s="278"/>
      <c r="F4" s="278"/>
      <c r="G4" s="278"/>
      <c r="H4" s="122" t="str">
        <f>IF(ISBLANK(Quote!O5),"",Quote!O5)</f>
        <v/>
      </c>
      <c r="I4" s="125"/>
      <c r="J4" s="125"/>
      <c r="K4" s="67"/>
      <c r="L4" s="51"/>
      <c r="M4" s="10" t="str">
        <f t="shared" ref="M4:M20" si="1">A4</f>
        <v>DP</v>
      </c>
      <c r="N4" s="95" t="str">
        <f t="shared" ref="N4:N20" si="2">IF(ISBLANK(K4),"--",K4)</f>
        <v>--</v>
      </c>
      <c r="O4" s="146" t="str">
        <f>IFERROR(_xll.qlRateHelperQuoteName(N4,Trigger),"--")</f>
        <v>--</v>
      </c>
      <c r="P4" s="99" t="str">
        <f>IFERROR(_xll.qlRateHelperQuoteValue($N4,Trigger),"--")</f>
        <v>--</v>
      </c>
      <c r="Q4" s="98" t="b">
        <v>0</v>
      </c>
      <c r="R4" s="95">
        <v>10</v>
      </c>
      <c r="S4" s="95">
        <v>1</v>
      </c>
      <c r="T4" s="100" t="str">
        <f>IFERROR(_xll.qlRateHelperEarliestDate(N4,Trigger),"--")</f>
        <v>--</v>
      </c>
      <c r="U4" s="100" t="str">
        <f>IFERROR(_xll.qlRateHelperPillarDate(N4,Trigger),"--")</f>
        <v>--</v>
      </c>
      <c r="W4" s="162" t="str">
        <f t="shared" si="0"/>
        <v>DP</v>
      </c>
      <c r="X4" s="162" t="str">
        <v>obj_002c1</v>
      </c>
      <c r="Y4" s="162" t="str">
        <f>IFERROR(_xll.qlRateHelperQuoteName(X4,Trigger),"")</f>
        <v>EUR1MDPSW_Shifted</v>
      </c>
      <c r="Z4" s="184">
        <f>IFERROR(_xll.qlRateHelperRate(X4,Trigger),"")</f>
        <v>-3.7560000000000007E-3</v>
      </c>
      <c r="AA4" s="185" t="str">
        <f>IF(ISERROR(_xll.qlSwapRateHelperSpread($X4)),IF(ISERROR(_xll.qlFuturesRateHelperConvexityAdjustment($X4)),"",_xll.qlFuturesRateHelperConvexityAdjustment($X4)),_xll.qlSwapRateHelperSpread($X4))</f>
        <v/>
      </c>
      <c r="AB4" s="163">
        <f>IFERROR(_xll.qlRateHelperEarliestDate(X4,Trigger),"")</f>
        <v>42748</v>
      </c>
      <c r="AC4" s="163">
        <f>IFERROR(_xll.qlRateHelperPillarDate(X4,Trigger),"")</f>
        <v>42755</v>
      </c>
      <c r="AD4" s="184">
        <v>-3.8083057354468108E-3</v>
      </c>
      <c r="AE4" s="81"/>
      <c r="AG4" s="108" t="s">
        <v>87</v>
      </c>
      <c r="AK4" s="109">
        <v>0</v>
      </c>
    </row>
    <row r="5" spans="1:39" ht="11.25" customHeight="1" x14ac:dyDescent="0.2">
      <c r="A5" s="62" t="str">
        <f>Quote!L6</f>
        <v>DP</v>
      </c>
      <c r="B5" s="63" t="str">
        <f>Quote!M6</f>
        <v>SN</v>
      </c>
      <c r="C5" s="65" t="s">
        <v>74</v>
      </c>
      <c r="D5" s="125"/>
      <c r="E5" s="125"/>
      <c r="F5" s="125"/>
      <c r="G5" s="64" t="str">
        <f>Euribor!E4</f>
        <v>EoniaMX#0006</v>
      </c>
      <c r="H5" s="334" t="str">
        <f>IF(ISBLANK(Quote!O6),"",Quote!O6)</f>
        <v>EUR1MDPSN=#0006</v>
      </c>
      <c r="I5" s="334" t="str">
        <f>_xll.qlCompositeQuote(Currency&amp;"1M"&amp;A5&amp;B5&amp;"_Shifted",H5,BumpValue,"+",Permanent,Trigger,ObjectOverwrite)</f>
        <v>EUR1MDPSN_Shifted#0006</v>
      </c>
      <c r="J5" s="275"/>
      <c r="K5" s="220" t="str">
        <f>_xll.qlFraRateHelper(,IF(Sensitivity,I5,H5),C5,G5,PillarDate,,Permanent,Trigger,ObjectOverwrite)</f>
        <v>obj_002cc#0006</v>
      </c>
      <c r="L5" s="51"/>
      <c r="M5" s="10" t="str">
        <f t="shared" si="1"/>
        <v>DP</v>
      </c>
      <c r="N5" s="95" t="str">
        <f t="shared" si="2"/>
        <v>obj_002cc#0006</v>
      </c>
      <c r="O5" s="146" t="str">
        <f>IFERROR(_xll.qlRateHelperQuoteName(N5,Trigger),"--")</f>
        <v>EUR1MDPSN_Shifted</v>
      </c>
      <c r="P5" s="99">
        <f>IFERROR(_xll.qlRateHelperQuoteValue($N5,Trigger),"--")</f>
        <v>-3.7560783800000002E-3</v>
      </c>
      <c r="Q5" s="98" t="b">
        <v>1</v>
      </c>
      <c r="R5" s="95">
        <v>10</v>
      </c>
      <c r="S5" s="95">
        <v>1</v>
      </c>
      <c r="T5" s="100">
        <f>IFERROR(_xll.qlRateHelperEarliestDate(N5,Trigger),"--")</f>
        <v>42748</v>
      </c>
      <c r="U5" s="100">
        <f>IFERROR(_xll.qlRateHelperPillarDate(N5,Trigger),"--")</f>
        <v>42751</v>
      </c>
      <c r="W5" s="162" t="str">
        <f t="shared" si="0"/>
        <v>DP</v>
      </c>
      <c r="X5" s="162" t="str">
        <v>obj_002d7</v>
      </c>
      <c r="Y5" s="162" t="str">
        <f>IFERROR(_xll.qlRateHelperQuoteName(X5,Trigger),"")</f>
        <v>EUR1MDP2W_Shifted</v>
      </c>
      <c r="Z5" s="184">
        <f>IFERROR(_xll.qlRateHelperRate(X5,Trigger),"")</f>
        <v>-3.7430000000000002E-3</v>
      </c>
      <c r="AA5" s="185" t="str">
        <f>IF(ISERROR(_xll.qlSwapRateHelperSpread($X5)),IF(ISERROR(_xll.qlFuturesRateHelperConvexityAdjustment($X5)),"",_xll.qlFuturesRateHelperConvexityAdjustment($X5)),_xll.qlSwapRateHelperSpread($X5))</f>
        <v/>
      </c>
      <c r="AB5" s="163">
        <f>IFERROR(_xll.qlRateHelperEarliestDate(X5,Trigger),"")</f>
        <v>42748</v>
      </c>
      <c r="AC5" s="163">
        <f>IFERROR(_xll.qlRateHelperPillarDate(X5,Trigger),"")</f>
        <v>42762</v>
      </c>
      <c r="AD5" s="184">
        <v>-3.7968927638417269E-3</v>
      </c>
      <c r="AE5" s="81"/>
      <c r="AF5" s="81"/>
      <c r="AG5" s="108" t="s">
        <v>88</v>
      </c>
      <c r="AK5" s="109">
        <v>0</v>
      </c>
    </row>
    <row r="6" spans="1:39" ht="11.25" customHeight="1" x14ac:dyDescent="0.2">
      <c r="A6" s="62" t="str">
        <f>Quote!L7</f>
        <v>DP</v>
      </c>
      <c r="B6" s="63" t="str">
        <f>Quote!M7</f>
        <v>SW</v>
      </c>
      <c r="C6" s="65" t="s">
        <v>36</v>
      </c>
      <c r="D6" s="125"/>
      <c r="E6" s="125"/>
      <c r="F6" s="125"/>
      <c r="G6" s="64" t="str">
        <f>Euribor!E5</f>
        <v>EuriborSWMX#0006</v>
      </c>
      <c r="H6" s="122" t="str">
        <f>IF(ISBLANK(Quote!O7),"",Quote!O7)</f>
        <v>EUR1MDPSW=#0006</v>
      </c>
      <c r="I6" s="122" t="str">
        <f>_xll.qlCompositeQuote(Currency&amp;"1M"&amp;A6&amp;B6&amp;"_Shifted",H6,BumpValue,"+",Permanent,Trigger,ObjectOverwrite)</f>
        <v>EUR1MDPSW_Shifted#0006</v>
      </c>
      <c r="J6" s="125"/>
      <c r="K6" s="67" t="str">
        <f>_xll.qlDepositRateHelper(,IF(Sensitivity,I6,H6),G6,Permanent,Trigger,ObjectOverwrite)</f>
        <v>obj_002c1#0006</v>
      </c>
      <c r="L6" s="51"/>
      <c r="M6" s="10" t="str">
        <f t="shared" si="1"/>
        <v>DP</v>
      </c>
      <c r="N6" s="95" t="str">
        <f t="shared" si="2"/>
        <v>obj_002c1#0006</v>
      </c>
      <c r="O6" s="146" t="str">
        <f>IFERROR(_xll.qlRateHelperQuoteName(N6,Trigger),"--")</f>
        <v>EUR1MDPSW_Shifted</v>
      </c>
      <c r="P6" s="99">
        <f>IFERROR(_xll.qlRateHelperQuoteValue($N6,Trigger),"--")</f>
        <v>-3.7560000000000007E-3</v>
      </c>
      <c r="Q6" s="98" t="b">
        <v>1</v>
      </c>
      <c r="R6" s="95">
        <v>10</v>
      </c>
      <c r="S6" s="95">
        <v>1</v>
      </c>
      <c r="T6" s="100">
        <f>IFERROR(_xll.qlRateHelperEarliestDate(N6,Trigger),"--")</f>
        <v>42748</v>
      </c>
      <c r="U6" s="100">
        <f>IFERROR(_xll.qlRateHelperPillarDate(N6,Trigger),"--")</f>
        <v>42755</v>
      </c>
      <c r="W6" s="162" t="str">
        <f t="shared" si="0"/>
        <v>DP</v>
      </c>
      <c r="X6" s="162" t="str">
        <v>obj_002d5</v>
      </c>
      <c r="Y6" s="162" t="str">
        <f>IFERROR(_xll.qlRateHelperQuoteName(X6,Trigger),"")</f>
        <v>EUR1MDP3W_Shifted</v>
      </c>
      <c r="Z6" s="184">
        <f>IFERROR(_xll.qlRateHelperRate(X6,Trigger),"")</f>
        <v>-3.7230000000000002E-3</v>
      </c>
      <c r="AA6" s="185" t="str">
        <f>IF(ISERROR(_xll.qlSwapRateHelperSpread($X6)),IF(ISERROR(_xll.qlFuturesRateHelperConvexityAdjustment($X6)),"",_xll.qlFuturesRateHelperConvexityAdjustment($X6)),_xll.qlSwapRateHelperSpread($X6))</f>
        <v/>
      </c>
      <c r="AB6" s="163">
        <f>IFERROR(_xll.qlRateHelperEarliestDate(X6,Trigger),"")</f>
        <v>42748</v>
      </c>
      <c r="AC6" s="163">
        <f>IFERROR(_xll.qlRateHelperPillarDate(X6,Trigger),"")</f>
        <v>42769</v>
      </c>
      <c r="AD6" s="184">
        <v>-3.7780041447519298E-3</v>
      </c>
      <c r="AE6" s="81"/>
      <c r="AG6" s="108" t="s">
        <v>89</v>
      </c>
      <c r="AK6" s="110" t="s">
        <v>90</v>
      </c>
    </row>
    <row r="7" spans="1:39" ht="11.25" customHeight="1" x14ac:dyDescent="0.2">
      <c r="A7" s="62" t="str">
        <f>Quote!L8</f>
        <v>DP</v>
      </c>
      <c r="B7" s="63" t="str">
        <f>Quote!M8</f>
        <v>2W</v>
      </c>
      <c r="C7" s="65" t="s">
        <v>37</v>
      </c>
      <c r="D7" s="125"/>
      <c r="E7" s="125"/>
      <c r="F7" s="125"/>
      <c r="G7" s="64" t="str">
        <f>Euribor!E6</f>
        <v>Euribor2WMX#0006</v>
      </c>
      <c r="H7" s="122" t="str">
        <f>IF(ISBLANK(Quote!O8),"",Quote!O8)</f>
        <v>EUR1MDP2W=#0006</v>
      </c>
      <c r="I7" s="122" t="str">
        <f>_xll.qlCompositeQuote(Currency&amp;"1M"&amp;A7&amp;B7&amp;"_Shifted",H7,BumpValue,"+",Permanent,Trigger,ObjectOverwrite)</f>
        <v>EUR1MDP2W_Shifted#0006</v>
      </c>
      <c r="J7" s="125"/>
      <c r="K7" s="67" t="str">
        <f>_xll.qlDepositRateHelper(,IF(Sensitivity,I7,H7),G7,Permanent,Trigger,ObjectOverwrite)</f>
        <v>obj_002d7#0006</v>
      </c>
      <c r="L7" s="51"/>
      <c r="M7" s="10" t="str">
        <f t="shared" si="1"/>
        <v>DP</v>
      </c>
      <c r="N7" s="95" t="str">
        <f t="shared" si="2"/>
        <v>obj_002d7#0006</v>
      </c>
      <c r="O7" s="146" t="str">
        <f>IFERROR(_xll.qlRateHelperQuoteName(N7,Trigger),"--")</f>
        <v>EUR1MDP2W_Shifted</v>
      </c>
      <c r="P7" s="99">
        <f>IFERROR(_xll.qlRateHelperQuoteValue($N7,Trigger),"--")</f>
        <v>-3.7430000000000002E-3</v>
      </c>
      <c r="Q7" s="98" t="b">
        <v>1</v>
      </c>
      <c r="R7" s="95">
        <v>10</v>
      </c>
      <c r="S7" s="95">
        <v>1</v>
      </c>
      <c r="T7" s="100">
        <f>IFERROR(_xll.qlRateHelperEarliestDate(N7,Trigger),"--")</f>
        <v>42748</v>
      </c>
      <c r="U7" s="100">
        <f>IFERROR(_xll.qlRateHelperPillarDate(N7,Trigger),"--")</f>
        <v>42762</v>
      </c>
      <c r="W7" s="162" t="str">
        <f t="shared" si="0"/>
        <v>DP</v>
      </c>
      <c r="X7" s="162" t="str">
        <v>obj_002ad</v>
      </c>
      <c r="Y7" s="162" t="str">
        <f>IFERROR(_xll.qlRateHelperQuoteName(X7,Trigger),"")</f>
        <v>EUR1MDP1M_Shifted</v>
      </c>
      <c r="Z7" s="184">
        <f>IFERROR(_xll.qlRateHelperRate(X7,Trigger),"")</f>
        <v>-3.7199999999999998E-3</v>
      </c>
      <c r="AA7" s="185" t="str">
        <f>IF(ISERROR(_xll.qlSwapRateHelperSpread($X7)),IF(ISERROR(_xll.qlFuturesRateHelperConvexityAdjustment($X7)),"",_xll.qlFuturesRateHelperConvexityAdjustment($X7)),_xll.qlSwapRateHelperSpread($X7))</f>
        <v/>
      </c>
      <c r="AB7" s="163">
        <f>IFERROR(_xll.qlRateHelperEarliestDate(X7,Trigger),"")</f>
        <v>42748</v>
      </c>
      <c r="AC7" s="163">
        <f>IFERROR(_xll.qlRateHelperPillarDate(X7,Trigger),"")</f>
        <v>42779</v>
      </c>
      <c r="AD7" s="184">
        <v>-3.7744548210435396E-3</v>
      </c>
      <c r="AE7" s="81"/>
    </row>
    <row r="8" spans="1:39" ht="11.25" customHeight="1" x14ac:dyDescent="0.2">
      <c r="A8" s="62" t="str">
        <f>Quote!L9</f>
        <v>DP</v>
      </c>
      <c r="B8" s="63" t="str">
        <f>Quote!M9</f>
        <v>3W</v>
      </c>
      <c r="C8" s="65" t="s">
        <v>38</v>
      </c>
      <c r="D8" s="125"/>
      <c r="E8" s="125"/>
      <c r="F8" s="125"/>
      <c r="G8" s="64" t="str">
        <f>_xll.qlEuribor(,C8,,,Trigger)</f>
        <v>obj_000c2#0006</v>
      </c>
      <c r="H8" s="122" t="str">
        <f>IF(ISBLANK(Quote!O9),"",Quote!O9)</f>
        <v>EUR1MDP3W=#0006</v>
      </c>
      <c r="I8" s="122" t="str">
        <f>_xll.qlCompositeQuote(Currency&amp;"1M"&amp;A8&amp;B8&amp;"_Shifted",H8,BumpValue,"+",Permanent,Trigger,ObjectOverwrite)</f>
        <v>EUR1MDP3W_Shifted#0006</v>
      </c>
      <c r="J8" s="125"/>
      <c r="K8" s="67" t="str">
        <f>_xll.qlDepositRateHelper(,IF(Sensitivity,I8,H8),G8,Permanent,Trigger,ObjectOverwrite)</f>
        <v>obj_002d5#0006</v>
      </c>
      <c r="L8" s="51"/>
      <c r="M8" s="10" t="str">
        <f t="shared" si="1"/>
        <v>DP</v>
      </c>
      <c r="N8" s="95" t="str">
        <f t="shared" si="2"/>
        <v>obj_002d5#0006</v>
      </c>
      <c r="O8" s="146" t="str">
        <f>IFERROR(_xll.qlRateHelperQuoteName(N8,Trigger),"--")</f>
        <v>EUR1MDP3W_Shifted</v>
      </c>
      <c r="P8" s="99">
        <f>IFERROR(_xll.qlRateHelperQuoteValue($N8,Trigger),"--")</f>
        <v>-3.7230000000000002E-3</v>
      </c>
      <c r="Q8" s="141" t="b">
        <v>1</v>
      </c>
      <c r="R8" s="95">
        <v>40</v>
      </c>
      <c r="S8" s="95">
        <v>1</v>
      </c>
      <c r="T8" s="100">
        <f>IFERROR(_xll.qlRateHelperEarliestDate(N8,Trigger),"--")</f>
        <v>42748</v>
      </c>
      <c r="U8" s="100">
        <f>IFERROR(_xll.qlRateHelperPillarDate(N8,Trigger),"--")</f>
        <v>42769</v>
      </c>
      <c r="W8" s="162" t="str">
        <f t="shared" si="0"/>
        <v>SW</v>
      </c>
      <c r="X8" s="162" t="str">
        <v>obj_0034c</v>
      </c>
      <c r="Y8" s="162" t="str">
        <f>IFERROR(_xll.qlRateHelperQuoteName(X8,Trigger),"")</f>
        <v>EUR1MSW2M_Shifted</v>
      </c>
      <c r="Z8" s="184">
        <f>IFERROR(_xll.qlRateHelperRate(X8,Trigger),"")</f>
        <v>-3.7000000000000002E-3</v>
      </c>
      <c r="AA8" s="185">
        <f>IF(ISERROR(_xll.qlSwapRateHelperSpread($X8)),IF(ISERROR(_xll.qlFuturesRateHelperConvexityAdjustment($X8)),"",_xll.qlFuturesRateHelperConvexityAdjustment($X8)),_xll.qlSwapRateHelperSpread($X8))</f>
        <v>0</v>
      </c>
      <c r="AB8" s="163">
        <f>IFERROR(_xll.qlRateHelperEarliestDate(X8,Trigger),"")</f>
        <v>42748</v>
      </c>
      <c r="AC8" s="163">
        <f>IFERROR(_xll.qlRateHelperPillarDate(X8,Trigger),"")</f>
        <v>42807</v>
      </c>
      <c r="AD8" s="184">
        <v>-3.7543302095190208E-3</v>
      </c>
      <c r="AE8" s="81"/>
      <c r="AG8" s="108" t="s">
        <v>188</v>
      </c>
      <c r="AK8" s="384" t="b">
        <v>1</v>
      </c>
    </row>
    <row r="9" spans="1:39" ht="11.25" customHeight="1" x14ac:dyDescent="0.2">
      <c r="A9" s="221" t="str">
        <f>Quote!L10</f>
        <v>DP</v>
      </c>
      <c r="B9" s="280" t="str">
        <f>Quote!M10</f>
        <v>1M</v>
      </c>
      <c r="C9" s="281" t="s">
        <v>2</v>
      </c>
      <c r="D9" s="125"/>
      <c r="E9" s="125"/>
      <c r="F9" s="125"/>
      <c r="G9" s="223" t="str">
        <f>Euribor!E7</f>
        <v>Euribor1MMX#0006</v>
      </c>
      <c r="H9" s="336" t="str">
        <f>IF(ISBLANK(Quote!O10),"",Quote!O10)</f>
        <v>EUR1MDP1M=#0006</v>
      </c>
      <c r="I9" s="336" t="str">
        <f>_xll.qlCompositeQuote(Currency&amp;"1M"&amp;A9&amp;B9&amp;"_Shifted",H9,BumpValue,"+",Permanent,Trigger,ObjectOverwrite)</f>
        <v>EUR1MDP1M_Shifted#0006</v>
      </c>
      <c r="J9" s="278"/>
      <c r="K9" s="225" t="str">
        <f>_xll.qlDepositRateHelper(,IF(Sensitivity,I9,H9),G9,Permanent,Trigger,ObjectOverwrite)</f>
        <v>obj_002ad#0006</v>
      </c>
      <c r="L9" s="51"/>
      <c r="M9" s="10" t="str">
        <f t="shared" si="1"/>
        <v>DP</v>
      </c>
      <c r="N9" s="95" t="str">
        <f t="shared" si="2"/>
        <v>obj_002ad#0006</v>
      </c>
      <c r="O9" s="146" t="str">
        <f>IFERROR(_xll.qlRateHelperQuoteName(N9,Trigger),"--")</f>
        <v>EUR1MDP1M_Shifted</v>
      </c>
      <c r="P9" s="99">
        <f>IFERROR(_xll.qlRateHelperQuoteValue($N9,Trigger),"--")</f>
        <v>-3.7199999999999998E-3</v>
      </c>
      <c r="Q9" s="141" t="b">
        <v>1</v>
      </c>
      <c r="R9" s="95">
        <v>40</v>
      </c>
      <c r="S9" s="95">
        <v>1</v>
      </c>
      <c r="T9" s="100">
        <f>IFERROR(_xll.qlRateHelperEarliestDate(N9,Trigger),"--")</f>
        <v>42748</v>
      </c>
      <c r="U9" s="100">
        <f>IFERROR(_xll.qlRateHelperPillarDate(N9,Trigger),"--")</f>
        <v>42779</v>
      </c>
      <c r="W9" s="162" t="str">
        <f t="shared" si="0"/>
        <v>SW</v>
      </c>
      <c r="X9" s="162" t="str">
        <v>obj_003d9</v>
      </c>
      <c r="Y9" s="162" t="str">
        <f>IFERROR(_xll.qlRateHelperQuoteName(X9,Trigger),"")</f>
        <v>EUR1MSW3M_Shifted</v>
      </c>
      <c r="Z9" s="184">
        <f>IFERROR(_xll.qlRateHelperRate(X9,Trigger),"")</f>
        <v>-3.7199999999999998E-3</v>
      </c>
      <c r="AA9" s="185">
        <f>IF(ISERROR(_xll.qlSwapRateHelperSpread($X9)),IF(ISERROR(_xll.qlFuturesRateHelperConvexityAdjustment($X9)),"",_xll.qlFuturesRateHelperConvexityAdjustment($X9)),_xll.qlSwapRateHelperSpread($X9))</f>
        <v>0</v>
      </c>
      <c r="AB9" s="163">
        <f>IFERROR(_xll.qlRateHelperEarliestDate(X9,Trigger),"")</f>
        <v>42748</v>
      </c>
      <c r="AC9" s="163">
        <f>IFERROR(_xll.qlRateHelperPillarDate(X9,Trigger),"")</f>
        <v>42838</v>
      </c>
      <c r="AD9" s="184">
        <v>-3.7741190689026408E-3</v>
      </c>
      <c r="AE9" s="81"/>
      <c r="AH9" s="49" t="s">
        <v>127</v>
      </c>
    </row>
    <row r="10" spans="1:39" ht="11.25" customHeight="1" x14ac:dyDescent="0.2">
      <c r="A10" s="62" t="str">
        <f>Quote!L11</f>
        <v>DP</v>
      </c>
      <c r="B10" s="63" t="str">
        <f>Quote!M11</f>
        <v>2M</v>
      </c>
      <c r="C10" s="65" t="s">
        <v>39</v>
      </c>
      <c r="D10" s="275"/>
      <c r="E10" s="275"/>
      <c r="F10" s="275"/>
      <c r="G10" s="275"/>
      <c r="H10" s="334" t="str">
        <f>IF(ISBLANK(Quote!O11),"",Quote!O11)</f>
        <v/>
      </c>
      <c r="I10" s="275"/>
      <c r="J10" s="275"/>
      <c r="K10" s="275"/>
      <c r="L10" s="51"/>
      <c r="M10" s="10" t="str">
        <f t="shared" si="1"/>
        <v>DP</v>
      </c>
      <c r="N10" s="95" t="str">
        <f t="shared" si="2"/>
        <v>--</v>
      </c>
      <c r="O10" s="146" t="str">
        <f>IFERROR(_xll.qlRateHelperQuoteName(N10,Trigger),"--")</f>
        <v>--</v>
      </c>
      <c r="P10" s="99" t="str">
        <f>IFERROR(_xll.qlRateHelperQuoteValue($N10,Trigger),"--")</f>
        <v>--</v>
      </c>
      <c r="Q10" s="141" t="b">
        <v>0</v>
      </c>
      <c r="R10" s="95">
        <v>40</v>
      </c>
      <c r="S10" s="95">
        <v>1</v>
      </c>
      <c r="T10" s="100" t="str">
        <f>IFERROR(_xll.qlRateHelperEarliestDate(N10,Trigger),"--")</f>
        <v>--</v>
      </c>
      <c r="U10" s="100" t="str">
        <f>IFERROR(_xll.qlRateHelperPillarDate(N10,Trigger),"--")</f>
        <v>--</v>
      </c>
      <c r="W10" s="162" t="str">
        <f t="shared" si="0"/>
        <v>SW</v>
      </c>
      <c r="X10" s="162" t="str">
        <v>obj_00393</v>
      </c>
      <c r="Y10" s="162" t="str">
        <f>IFERROR(_xll.qlRateHelperQuoteName(X10,Trigger),"")</f>
        <v>EUR1MSW4M_Shifted</v>
      </c>
      <c r="Z10" s="184">
        <f>IFERROR(_xll.qlRateHelperRate(X10,Trigger),"")</f>
        <v>-3.7199999999999998E-3</v>
      </c>
      <c r="AA10" s="185">
        <f>IF(ISERROR(_xll.qlSwapRateHelperSpread($X10)),IF(ISERROR(_xll.qlFuturesRateHelperConvexityAdjustment($X10)),"",_xll.qlFuturesRateHelperConvexityAdjustment($X10)),_xll.qlSwapRateHelperSpread($X10))</f>
        <v>0</v>
      </c>
      <c r="AB10" s="163">
        <f>IFERROR(_xll.qlRateHelperEarliestDate(X10,Trigger),"")</f>
        <v>42748</v>
      </c>
      <c r="AC10" s="163">
        <f>IFERROR(_xll.qlRateHelperPillarDate(X10,Trigger),"")</f>
        <v>42870</v>
      </c>
      <c r="AD10" s="184">
        <v>-3.7745229487874477E-3</v>
      </c>
      <c r="AE10" s="81"/>
      <c r="AF10" s="77" t="s">
        <v>121</v>
      </c>
      <c r="AG10" s="77" t="s">
        <v>122</v>
      </c>
      <c r="AH10" s="77" t="s">
        <v>123</v>
      </c>
      <c r="AI10" s="77" t="s">
        <v>136</v>
      </c>
      <c r="AJ10" s="77" t="s">
        <v>124</v>
      </c>
      <c r="AK10" s="77" t="s">
        <v>137</v>
      </c>
      <c r="AL10" s="77" t="s">
        <v>125</v>
      </c>
      <c r="AM10" s="77" t="s">
        <v>126</v>
      </c>
    </row>
    <row r="11" spans="1:39" ht="11.25" customHeight="1" x14ac:dyDescent="0.2">
      <c r="A11" s="62" t="str">
        <f>Quote!L12</f>
        <v>DP</v>
      </c>
      <c r="B11" s="63" t="str">
        <f>Quote!M12</f>
        <v>3M</v>
      </c>
      <c r="C11" s="65" t="s">
        <v>0</v>
      </c>
      <c r="D11" s="125"/>
      <c r="E11" s="125"/>
      <c r="F11" s="125"/>
      <c r="G11" s="125"/>
      <c r="H11" s="122" t="str">
        <f>IF(ISBLANK(Quote!O12),"",Quote!O12)</f>
        <v/>
      </c>
      <c r="I11" s="125"/>
      <c r="J11" s="125"/>
      <c r="K11" s="125"/>
      <c r="L11" s="51"/>
      <c r="M11" s="10" t="str">
        <f t="shared" si="1"/>
        <v>DP</v>
      </c>
      <c r="N11" s="95" t="str">
        <f t="shared" si="2"/>
        <v>--</v>
      </c>
      <c r="O11" s="146" t="str">
        <f>IFERROR(_xll.qlRateHelperQuoteName(N11,Trigger),"--")</f>
        <v>--</v>
      </c>
      <c r="P11" s="99" t="str">
        <f>IFERROR(_xll.qlRateHelperQuoteValue($N11,Trigger),"--")</f>
        <v>--</v>
      </c>
      <c r="Q11" s="141" t="b">
        <v>0</v>
      </c>
      <c r="R11" s="95">
        <v>40</v>
      </c>
      <c r="S11" s="95">
        <v>1</v>
      </c>
      <c r="T11" s="100" t="str">
        <f>IFERROR(_xll.qlRateHelperEarliestDate(N11,Trigger),"--")</f>
        <v>--</v>
      </c>
      <c r="U11" s="100" t="str">
        <f>IFERROR(_xll.qlRateHelperPillarDate(N11,Trigger),"--")</f>
        <v>--</v>
      </c>
      <c r="W11" s="162" t="str">
        <f t="shared" si="0"/>
        <v>SW</v>
      </c>
      <c r="X11" s="162" t="str">
        <v>obj_0038d</v>
      </c>
      <c r="Y11" s="162" t="str">
        <f>IFERROR(_xll.qlRateHelperQuoteName(X11,Trigger),"")</f>
        <v>EUR1MSW5M_Shifted</v>
      </c>
      <c r="Z11" s="184">
        <f>IFERROR(_xll.qlRateHelperRate(X11,Trigger),"")</f>
        <v>-3.7199999999999998E-3</v>
      </c>
      <c r="AA11" s="185">
        <f>IF(ISERROR(_xll.qlSwapRateHelperSpread($X11)),IF(ISERROR(_xll.qlFuturesRateHelperConvexityAdjustment($X11)),"",_xll.qlFuturesRateHelperConvexityAdjustment($X11)),_xll.qlSwapRateHelperSpread($X11))</f>
        <v>0</v>
      </c>
      <c r="AB11" s="163">
        <f>IFERROR(_xll.qlRateHelperEarliestDate(X11,Trigger),"")</f>
        <v>42748</v>
      </c>
      <c r="AC11" s="163">
        <f>IFERROR(_xll.qlRateHelperPillarDate(X11,Trigger),"")</f>
        <v>42899</v>
      </c>
      <c r="AD11" s="184">
        <v>-3.7749548656432828E-3</v>
      </c>
      <c r="AE11" s="81"/>
      <c r="AF11" s="159">
        <v>1</v>
      </c>
      <c r="AG11" s="160">
        <f>_xll.qlCalendarEndOfMonth(Calendar,Settlementdate,Trigger)</f>
        <v>42766</v>
      </c>
      <c r="AH11" s="159" t="str">
        <f t="shared" ref="AH11:AH23" si="3">Currency&amp;$AH$9&amp;AF11&amp;JumpSuffix&amp;QuoteSuffix</f>
        <v>EURJump1_SYNTHON_Quote</v>
      </c>
      <c r="AI11" s="189">
        <f>_xll.qlDayCounterYearFraction("actual/360",AG11,_xll.qlCalendarAdvance(Calendar,AG11,"1D",,,Trigger))</f>
        <v>2.7777777777777779E-3</v>
      </c>
      <c r="AJ11" s="161" t="e">
        <f>IF(_xll.qlQuoteIsValid(AH11,Trigger),_xll.qlQuoteValue(AH11,Trigger),1)</f>
        <v>#NUM!</v>
      </c>
      <c r="AK11" s="192" t="e">
        <f>-LN(AJ11)/AI11</f>
        <v>#NUM!</v>
      </c>
      <c r="AL11" s="195">
        <v>0</v>
      </c>
      <c r="AM11" s="161">
        <f>IF(ISBLANK(AL11),AH11,EXP(-AL11*AI11))</f>
        <v>1</v>
      </c>
    </row>
    <row r="12" spans="1:39" ht="11.25" customHeight="1" x14ac:dyDescent="0.2">
      <c r="A12" s="62" t="str">
        <f>Quote!L13</f>
        <v>DP</v>
      </c>
      <c r="B12" s="63" t="str">
        <f>Quote!M13</f>
        <v>4M</v>
      </c>
      <c r="C12" s="65" t="s">
        <v>40</v>
      </c>
      <c r="D12" s="125"/>
      <c r="E12" s="125"/>
      <c r="F12" s="125"/>
      <c r="G12" s="125"/>
      <c r="H12" s="122" t="str">
        <f>IF(ISBLANK(Quote!O13),"",Quote!O13)</f>
        <v/>
      </c>
      <c r="I12" s="125"/>
      <c r="J12" s="125"/>
      <c r="K12" s="125"/>
      <c r="L12" s="51" t="s">
        <v>34</v>
      </c>
      <c r="M12" s="10" t="str">
        <f t="shared" si="1"/>
        <v>DP</v>
      </c>
      <c r="N12" s="95" t="str">
        <f t="shared" si="2"/>
        <v>--</v>
      </c>
      <c r="O12" s="146" t="str">
        <f>IFERROR(_xll.qlRateHelperQuoteName(N12,Trigger),"--")</f>
        <v>--</v>
      </c>
      <c r="P12" s="99" t="str">
        <f>IFERROR(_xll.qlRateHelperQuoteValue($N12,Trigger),"--")</f>
        <v>--</v>
      </c>
      <c r="Q12" s="141" t="b">
        <v>0</v>
      </c>
      <c r="R12" s="95">
        <v>40</v>
      </c>
      <c r="S12" s="95">
        <v>1</v>
      </c>
      <c r="T12" s="100" t="str">
        <f>IFERROR(_xll.qlRateHelperEarliestDate(N12,Trigger),"--")</f>
        <v>--</v>
      </c>
      <c r="U12" s="100" t="str">
        <f>IFERROR(_xll.qlRateHelperPillarDate(N12,Trigger),"--")</f>
        <v>--</v>
      </c>
      <c r="W12" s="162" t="str">
        <f t="shared" si="0"/>
        <v>SW</v>
      </c>
      <c r="X12" s="162" t="str">
        <v>obj_003b6</v>
      </c>
      <c r="Y12" s="162" t="str">
        <f>IFERROR(_xll.qlRateHelperQuoteName(X12,Trigger),"")</f>
        <v>EUR1MSW6M_Shifted</v>
      </c>
      <c r="Z12" s="184">
        <f>IFERROR(_xll.qlRateHelperRate(X12,Trigger),"")</f>
        <v>-3.7199999999999998E-3</v>
      </c>
      <c r="AA12" s="185">
        <f>IF(ISERROR(_xll.qlSwapRateHelperSpread($X12)),IF(ISERROR(_xll.qlFuturesRateHelperConvexityAdjustment($X12)),"",_xll.qlFuturesRateHelperConvexityAdjustment($X12)),_xll.qlSwapRateHelperSpread($X12))</f>
        <v>0</v>
      </c>
      <c r="AB12" s="163">
        <f>IFERROR(_xll.qlRateHelperEarliestDate(X12,Trigger),"")</f>
        <v>42748</v>
      </c>
      <c r="AC12" s="163">
        <f>IFERROR(_xll.qlRateHelperPillarDate(X12,Trigger),"")</f>
        <v>42929</v>
      </c>
      <c r="AD12" s="184">
        <v>-3.7754376008238429E-3</v>
      </c>
      <c r="AE12" s="81"/>
      <c r="AF12" s="162">
        <v>2</v>
      </c>
      <c r="AG12" s="163">
        <f>_xll.qlCalendarEndOfMonth(Calendar,_xll.qlCalendarAdvance(Calendar,AG11,"1m","mf",TRUE),Trigger)</f>
        <v>42794</v>
      </c>
      <c r="AH12" s="162" t="str">
        <f t="shared" si="3"/>
        <v>EURJump2_SYNTHON_Quote</v>
      </c>
      <c r="AI12" s="190">
        <f>_xll.qlDayCounterYearFraction("actual/360",AG12,_xll.qlCalendarAdvance(Calendar,AG12,"1D",,,Trigger))</f>
        <v>2.7777777777777779E-3</v>
      </c>
      <c r="AJ12" s="164" t="e">
        <f>IF(_xll.qlQuoteIsValid(AH12,Trigger),_xll.qlQuoteValue(AH12,Trigger),1)</f>
        <v>#NUM!</v>
      </c>
      <c r="AK12" s="193" t="e">
        <f t="shared" ref="AK12:AK23" si="4">-LN(AJ12)/AI12</f>
        <v>#NUM!</v>
      </c>
      <c r="AL12" s="196">
        <v>0</v>
      </c>
      <c r="AM12" s="164">
        <f t="shared" ref="AM12:AM23" si="5">IF(ISBLANK(AL12),AH12,EXP(-AL12*AI12))</f>
        <v>1</v>
      </c>
    </row>
    <row r="13" spans="1:39" ht="11.25" customHeight="1" x14ac:dyDescent="0.2">
      <c r="A13" s="62" t="str">
        <f>Quote!L14</f>
        <v>DP</v>
      </c>
      <c r="B13" s="63" t="str">
        <f>Quote!M14</f>
        <v>5M</v>
      </c>
      <c r="C13" s="65" t="s">
        <v>41</v>
      </c>
      <c r="D13" s="125"/>
      <c r="E13" s="125"/>
      <c r="F13" s="125"/>
      <c r="G13" s="125"/>
      <c r="H13" s="122" t="str">
        <f>IF(ISBLANK(Quote!O14),"",Quote!O14)</f>
        <v/>
      </c>
      <c r="I13" s="125"/>
      <c r="J13" s="125"/>
      <c r="K13" s="125"/>
      <c r="L13" s="51"/>
      <c r="M13" s="10" t="str">
        <f t="shared" si="1"/>
        <v>DP</v>
      </c>
      <c r="N13" s="95" t="str">
        <f t="shared" si="2"/>
        <v>--</v>
      </c>
      <c r="O13" s="146" t="str">
        <f>IFERROR(_xll.qlRateHelperQuoteName(N13,Trigger),"--")</f>
        <v>--</v>
      </c>
      <c r="P13" s="99" t="str">
        <f>IFERROR(_xll.qlRateHelperQuoteValue($N13,Trigger),"--")</f>
        <v>--</v>
      </c>
      <c r="Q13" s="141" t="b">
        <v>0</v>
      </c>
      <c r="R13" s="95">
        <v>40</v>
      </c>
      <c r="S13" s="95">
        <v>1</v>
      </c>
      <c r="T13" s="100" t="str">
        <f>IFERROR(_xll.qlRateHelperEarliestDate(N13,Trigger),"--")</f>
        <v>--</v>
      </c>
      <c r="U13" s="100" t="str">
        <f>IFERROR(_xll.qlRateHelperPillarDate(N13,Trigger),"--")</f>
        <v>--</v>
      </c>
      <c r="W13" s="162" t="str">
        <f t="shared" si="0"/>
        <v>SW</v>
      </c>
      <c r="X13" s="162" t="str">
        <v>obj_00391</v>
      </c>
      <c r="Y13" s="162" t="str">
        <f>IFERROR(_xll.qlRateHelperQuoteName(X13,Trigger),"")</f>
        <v>EUR1MSW7M_Shifted</v>
      </c>
      <c r="Z13" s="184">
        <f>IFERROR(_xll.qlRateHelperRate(X13,Trigger),"")</f>
        <v>-3.7199999999999998E-3</v>
      </c>
      <c r="AA13" s="185">
        <f>IF(ISERROR(_xll.qlSwapRateHelperSpread($X13)),IF(ISERROR(_xll.qlFuturesRateHelperConvexityAdjustment($X13)),"",_xll.qlFuturesRateHelperConvexityAdjustment($X13)),_xll.qlSwapRateHelperSpread($X13))</f>
        <v>0</v>
      </c>
      <c r="AB13" s="163">
        <f>IFERROR(_xll.qlRateHelperEarliestDate(X13,Trigger),"")</f>
        <v>42748</v>
      </c>
      <c r="AC13" s="163">
        <f>IFERROR(_xll.qlRateHelperPillarDate(X13,Trigger),"")</f>
        <v>42961</v>
      </c>
      <c r="AD13" s="184">
        <v>-3.7759780410949483E-3</v>
      </c>
      <c r="AE13" s="81"/>
      <c r="AF13" s="162">
        <v>3</v>
      </c>
      <c r="AG13" s="163">
        <f>_xll.qlCalendarEndOfMonth(Calendar,_xll.qlCalendarAdvance(Calendar,AG12,"1m","mf",TRUE),Trigger)</f>
        <v>42825</v>
      </c>
      <c r="AH13" s="162" t="str">
        <f t="shared" si="3"/>
        <v>EURJump3_SYNTHON_Quote</v>
      </c>
      <c r="AI13" s="190">
        <f>_xll.qlDayCounterYearFraction("actual/360",AG13,_xll.qlCalendarAdvance(Calendar,AG13,"1D",,,Trigger))</f>
        <v>8.3333333333333332E-3</v>
      </c>
      <c r="AJ13" s="164" t="e">
        <f>IF(_xll.qlQuoteIsValid(AH13,Trigger),_xll.qlQuoteValue(AH13,Trigger),1)</f>
        <v>#NUM!</v>
      </c>
      <c r="AK13" s="193" t="e">
        <f t="shared" si="4"/>
        <v>#NUM!</v>
      </c>
      <c r="AL13" s="196">
        <v>0</v>
      </c>
      <c r="AM13" s="164">
        <f t="shared" si="5"/>
        <v>1</v>
      </c>
    </row>
    <row r="14" spans="1:39" ht="11.25" customHeight="1" x14ac:dyDescent="0.2">
      <c r="A14" s="62" t="str">
        <f>Quote!L15</f>
        <v>DP</v>
      </c>
      <c r="B14" s="63" t="str">
        <f>Quote!M15</f>
        <v>6M</v>
      </c>
      <c r="C14" s="65" t="s">
        <v>3</v>
      </c>
      <c r="D14" s="125"/>
      <c r="E14" s="125"/>
      <c r="F14" s="125"/>
      <c r="G14" s="125"/>
      <c r="H14" s="122" t="str">
        <f>IF(ISBLANK(Quote!O15),"",Quote!O15)</f>
        <v/>
      </c>
      <c r="I14" s="125"/>
      <c r="J14" s="125"/>
      <c r="K14" s="125"/>
      <c r="L14" s="51"/>
      <c r="M14" s="10" t="str">
        <f t="shared" si="1"/>
        <v>DP</v>
      </c>
      <c r="N14" s="95" t="str">
        <f t="shared" si="2"/>
        <v>--</v>
      </c>
      <c r="O14" s="146" t="str">
        <f>IFERROR(_xll.qlRateHelperQuoteName(N14,Trigger),"--")</f>
        <v>--</v>
      </c>
      <c r="P14" s="99" t="str">
        <f>IFERROR(_xll.qlRateHelperQuoteValue($N14,Trigger),"--")</f>
        <v>--</v>
      </c>
      <c r="Q14" s="141" t="b">
        <v>0</v>
      </c>
      <c r="R14" s="95">
        <v>40</v>
      </c>
      <c r="S14" s="95">
        <v>1</v>
      </c>
      <c r="T14" s="100" t="str">
        <f>IFERROR(_xll.qlRateHelperEarliestDate(N14,Trigger),"--")</f>
        <v>--</v>
      </c>
      <c r="U14" s="100" t="str">
        <f>IFERROR(_xll.qlRateHelperPillarDate(N14,Trigger),"--")</f>
        <v>--</v>
      </c>
      <c r="W14" s="162" t="str">
        <f t="shared" si="0"/>
        <v>SW</v>
      </c>
      <c r="X14" s="162" t="str">
        <v>obj_00364</v>
      </c>
      <c r="Y14" s="162" t="str">
        <f>IFERROR(_xll.qlRateHelperQuoteName(X14,Trigger),"")</f>
        <v>EUR1MSW8M_Shifted</v>
      </c>
      <c r="Z14" s="184">
        <f>IFERROR(_xll.qlRateHelperRate(X14,Trigger),"")</f>
        <v>-3.7299999999999998E-3</v>
      </c>
      <c r="AA14" s="185">
        <f>IF(ISERROR(_xll.qlSwapRateHelperSpread($X14)),IF(ISERROR(_xll.qlFuturesRateHelperConvexityAdjustment($X14)),"",_xll.qlFuturesRateHelperConvexityAdjustment($X14)),_xll.qlSwapRateHelperSpread($X14))</f>
        <v>0</v>
      </c>
      <c r="AB14" s="163">
        <f>IFERROR(_xll.qlRateHelperEarliestDate(X14,Trigger),"")</f>
        <v>42748</v>
      </c>
      <c r="AC14" s="163">
        <f>IFERROR(_xll.qlRateHelperPillarDate(X14,Trigger),"")</f>
        <v>42991</v>
      </c>
      <c r="AD14" s="184">
        <v>-3.7865562848177691E-3</v>
      </c>
      <c r="AE14" s="81"/>
      <c r="AF14" s="162">
        <v>4</v>
      </c>
      <c r="AG14" s="163">
        <f>_xll.qlCalendarEndOfMonth(Calendar,_xll.qlCalendarAdvance(Calendar,AG13,"1m","mf",TRUE),Trigger)</f>
        <v>42853</v>
      </c>
      <c r="AH14" s="162" t="str">
        <f t="shared" si="3"/>
        <v>EURJump4_SYNTHON_Quote</v>
      </c>
      <c r="AI14" s="190">
        <f>_xll.qlDayCounterYearFraction("actual/360",AG14,_xll.qlCalendarAdvance(Calendar,AG14,"1D",,,Trigger))</f>
        <v>1.1111111111111112E-2</v>
      </c>
      <c r="AJ14" s="164" t="e">
        <f>IF(_xll.qlQuoteIsValid(AH14,Trigger),_xll.qlQuoteValue(AH14,Trigger),1)</f>
        <v>#NUM!</v>
      </c>
      <c r="AK14" s="193" t="e">
        <f t="shared" si="4"/>
        <v>#NUM!</v>
      </c>
      <c r="AL14" s="196">
        <v>0</v>
      </c>
      <c r="AM14" s="164">
        <f t="shared" si="5"/>
        <v>1</v>
      </c>
    </row>
    <row r="15" spans="1:39" ht="11.25" customHeight="1" x14ac:dyDescent="0.2">
      <c r="A15" s="62" t="str">
        <f>Quote!L16</f>
        <v>DP</v>
      </c>
      <c r="B15" s="63" t="str">
        <f>Quote!M16</f>
        <v>7M</v>
      </c>
      <c r="C15" s="65" t="s">
        <v>42</v>
      </c>
      <c r="D15" s="125"/>
      <c r="E15" s="125"/>
      <c r="F15" s="125"/>
      <c r="G15" s="125"/>
      <c r="H15" s="122" t="str">
        <f>IF(ISBLANK(Quote!O16),"",Quote!O16)</f>
        <v/>
      </c>
      <c r="I15" s="125"/>
      <c r="J15" s="125"/>
      <c r="K15" s="125"/>
      <c r="L15" s="51"/>
      <c r="M15" s="10" t="str">
        <f t="shared" si="1"/>
        <v>DP</v>
      </c>
      <c r="N15" s="95" t="str">
        <f t="shared" si="2"/>
        <v>--</v>
      </c>
      <c r="O15" s="146" t="str">
        <f>IFERROR(_xll.qlRateHelperQuoteName(N15,Trigger),"--")</f>
        <v>--</v>
      </c>
      <c r="P15" s="99" t="str">
        <f>IFERROR(_xll.qlRateHelperQuoteValue($N15,Trigger),"--")</f>
        <v>--</v>
      </c>
      <c r="Q15" s="141" t="b">
        <v>0</v>
      </c>
      <c r="R15" s="95">
        <v>40</v>
      </c>
      <c r="S15" s="95">
        <v>1</v>
      </c>
      <c r="T15" s="100" t="str">
        <f>IFERROR(_xll.qlRateHelperEarliestDate(N15,Trigger),"--")</f>
        <v>--</v>
      </c>
      <c r="U15" s="100" t="str">
        <f>IFERROR(_xll.qlRateHelperPillarDate(N15,Trigger),"--")</f>
        <v>--</v>
      </c>
      <c r="W15" s="162" t="str">
        <f t="shared" si="0"/>
        <v>SW</v>
      </c>
      <c r="X15" s="162" t="str">
        <v>obj_0036f</v>
      </c>
      <c r="Y15" s="162" t="str">
        <f>IFERROR(_xll.qlRateHelperQuoteName(X15,Trigger),"")</f>
        <v>EUR1MSW9M_Shifted</v>
      </c>
      <c r="Z15" s="184">
        <f>IFERROR(_xll.qlRateHelperRate(X15,Trigger),"")</f>
        <v>-3.7199999999999998E-3</v>
      </c>
      <c r="AA15" s="185">
        <f>IF(ISERROR(_xll.qlSwapRateHelperSpread($X15)),IF(ISERROR(_xll.qlFuturesRateHelperConvexityAdjustment($X15)),"",_xll.qlFuturesRateHelperConvexityAdjustment($X15)),_xll.qlSwapRateHelperSpread($X15))</f>
        <v>0</v>
      </c>
      <c r="AB15" s="163">
        <f>IFERROR(_xll.qlRateHelperEarliestDate(X15,Trigger),"")</f>
        <v>42748</v>
      </c>
      <c r="AC15" s="163">
        <f>IFERROR(_xll.qlRateHelperPillarDate(X15,Trigger),"")</f>
        <v>43021</v>
      </c>
      <c r="AD15" s="184">
        <v>-3.7770221635189003E-3</v>
      </c>
      <c r="AE15" s="81"/>
      <c r="AF15" s="162">
        <v>5</v>
      </c>
      <c r="AG15" s="163">
        <f>_xll.qlCalendarEndOfMonth(Calendar,_xll.qlCalendarAdvance(Calendar,AG14,"1m","mf",TRUE),Trigger)</f>
        <v>42886</v>
      </c>
      <c r="AH15" s="162" t="str">
        <f t="shared" si="3"/>
        <v>EURJump5_SYNTHON_Quote</v>
      </c>
      <c r="AI15" s="190">
        <f>_xll.qlDayCounterYearFraction("actual/360",AG15,_xll.qlCalendarAdvance(Calendar,AG15,"1D",,,Trigger))</f>
        <v>2.7777777777777779E-3</v>
      </c>
      <c r="AJ15" s="164" t="e">
        <f>IF(_xll.qlQuoteIsValid(AH15,Trigger),_xll.qlQuoteValue(AH15,Trigger),1)</f>
        <v>#NUM!</v>
      </c>
      <c r="AK15" s="193" t="e">
        <f t="shared" si="4"/>
        <v>#NUM!</v>
      </c>
      <c r="AL15" s="196">
        <v>0</v>
      </c>
      <c r="AM15" s="164">
        <f t="shared" si="5"/>
        <v>1</v>
      </c>
    </row>
    <row r="16" spans="1:39" ht="11.25" customHeight="1" x14ac:dyDescent="0.2">
      <c r="A16" s="62" t="str">
        <f>Quote!L17</f>
        <v>DP</v>
      </c>
      <c r="B16" s="63" t="str">
        <f>Quote!M17</f>
        <v>8M</v>
      </c>
      <c r="C16" s="65" t="s">
        <v>43</v>
      </c>
      <c r="D16" s="125"/>
      <c r="E16" s="125"/>
      <c r="F16" s="125"/>
      <c r="G16" s="125"/>
      <c r="H16" s="122" t="str">
        <f>IF(ISBLANK(Quote!O17),"",Quote!O17)</f>
        <v/>
      </c>
      <c r="I16" s="125"/>
      <c r="J16" s="125"/>
      <c r="K16" s="125"/>
      <c r="L16" s="51"/>
      <c r="M16" s="10" t="str">
        <f t="shared" si="1"/>
        <v>DP</v>
      </c>
      <c r="N16" s="95" t="str">
        <f t="shared" si="2"/>
        <v>--</v>
      </c>
      <c r="O16" s="146" t="str">
        <f>IFERROR(_xll.qlRateHelperQuoteName(N16,Trigger),"--")</f>
        <v>--</v>
      </c>
      <c r="P16" s="99" t="str">
        <f>IFERROR(_xll.qlRateHelperQuoteValue($N16,Trigger),"--")</f>
        <v>--</v>
      </c>
      <c r="Q16" s="141" t="b">
        <v>0</v>
      </c>
      <c r="R16" s="95">
        <v>40</v>
      </c>
      <c r="S16" s="95">
        <v>1</v>
      </c>
      <c r="T16" s="100" t="str">
        <f>IFERROR(_xll.qlRateHelperEarliestDate(N16,Trigger),"--")</f>
        <v>--</v>
      </c>
      <c r="U16" s="100" t="str">
        <f>IFERROR(_xll.qlRateHelperPillarDate(N16,Trigger),"--")</f>
        <v>--</v>
      </c>
      <c r="W16" s="162" t="str">
        <f t="shared" si="0"/>
        <v>SW</v>
      </c>
      <c r="X16" s="162" t="str">
        <v>obj_003d3</v>
      </c>
      <c r="Y16" s="162" t="str">
        <f>IFERROR(_xll.qlRateHelperQuoteName(X16,Trigger),"")</f>
        <v>EUR1MSW10M_Shifted</v>
      </c>
      <c r="Z16" s="184">
        <f>IFERROR(_xll.qlRateHelperRate(X16,Trigger),"")</f>
        <v>-3.7199999999999998E-3</v>
      </c>
      <c r="AA16" s="185">
        <f>IF(ISERROR(_xll.qlSwapRateHelperSpread($X16)),IF(ISERROR(_xll.qlFuturesRateHelperConvexityAdjustment($X16)),"",_xll.qlFuturesRateHelperConvexityAdjustment($X16)),_xll.qlSwapRateHelperSpread($X16))</f>
        <v>0</v>
      </c>
      <c r="AB16" s="163">
        <f>IFERROR(_xll.qlRateHelperEarliestDate(X16,Trigger),"")</f>
        <v>42748</v>
      </c>
      <c r="AC16" s="163">
        <f>IFERROR(_xll.qlRateHelperPillarDate(X16,Trigger),"")</f>
        <v>43052</v>
      </c>
      <c r="AD16" s="184">
        <v>-3.7775627728011234E-3</v>
      </c>
      <c r="AE16" s="81"/>
      <c r="AF16" s="162">
        <v>6</v>
      </c>
      <c r="AG16" s="163">
        <f>_xll.qlCalendarEndOfMonth(Calendar,_xll.qlCalendarAdvance(Calendar,AG15,"1m","mf",TRUE),Trigger)</f>
        <v>42916</v>
      </c>
      <c r="AH16" s="162" t="str">
        <f t="shared" si="3"/>
        <v>EURJump6_SYNTHON_Quote</v>
      </c>
      <c r="AI16" s="190">
        <f>_xll.qlDayCounterYearFraction("actual/360",AG16,_xll.qlCalendarAdvance(Calendar,AG16,"1D",,,Trigger))</f>
        <v>8.3333333333333332E-3</v>
      </c>
      <c r="AJ16" s="164" t="e">
        <f>IF(_xll.qlQuoteIsValid(AH16,Trigger),_xll.qlQuoteValue(AH16,Trigger),1)</f>
        <v>#NUM!</v>
      </c>
      <c r="AK16" s="193" t="e">
        <f t="shared" si="4"/>
        <v>#NUM!</v>
      </c>
      <c r="AL16" s="196">
        <v>0</v>
      </c>
      <c r="AM16" s="164">
        <f t="shared" si="5"/>
        <v>1</v>
      </c>
    </row>
    <row r="17" spans="1:39" ht="11.25" customHeight="1" x14ac:dyDescent="0.2">
      <c r="A17" s="62" t="str">
        <f>Quote!L18</f>
        <v>DP</v>
      </c>
      <c r="B17" s="63" t="str">
        <f>Quote!M18</f>
        <v>9M</v>
      </c>
      <c r="C17" s="65" t="s">
        <v>44</v>
      </c>
      <c r="D17" s="125"/>
      <c r="E17" s="125"/>
      <c r="F17" s="125"/>
      <c r="G17" s="125"/>
      <c r="H17" s="122" t="str">
        <f>IF(ISBLANK(Quote!O18),"",Quote!O18)</f>
        <v/>
      </c>
      <c r="I17" s="125"/>
      <c r="J17" s="125"/>
      <c r="K17" s="125"/>
      <c r="L17" s="51"/>
      <c r="M17" s="10" t="str">
        <f t="shared" si="1"/>
        <v>DP</v>
      </c>
      <c r="N17" s="95" t="str">
        <f t="shared" si="2"/>
        <v>--</v>
      </c>
      <c r="O17" s="146" t="str">
        <f>IFERROR(_xll.qlRateHelperQuoteName(N17,Trigger),"--")</f>
        <v>--</v>
      </c>
      <c r="P17" s="99" t="str">
        <f>IFERROR(_xll.qlRateHelperQuoteValue($N17,Trigger),"--")</f>
        <v>--</v>
      </c>
      <c r="Q17" s="141" t="b">
        <v>0</v>
      </c>
      <c r="R17" s="95">
        <v>40</v>
      </c>
      <c r="S17" s="95">
        <v>1</v>
      </c>
      <c r="T17" s="100" t="str">
        <f>IFERROR(_xll.qlRateHelperEarliestDate(N17,Trigger),"--")</f>
        <v>--</v>
      </c>
      <c r="U17" s="100" t="str">
        <f>IFERROR(_xll.qlRateHelperPillarDate(N17,Trigger),"--")</f>
        <v>--</v>
      </c>
      <c r="W17" s="162" t="str">
        <f t="shared" si="0"/>
        <v>SW</v>
      </c>
      <c r="X17" s="162" t="str">
        <v>obj_003a8</v>
      </c>
      <c r="Y17" s="162" t="str">
        <f>IFERROR(_xll.qlRateHelperQuoteName(X17,Trigger),"")</f>
        <v>EUR1MSW11M_Shifted</v>
      </c>
      <c r="Z17" s="184">
        <f>IFERROR(_xll.qlRateHelperRate(X17,Trigger),"")</f>
        <v>-3.7099999999999998E-3</v>
      </c>
      <c r="AA17" s="185">
        <f>IF(ISERROR(_xll.qlSwapRateHelperSpread($X17)),IF(ISERROR(_xll.qlFuturesRateHelperConvexityAdjustment($X17)),"",_xll.qlFuturesRateHelperConvexityAdjustment($X17)),_xll.qlSwapRateHelperSpread($X17))</f>
        <v>0</v>
      </c>
      <c r="AB17" s="163">
        <f>IFERROR(_xll.qlRateHelperEarliestDate(X17,Trigger),"")</f>
        <v>42748</v>
      </c>
      <c r="AC17" s="163">
        <f>IFERROR(_xll.qlRateHelperPillarDate(X17,Trigger),"")</f>
        <v>43082</v>
      </c>
      <c r="AD17" s="184">
        <v>-3.7680050727825595E-3</v>
      </c>
      <c r="AE17" s="81"/>
      <c r="AF17" s="162">
        <v>7</v>
      </c>
      <c r="AG17" s="163">
        <f>_xll.qlCalendarEndOfMonth(Calendar,_xll.qlCalendarAdvance(Calendar,AG16,"1m","mf",TRUE),Trigger)</f>
        <v>42947</v>
      </c>
      <c r="AH17" s="162" t="str">
        <f t="shared" si="3"/>
        <v>EURJump7_SYNTHON_Quote</v>
      </c>
      <c r="AI17" s="190">
        <f>_xll.qlDayCounterYearFraction("actual/360",AG17,_xll.qlCalendarAdvance(Calendar,AG17,"1D",,,Trigger))</f>
        <v>2.7777777777777779E-3</v>
      </c>
      <c r="AJ17" s="164" t="e">
        <f>IF(_xll.qlQuoteIsValid(AH17,Trigger),_xll.qlQuoteValue(AH17,Trigger),1)</f>
        <v>#NUM!</v>
      </c>
      <c r="AK17" s="193" t="e">
        <f t="shared" si="4"/>
        <v>#NUM!</v>
      </c>
      <c r="AL17" s="196">
        <v>0</v>
      </c>
      <c r="AM17" s="164">
        <f t="shared" si="5"/>
        <v>1</v>
      </c>
    </row>
    <row r="18" spans="1:39" ht="11.25" customHeight="1" x14ac:dyDescent="0.2">
      <c r="A18" s="62" t="str">
        <f>Quote!L19</f>
        <v>DP</v>
      </c>
      <c r="B18" s="63" t="str">
        <f>Quote!M19</f>
        <v>10M</v>
      </c>
      <c r="C18" s="65" t="s">
        <v>45</v>
      </c>
      <c r="D18" s="125"/>
      <c r="E18" s="125"/>
      <c r="F18" s="125"/>
      <c r="G18" s="125"/>
      <c r="H18" s="122" t="str">
        <f>IF(ISBLANK(Quote!O19),"",Quote!O19)</f>
        <v/>
      </c>
      <c r="I18" s="125"/>
      <c r="J18" s="125"/>
      <c r="K18" s="125"/>
      <c r="L18" s="51"/>
      <c r="M18" s="10" t="str">
        <f t="shared" si="1"/>
        <v>DP</v>
      </c>
      <c r="N18" s="95" t="str">
        <f t="shared" si="2"/>
        <v>--</v>
      </c>
      <c r="O18" s="146" t="str">
        <f>IFERROR(_xll.qlRateHelperQuoteName(N18,Trigger),"--")</f>
        <v>--</v>
      </c>
      <c r="P18" s="99" t="str">
        <f>IFERROR(_xll.qlRateHelperQuoteValue($N18,Trigger),"--")</f>
        <v>--</v>
      </c>
      <c r="Q18" s="141" t="b">
        <v>0</v>
      </c>
      <c r="R18" s="95">
        <v>40</v>
      </c>
      <c r="S18" s="95">
        <v>1</v>
      </c>
      <c r="T18" s="100" t="str">
        <f>IFERROR(_xll.qlRateHelperEarliestDate(N18,Trigger),"--")</f>
        <v>--</v>
      </c>
      <c r="U18" s="100" t="str">
        <f>IFERROR(_xll.qlRateHelperPillarDate(N18,Trigger),"--")</f>
        <v>--</v>
      </c>
      <c r="W18" s="162" t="str">
        <f t="shared" si="0"/>
        <v>SW</v>
      </c>
      <c r="X18" s="162" t="str">
        <v>obj_00394</v>
      </c>
      <c r="Y18" s="162" t="str">
        <f>IFERROR(_xll.qlRateHelperQuoteName(X18,Trigger),"")</f>
        <v>EUR1MSW12M_Shifted</v>
      </c>
      <c r="Z18" s="184">
        <f>IFERROR(_xll.qlRateHelperRate(X18,Trigger),"")</f>
        <v>-3.7099999999999998E-3</v>
      </c>
      <c r="AA18" s="185">
        <f>IF(ISERROR(_xll.qlSwapRateHelperSpread($X18)),IF(ISERROR(_xll.qlFuturesRateHelperConvexityAdjustment($X18)),"",_xll.qlFuturesRateHelperConvexityAdjustment($X18)),_xll.qlSwapRateHelperSpread($X18))</f>
        <v>0</v>
      </c>
      <c r="AB18" s="163">
        <f>IFERROR(_xll.qlRateHelperEarliestDate(X18,Trigger),"")</f>
        <v>42748</v>
      </c>
      <c r="AC18" s="163">
        <f>IFERROR(_xll.qlRateHelperPillarDate(X18,Trigger),"")</f>
        <v>43115</v>
      </c>
      <c r="AD18" s="184">
        <v>-3.7685750298316026E-3</v>
      </c>
      <c r="AE18" s="81"/>
      <c r="AF18" s="162">
        <v>8</v>
      </c>
      <c r="AG18" s="163">
        <f>_xll.qlCalendarEndOfMonth(Calendar,_xll.qlCalendarAdvance(Calendar,AG17,"1m","mf",TRUE),Trigger)</f>
        <v>42978</v>
      </c>
      <c r="AH18" s="162" t="str">
        <f t="shared" si="3"/>
        <v>EURJump8_SYNTHON_Quote</v>
      </c>
      <c r="AI18" s="190">
        <f>_xll.qlDayCounterYearFraction("actual/360",AG18,_xll.qlCalendarAdvance(Calendar,AG18,"1D",,,Trigger))</f>
        <v>2.7777777777777779E-3</v>
      </c>
      <c r="AJ18" s="164" t="e">
        <f>IF(_xll.qlQuoteIsValid(AH18,Trigger),_xll.qlQuoteValue(AH18,Trigger),1)</f>
        <v>#NUM!</v>
      </c>
      <c r="AK18" s="193" t="e">
        <f t="shared" si="4"/>
        <v>#NUM!</v>
      </c>
      <c r="AL18" s="196">
        <v>0</v>
      </c>
      <c r="AM18" s="164">
        <f t="shared" si="5"/>
        <v>1</v>
      </c>
    </row>
    <row r="19" spans="1:39" ht="11.25" customHeight="1" x14ac:dyDescent="0.2">
      <c r="A19" s="62" t="str">
        <f>Quote!L20</f>
        <v>DP</v>
      </c>
      <c r="B19" s="63" t="str">
        <f>Quote!M20</f>
        <v>11M</v>
      </c>
      <c r="C19" s="65" t="s">
        <v>46</v>
      </c>
      <c r="D19" s="125"/>
      <c r="E19" s="125"/>
      <c r="F19" s="125"/>
      <c r="G19" s="125"/>
      <c r="H19" s="122" t="str">
        <f>IF(ISBLANK(Quote!O20),"",Quote!O20)</f>
        <v/>
      </c>
      <c r="I19" s="125"/>
      <c r="J19" s="125"/>
      <c r="K19" s="125"/>
      <c r="L19" s="51"/>
      <c r="M19" s="10" t="str">
        <f t="shared" si="1"/>
        <v>DP</v>
      </c>
      <c r="N19" s="95" t="str">
        <f t="shared" si="2"/>
        <v>--</v>
      </c>
      <c r="O19" s="146" t="str">
        <f>IFERROR(_xll.qlRateHelperQuoteName(N19,Trigger),"--")</f>
        <v>--</v>
      </c>
      <c r="P19" s="99" t="str">
        <f>IFERROR(_xll.qlRateHelperQuoteValue($N19,Trigger),"--")</f>
        <v>--</v>
      </c>
      <c r="Q19" s="98" t="b">
        <v>0</v>
      </c>
      <c r="R19" s="95">
        <v>50</v>
      </c>
      <c r="S19" s="95">
        <v>1</v>
      </c>
      <c r="T19" s="100" t="str">
        <f>IFERROR(_xll.qlRateHelperEarliestDate(N19,Trigger),"--")</f>
        <v>--</v>
      </c>
      <c r="U19" s="100" t="str">
        <f>IFERROR(_xll.qlRateHelperPillarDate(N19,Trigger),"--")</f>
        <v>--</v>
      </c>
      <c r="W19" s="162" t="str">
        <f t="shared" si="0"/>
        <v>SW</v>
      </c>
      <c r="X19" s="162" t="str">
        <v>obj_00346</v>
      </c>
      <c r="Y19" s="162" t="str">
        <f>IFERROR(_xll.qlRateHelperQuoteName(X19,Trigger),"")</f>
        <v>EUR1MSW15M_Shifted</v>
      </c>
      <c r="Z19" s="184">
        <f>IFERROR(_xll.qlRateHelperRate(X19,Trigger),"")</f>
        <v>-3.7422875800000007E-3</v>
      </c>
      <c r="AA19" s="185">
        <f>IF(ISERROR(_xll.qlSwapRateHelperSpread($X19)),IF(ISERROR(_xll.qlFuturesRateHelperConvexityAdjustment($X19)),"",_xll.qlFuturesRateHelperConvexityAdjustment($X19)),_xll.qlSwapRateHelperSpread($X19))</f>
        <v>0</v>
      </c>
      <c r="AB19" s="163">
        <f>IFERROR(_xll.qlRateHelperEarliestDate(X19,Trigger),"")</f>
        <v>42748</v>
      </c>
      <c r="AC19" s="163">
        <f>IFERROR(_xll.qlRateHelperPillarDate(X19,Trigger),"")</f>
        <v>43203</v>
      </c>
      <c r="AD19" s="184">
        <v>-3.7584812527121513E-3</v>
      </c>
      <c r="AE19" s="81"/>
      <c r="AF19" s="162">
        <v>9</v>
      </c>
      <c r="AG19" s="163">
        <f>_xll.qlCalendarEndOfMonth(Calendar,_xll.qlCalendarAdvance(Calendar,AG18,"1m","mf",TRUE),Trigger)</f>
        <v>43007</v>
      </c>
      <c r="AH19" s="162" t="str">
        <f t="shared" si="3"/>
        <v>EURJump9_SYNTHON_Quote</v>
      </c>
      <c r="AI19" s="190">
        <f>_xll.qlDayCounterYearFraction("actual/360",AG19,_xll.qlCalendarAdvance(Calendar,AG19,"1D",,,Trigger))</f>
        <v>8.3333333333333332E-3</v>
      </c>
      <c r="AJ19" s="164" t="e">
        <f>IF(_xll.qlQuoteIsValid(AH19,Trigger),_xll.qlQuoteValue(AH19,Trigger),1)</f>
        <v>#NUM!</v>
      </c>
      <c r="AK19" s="193" t="e">
        <f t="shared" si="4"/>
        <v>#NUM!</v>
      </c>
      <c r="AL19" s="196">
        <v>0</v>
      </c>
      <c r="AM19" s="164">
        <f t="shared" si="5"/>
        <v>1</v>
      </c>
    </row>
    <row r="20" spans="1:39" ht="11.25" customHeight="1" x14ac:dyDescent="0.2">
      <c r="A20" s="1" t="str">
        <f>Quote!L21</f>
        <v>DP</v>
      </c>
      <c r="B20" s="8" t="str">
        <f>Quote!M21</f>
        <v>12M</v>
      </c>
      <c r="C20" s="9" t="s">
        <v>116</v>
      </c>
      <c r="D20" s="126"/>
      <c r="E20" s="126"/>
      <c r="F20" s="126"/>
      <c r="G20" s="126"/>
      <c r="H20" s="123" t="str">
        <f>IF(ISBLANK(Quote!O21),"",Quote!O21)</f>
        <v/>
      </c>
      <c r="I20" s="126"/>
      <c r="J20" s="126"/>
      <c r="K20" s="126"/>
      <c r="L20" s="51"/>
      <c r="M20" s="11" t="str">
        <f t="shared" si="1"/>
        <v>DP</v>
      </c>
      <c r="N20" s="96" t="str">
        <f t="shared" si="2"/>
        <v>--</v>
      </c>
      <c r="O20" s="147" t="str">
        <f>IFERROR(_xll.qlRateHelperQuoteName(N20,Trigger),"--")</f>
        <v>--</v>
      </c>
      <c r="P20" s="102" t="str">
        <f>IFERROR(_xll.qlRateHelperQuoteValue($N20,Trigger),"--")</f>
        <v>--</v>
      </c>
      <c r="Q20" s="101" t="b">
        <v>0</v>
      </c>
      <c r="R20" s="96">
        <v>50</v>
      </c>
      <c r="S20" s="96">
        <v>1</v>
      </c>
      <c r="T20" s="103" t="str">
        <f>IFERROR(_xll.qlRateHelperEarliestDate(N20,Trigger),"--")</f>
        <v>--</v>
      </c>
      <c r="U20" s="103" t="str">
        <f>IFERROR(_xll.qlRateHelperPillarDate(N20,Trigger),"--")</f>
        <v>--</v>
      </c>
      <c r="W20" s="162" t="str">
        <f t="shared" si="0"/>
        <v>SW</v>
      </c>
      <c r="X20" s="162" t="str">
        <v>obj_003c3</v>
      </c>
      <c r="Y20" s="162" t="str">
        <f>IFERROR(_xll.qlRateHelperQuoteName(X20,Trigger),"")</f>
        <v>EUR1MSW18M_Shifted</v>
      </c>
      <c r="Z20" s="184">
        <f>IFERROR(_xll.qlRateHelperRate(X20,Trigger),"")</f>
        <v>-3.7099829400000003E-3</v>
      </c>
      <c r="AA20" s="185">
        <f>IF(ISERROR(_xll.qlSwapRateHelperSpread($X20)),IF(ISERROR(_xll.qlFuturesRateHelperConvexityAdjustment($X20)),"",_xll.qlFuturesRateHelperConvexityAdjustment($X20)),_xll.qlSwapRateHelperSpread($X20))</f>
        <v>0</v>
      </c>
      <c r="AB20" s="163">
        <f>IFERROR(_xll.qlRateHelperEarliestDate(X20,Trigger),"")</f>
        <v>42748</v>
      </c>
      <c r="AC20" s="163">
        <f>IFERROR(_xll.qlRateHelperPillarDate(X20,Trigger),"")</f>
        <v>43294</v>
      </c>
      <c r="AD20" s="184">
        <v>-3.7259667239746799E-3</v>
      </c>
      <c r="AE20" s="81"/>
      <c r="AF20" s="162">
        <v>10</v>
      </c>
      <c r="AG20" s="163">
        <f>_xll.qlCalendarEndOfMonth(Calendar,_xll.qlCalendarAdvance(Calendar,AG19,"1m","mf",TRUE),Trigger)</f>
        <v>43039</v>
      </c>
      <c r="AH20" s="162" t="str">
        <f t="shared" si="3"/>
        <v>EURJump10_SYNTHON_Quote</v>
      </c>
      <c r="AI20" s="190">
        <f>_xll.qlDayCounterYearFraction("actual/360",AG20,_xll.qlCalendarAdvance(Calendar,AG20,"1D",,,Trigger))</f>
        <v>2.7777777777777779E-3</v>
      </c>
      <c r="AJ20" s="164" t="e">
        <f>IF(_xll.qlQuoteIsValid(AH20,Trigger),_xll.qlQuoteValue(AH20,Trigger),1)</f>
        <v>#NUM!</v>
      </c>
      <c r="AK20" s="193" t="e">
        <f t="shared" si="4"/>
        <v>#NUM!</v>
      </c>
      <c r="AL20" s="196">
        <v>0</v>
      </c>
      <c r="AM20" s="164">
        <f t="shared" si="5"/>
        <v>1</v>
      </c>
    </row>
    <row r="21" spans="1:39" ht="11.25" customHeight="1" x14ac:dyDescent="0.2">
      <c r="B21" s="49"/>
      <c r="C21" s="49"/>
      <c r="D21" s="49"/>
      <c r="E21" s="49"/>
      <c r="G21" s="49"/>
      <c r="H21" s="49"/>
      <c r="I21" s="49"/>
      <c r="L21" s="51"/>
      <c r="M21" s="71" t="str">
        <f>A23</f>
        <v>SW</v>
      </c>
      <c r="N21" s="131" t="str">
        <f>IF(ISBLANK(K23),"--",K23)</f>
        <v>--</v>
      </c>
      <c r="O21" s="145" t="str">
        <f>IFERROR(_xll.qlRateHelperQuoteName(N21,Trigger),"--")</f>
        <v>--</v>
      </c>
      <c r="P21" s="133" t="str">
        <f>IFERROR(_xll.qlRateHelperQuoteValue($N21,Trigger),"--")</f>
        <v>--</v>
      </c>
      <c r="Q21" s="132" t="b">
        <v>0</v>
      </c>
      <c r="R21" s="131">
        <v>50</v>
      </c>
      <c r="S21" s="131">
        <v>1</v>
      </c>
      <c r="T21" s="134" t="str">
        <f>IFERROR(_xll.qlRateHelperEarliestDate(N21,Trigger),"--")</f>
        <v>--</v>
      </c>
      <c r="U21" s="134" t="str">
        <f>IFERROR(_xll.qlRateHelperPillarDate(N21,Trigger),"--")</f>
        <v>--</v>
      </c>
      <c r="W21" s="162" t="str">
        <f t="shared" si="0"/>
        <v>SW</v>
      </c>
      <c r="X21" s="162" t="str">
        <v>obj_0034d</v>
      </c>
      <c r="Y21" s="162" t="str">
        <f>IFERROR(_xll.qlRateHelperQuoteName(X21,Trigger),"")</f>
        <v>EUR1MSW21M_Shifted</v>
      </c>
      <c r="Z21" s="184">
        <f>IFERROR(_xll.qlRateHelperRate(X21,Trigger),"")</f>
        <v>-3.6571684200000006E-3</v>
      </c>
      <c r="AA21" s="185">
        <f>IF(ISERROR(_xll.qlSwapRateHelperSpread($X21)),IF(ISERROR(_xll.qlFuturesRateHelperConvexityAdjustment($X21)),"",_xll.qlFuturesRateHelperConvexityAdjustment($X21)),_xll.qlSwapRateHelperSpread($X21))</f>
        <v>0</v>
      </c>
      <c r="AB21" s="163">
        <f>IFERROR(_xll.qlRateHelperEarliestDate(X21,Trigger),"")</f>
        <v>42748</v>
      </c>
      <c r="AC21" s="163">
        <f>IFERROR(_xll.qlRateHelperPillarDate(X21,Trigger),"")</f>
        <v>43388</v>
      </c>
      <c r="AD21" s="184">
        <v>-3.6679133356585032E-3</v>
      </c>
      <c r="AE21" s="81"/>
      <c r="AF21" s="162">
        <v>11</v>
      </c>
      <c r="AG21" s="163">
        <f>_xll.qlCalendarEndOfMonth(Calendar,_xll.qlCalendarAdvance(Calendar,AG20,"1m","mf",TRUE),Trigger)</f>
        <v>43069</v>
      </c>
      <c r="AH21" s="162" t="str">
        <f t="shared" si="3"/>
        <v>EURJump11_SYNTHON_Quote</v>
      </c>
      <c r="AI21" s="190">
        <f>_xll.qlDayCounterYearFraction("actual/360",AG21,_xll.qlCalendarAdvance(Calendar,AG21,"1D",,,Trigger))</f>
        <v>2.7777777777777779E-3</v>
      </c>
      <c r="AJ21" s="164" t="e">
        <f>IF(_xll.qlQuoteIsValid(AH21,Trigger),_xll.qlQuoteValue(AH21,Trigger),1)</f>
        <v>#NUM!</v>
      </c>
      <c r="AK21" s="193" t="e">
        <f t="shared" si="4"/>
        <v>#NUM!</v>
      </c>
      <c r="AL21" s="196">
        <v>0</v>
      </c>
      <c r="AM21" s="164">
        <f t="shared" si="5"/>
        <v>1</v>
      </c>
    </row>
    <row r="22" spans="1:39" ht="11.25" customHeight="1" x14ac:dyDescent="0.2">
      <c r="A22" s="68" t="s">
        <v>9</v>
      </c>
      <c r="B22" s="68" t="s">
        <v>28</v>
      </c>
      <c r="C22" s="68" t="s">
        <v>135</v>
      </c>
      <c r="D22" s="68" t="s">
        <v>5</v>
      </c>
      <c r="E22" s="68" t="s">
        <v>32</v>
      </c>
      <c r="F22" s="68" t="s">
        <v>115</v>
      </c>
      <c r="G22" s="68" t="s">
        <v>4</v>
      </c>
      <c r="H22" s="68" t="s">
        <v>1</v>
      </c>
      <c r="I22" s="68" t="s">
        <v>171</v>
      </c>
      <c r="J22" s="68" t="s">
        <v>114</v>
      </c>
      <c r="K22" s="68" t="s">
        <v>25</v>
      </c>
      <c r="L22" s="51"/>
      <c r="M22" s="10" t="str">
        <f t="shared" ref="M22:M35" si="6">A24</f>
        <v>SW</v>
      </c>
      <c r="N22" s="95" t="str">
        <f t="shared" ref="N22:N35" si="7">IF(ISBLANK(K24),"--",K24)</f>
        <v>--</v>
      </c>
      <c r="O22" s="146" t="str">
        <f>IFERROR(_xll.qlRateHelperQuoteName(N22,Trigger),"--")</f>
        <v>--</v>
      </c>
      <c r="P22" s="99" t="str">
        <f>IFERROR(_xll.qlRateHelperQuoteValue($N22,Trigger),"--")</f>
        <v>--</v>
      </c>
      <c r="Q22" s="98" t="b">
        <v>0</v>
      </c>
      <c r="R22" s="95">
        <v>50</v>
      </c>
      <c r="S22" s="95">
        <v>1</v>
      </c>
      <c r="T22" s="100" t="str">
        <f>IFERROR(_xll.qlRateHelperEarliestDate(N22,Trigger),"--")</f>
        <v>--</v>
      </c>
      <c r="U22" s="100" t="str">
        <f>IFERROR(_xll.qlRateHelperPillarDate(N22,Trigger),"--")</f>
        <v>--</v>
      </c>
      <c r="W22" s="162" t="str">
        <f t="shared" si="0"/>
        <v>SW</v>
      </c>
      <c r="X22" s="162" t="str">
        <v>obj_0035a</v>
      </c>
      <c r="Y22" s="162" t="str">
        <f>IFERROR(_xll.qlRateHelperQuoteName(X22,Trigger),"")</f>
        <v>EUR1MSW2Y_Shifted</v>
      </c>
      <c r="Z22" s="184">
        <f>IFERROR(_xll.qlRateHelperRate(X22,Trigger),"")</f>
        <v>-3.5799999999999998E-3</v>
      </c>
      <c r="AA22" s="185">
        <f>IF(ISERROR(_xll.qlSwapRateHelperSpread($X22)),IF(ISERROR(_xll.qlFuturesRateHelperConvexityAdjustment($X22)),"",_xll.qlFuturesRateHelperConvexityAdjustment($X22)),_xll.qlSwapRateHelperSpread($X22))</f>
        <v>0</v>
      </c>
      <c r="AB22" s="163">
        <f>IFERROR(_xll.qlRateHelperEarliestDate(X22,Trigger),"")</f>
        <v>42748</v>
      </c>
      <c r="AC22" s="163">
        <f>IFERROR(_xll.qlRateHelperPillarDate(X22,Trigger),"")</f>
        <v>43479</v>
      </c>
      <c r="AD22" s="184">
        <v>-3.5871531572085431E-3</v>
      </c>
      <c r="AE22" s="81"/>
      <c r="AF22" s="162">
        <v>12</v>
      </c>
      <c r="AG22" s="163">
        <f>_xll.qlCalendarEndOfMonth(Calendar,_xll.qlCalendarAdvance(Calendar,AG21,"1m","mf",TRUE),Trigger)</f>
        <v>43098</v>
      </c>
      <c r="AH22" s="162" t="str">
        <f t="shared" si="3"/>
        <v>EURJump12_SYNTHON_Quote</v>
      </c>
      <c r="AI22" s="190">
        <f>_xll.qlDayCounterYearFraction("actual/360",AG22,_xll.qlCalendarAdvance(Calendar,AG22,"1D",,,Trigger))</f>
        <v>1.1111111111111112E-2</v>
      </c>
      <c r="AJ22" s="164" t="e">
        <f>IF(_xll.qlQuoteIsValid(AH22,Trigger),_xll.qlQuoteValue(AH22,Trigger),1)</f>
        <v>#NUM!</v>
      </c>
      <c r="AK22" s="193" t="e">
        <f t="shared" si="4"/>
        <v>#NUM!</v>
      </c>
      <c r="AL22" s="196">
        <v>0</v>
      </c>
      <c r="AM22" s="164">
        <f t="shared" si="5"/>
        <v>1</v>
      </c>
    </row>
    <row r="23" spans="1:39" ht="11.25" customHeight="1" x14ac:dyDescent="0.2">
      <c r="A23" s="56" t="str">
        <f>Quote!L46</f>
        <v>SW</v>
      </c>
      <c r="B23" s="57" t="str">
        <f>Quote!M46</f>
        <v>SW</v>
      </c>
      <c r="C23" s="58" t="s">
        <v>6</v>
      </c>
      <c r="D23" s="58" t="s">
        <v>8</v>
      </c>
      <c r="E23" s="58" t="s">
        <v>7</v>
      </c>
      <c r="F23" s="58" t="s">
        <v>26</v>
      </c>
      <c r="G23" s="58" t="str">
        <f>$G$9</f>
        <v>Euribor1MMX#0006</v>
      </c>
      <c r="H23" s="56" t="str">
        <f>IF(ISBLANK(Quote!O46),"",Quote!O46)</f>
        <v/>
      </c>
      <c r="I23" s="129"/>
      <c r="J23" s="127">
        <v>0</v>
      </c>
      <c r="K23" s="129"/>
      <c r="L23" s="51"/>
      <c r="M23" s="10" t="str">
        <f t="shared" si="6"/>
        <v>SW</v>
      </c>
      <c r="N23" s="95" t="str">
        <f t="shared" si="7"/>
        <v>--</v>
      </c>
      <c r="O23" s="146" t="str">
        <f>IFERROR(_xll.qlRateHelperQuoteName(N23,Trigger),"--")</f>
        <v>--</v>
      </c>
      <c r="P23" s="99" t="str">
        <f>IFERROR(_xll.qlRateHelperQuoteValue($N23,Trigger),"--")</f>
        <v>--</v>
      </c>
      <c r="Q23" s="98" t="b">
        <v>0</v>
      </c>
      <c r="R23" s="95">
        <v>50</v>
      </c>
      <c r="S23" s="95">
        <v>1</v>
      </c>
      <c r="T23" s="100" t="str">
        <f>IFERROR(_xll.qlRateHelperEarliestDate(N23,Trigger),"--")</f>
        <v>--</v>
      </c>
      <c r="U23" s="100" t="str">
        <f>IFERROR(_xll.qlRateHelperPillarDate(N23,Trigger),"--")</f>
        <v>--</v>
      </c>
      <c r="W23" s="162" t="str">
        <f t="shared" si="0"/>
        <v>SW</v>
      </c>
      <c r="X23" s="162" t="str">
        <v>obj_003d5</v>
      </c>
      <c r="Y23" s="162" t="str">
        <f>IFERROR(_xll.qlRateHelperQuoteName(X23,Trigger),"")</f>
        <v>EUR1MSW2Y3M_Shifted</v>
      </c>
      <c r="Z23" s="184">
        <f>IFERROR(_xll.qlRateHelperRate(X23,Trigger),"")</f>
        <v>-3.4724963099999999E-3</v>
      </c>
      <c r="AA23" s="185">
        <f>IF(ISERROR(_xll.qlSwapRateHelperSpread($X23)),IF(ISERROR(_xll.qlFuturesRateHelperConvexityAdjustment($X23)),"",_xll.qlFuturesRateHelperConvexityAdjustment($X23)),_xll.qlSwapRateHelperSpread($X23))</f>
        <v>0</v>
      </c>
      <c r="AB23" s="163">
        <f>IFERROR(_xll.qlRateHelperEarliestDate(X23,Trigger),"")</f>
        <v>42748</v>
      </c>
      <c r="AC23" s="163">
        <f>IFERROR(_xll.qlRateHelperPillarDate(X23,Trigger),"")</f>
        <v>43570</v>
      </c>
      <c r="AD23" s="184">
        <v>-3.4845108088906451E-3</v>
      </c>
      <c r="AE23" s="81"/>
      <c r="AF23" s="165">
        <v>13</v>
      </c>
      <c r="AG23" s="166">
        <f>_xll.qlCalendarAdjust(Calendar,DATE(YEAR(AG11)+1,12,31),"preceding",Trigger)</f>
        <v>43465</v>
      </c>
      <c r="AH23" s="165" t="str">
        <f t="shared" si="3"/>
        <v>EURJump13_SYNTHON_Quote</v>
      </c>
      <c r="AI23" s="191">
        <f>_xll.qlDayCounterYearFraction("actual/360",AG23,_xll.qlCalendarAdvance(Calendar,AG23,"1D",,,Trigger))</f>
        <v>5.5555555555555558E-3</v>
      </c>
      <c r="AJ23" s="167" t="e">
        <f>IF(_xll.qlQuoteIsValid(AH23,Trigger),_xll.qlQuoteValue(AH23,Trigger),1)</f>
        <v>#NUM!</v>
      </c>
      <c r="AK23" s="194" t="e">
        <f t="shared" si="4"/>
        <v>#NUM!</v>
      </c>
      <c r="AL23" s="197">
        <v>0</v>
      </c>
      <c r="AM23" s="167">
        <f t="shared" si="5"/>
        <v>1</v>
      </c>
    </row>
    <row r="24" spans="1:39" ht="11.25" customHeight="1" x14ac:dyDescent="0.2">
      <c r="A24" s="62" t="str">
        <f>Quote!L47</f>
        <v>SW</v>
      </c>
      <c r="B24" s="63" t="str">
        <f>Quote!M47</f>
        <v>2W</v>
      </c>
      <c r="C24" s="64" t="s">
        <v>6</v>
      </c>
      <c r="D24" s="64" t="s">
        <v>8</v>
      </c>
      <c r="E24" s="64" t="s">
        <v>7</v>
      </c>
      <c r="F24" s="64" t="s">
        <v>26</v>
      </c>
      <c r="G24" s="64" t="str">
        <f t="shared" ref="G24:G37" si="8">$G$9</f>
        <v>Euribor1MMX#0006</v>
      </c>
      <c r="H24" s="62" t="str">
        <f>IF(ISBLANK(Quote!O47),"",Quote!O47)</f>
        <v/>
      </c>
      <c r="I24" s="125"/>
      <c r="J24" s="128">
        <v>0</v>
      </c>
      <c r="K24" s="125"/>
      <c r="L24" s="51"/>
      <c r="M24" s="10" t="str">
        <f t="shared" si="6"/>
        <v>SW</v>
      </c>
      <c r="N24" s="95" t="str">
        <f t="shared" si="7"/>
        <v>obj_00358#0006</v>
      </c>
      <c r="O24" s="146" t="str">
        <f>IFERROR(_xll.qlRateHelperQuoteName(N24,Trigger),"--")</f>
        <v>EUR1MSW1M_Shifted</v>
      </c>
      <c r="P24" s="99">
        <f>IFERROR(_xll.qlRateHelperQuoteValue($N24,Trigger),"--")</f>
        <v>-3.7199999999999998E-3</v>
      </c>
      <c r="Q24" s="98" t="b">
        <v>0</v>
      </c>
      <c r="R24" s="95">
        <v>50</v>
      </c>
      <c r="S24" s="95">
        <v>1</v>
      </c>
      <c r="T24" s="100">
        <f>IFERROR(_xll.qlRateHelperEarliestDate(N24,Trigger),"--")</f>
        <v>42748</v>
      </c>
      <c r="U24" s="100">
        <f>IFERROR(_xll.qlRateHelperPillarDate(N24,Trigger),"--")</f>
        <v>42779</v>
      </c>
      <c r="W24" s="162" t="str">
        <f t="shared" si="0"/>
        <v>SW</v>
      </c>
      <c r="X24" s="162" t="str">
        <v>obj_003a6</v>
      </c>
      <c r="Y24" s="162" t="str">
        <f>IFERROR(_xll.qlRateHelperQuoteName(X24,Trigger),"")</f>
        <v>EUR1MSW2Y6M_Shifted</v>
      </c>
      <c r="Z24" s="184">
        <f>IFERROR(_xll.qlRateHelperRate(X24,Trigger),"")</f>
        <v>-3.3527301600000002E-3</v>
      </c>
      <c r="AA24" s="185">
        <f>IF(ISERROR(_xll.qlSwapRateHelperSpread($X24)),IF(ISERROR(_xll.qlFuturesRateHelperConvexityAdjustment($X24)),"",_xll.qlFuturesRateHelperConvexityAdjustment($X24)),_xll.qlSwapRateHelperSpread($X24))</f>
        <v>0</v>
      </c>
      <c r="AB24" s="163">
        <f>IFERROR(_xll.qlRateHelperEarliestDate(X24,Trigger),"")</f>
        <v>42748</v>
      </c>
      <c r="AC24" s="163">
        <f>IFERROR(_xll.qlRateHelperPillarDate(X24,Trigger),"")</f>
        <v>43661</v>
      </c>
      <c r="AD24" s="184">
        <v>-3.3649534714934133E-3</v>
      </c>
      <c r="AE24" s="81"/>
    </row>
    <row r="25" spans="1:39" ht="11.25" customHeight="1" x14ac:dyDescent="0.2">
      <c r="A25" s="221" t="str">
        <f>Quote!L48</f>
        <v>SW</v>
      </c>
      <c r="B25" s="280" t="str">
        <f>Quote!M48</f>
        <v>3W</v>
      </c>
      <c r="C25" s="223" t="s">
        <v>6</v>
      </c>
      <c r="D25" s="223" t="s">
        <v>8</v>
      </c>
      <c r="E25" s="223" t="s">
        <v>7</v>
      </c>
      <c r="F25" s="223" t="s">
        <v>26</v>
      </c>
      <c r="G25" s="223" t="str">
        <f t="shared" si="8"/>
        <v>Euribor1MMX#0006</v>
      </c>
      <c r="H25" s="221" t="str">
        <f>IF(ISBLANK(Quote!O48),"",Quote!O48)</f>
        <v/>
      </c>
      <c r="I25" s="278"/>
      <c r="J25" s="224">
        <v>0</v>
      </c>
      <c r="K25" s="278"/>
      <c r="L25" s="51"/>
      <c r="M25" s="10" t="str">
        <f t="shared" si="6"/>
        <v>SW</v>
      </c>
      <c r="N25" s="95" t="str">
        <f t="shared" si="7"/>
        <v>obj_0034c#0006</v>
      </c>
      <c r="O25" s="146" t="str">
        <f>IFERROR(_xll.qlRateHelperQuoteName(N25,Trigger),"--")</f>
        <v>EUR1MSW2M_Shifted</v>
      </c>
      <c r="P25" s="99">
        <f>IFERROR(_xll.qlRateHelperQuoteValue($N25,Trigger),"--")</f>
        <v>-3.7000000000000002E-3</v>
      </c>
      <c r="Q25" s="98" t="b">
        <v>1</v>
      </c>
      <c r="R25" s="95">
        <v>50</v>
      </c>
      <c r="S25" s="95">
        <v>1</v>
      </c>
      <c r="T25" s="100">
        <f>IFERROR(_xll.qlRateHelperEarliestDate(N25,Trigger),"--")</f>
        <v>42748</v>
      </c>
      <c r="U25" s="100">
        <f>IFERROR(_xll.qlRateHelperPillarDate(N25,Trigger),"--")</f>
        <v>42807</v>
      </c>
      <c r="W25" s="162" t="str">
        <f t="shared" si="0"/>
        <v>SW</v>
      </c>
      <c r="X25" s="162" t="str">
        <v>obj_00371</v>
      </c>
      <c r="Y25" s="162" t="str">
        <f>IFERROR(_xll.qlRateHelperQuoteName(X25,Trigger),"")</f>
        <v>EUR1MSW2Y9M_Shifted</v>
      </c>
      <c r="Z25" s="184">
        <f>IFERROR(_xll.qlRateHelperRate(X25,Trigger),"")</f>
        <v>-3.2221697699999999E-3</v>
      </c>
      <c r="AA25" s="185">
        <f>IF(ISERROR(_xll.qlSwapRateHelperSpread($X25)),IF(ISERROR(_xll.qlFuturesRateHelperConvexityAdjustment($X25)),"",_xll.qlFuturesRateHelperConvexityAdjustment($X25)),_xll.qlSwapRateHelperSpread($X25))</f>
        <v>0</v>
      </c>
      <c r="AB25" s="163">
        <f>IFERROR(_xll.qlRateHelperEarliestDate(X25,Trigger),"")</f>
        <v>42748</v>
      </c>
      <c r="AC25" s="163">
        <f>IFERROR(_xll.qlRateHelperPillarDate(X25,Trigger),"")</f>
        <v>43752</v>
      </c>
      <c r="AD25" s="184">
        <v>-3.2315829572331918E-3</v>
      </c>
      <c r="AE25" s="81"/>
    </row>
    <row r="26" spans="1:39" ht="11.25" customHeight="1" x14ac:dyDescent="0.2">
      <c r="A26" s="62" t="str">
        <f>Quote!L49</f>
        <v>SW</v>
      </c>
      <c r="B26" s="63" t="str">
        <f>Quote!M49</f>
        <v>1M</v>
      </c>
      <c r="C26" s="64" t="s">
        <v>6</v>
      </c>
      <c r="D26" s="64" t="s">
        <v>8</v>
      </c>
      <c r="E26" s="64" t="s">
        <v>7</v>
      </c>
      <c r="F26" s="64" t="s">
        <v>26</v>
      </c>
      <c r="G26" s="64" t="str">
        <f t="shared" si="8"/>
        <v>Euribor1MMX#0006</v>
      </c>
      <c r="H26" s="62" t="str">
        <f>IF(ISBLANK(Quote!O49),"",Quote!O49)</f>
        <v>EUR1MSW1M=#0006</v>
      </c>
      <c r="I26" s="62" t="str">
        <f>_xll.qlCompositeQuote(Currency&amp;"1M"&amp;A26&amp;B26&amp;"_Shifted",H26,BumpValue,"+",Permanent,Trigger,ObjectOverwrite)</f>
        <v>EUR1MSW1M_Shifted#0006</v>
      </c>
      <c r="J26" s="128">
        <v>0</v>
      </c>
      <c r="K26" s="67" t="str">
        <f>_xll.qlSwapRateHelper2(,IF(Sensitivity,I26,H26),2,B26,Calendar,D26,E26,F26,G26,J26,C26,Discounting,PillarDate,,Permanent,Trigger,ObjectOverwrite)</f>
        <v>obj_00358#0006</v>
      </c>
      <c r="L26" s="51"/>
      <c r="M26" s="10" t="str">
        <f t="shared" si="6"/>
        <v>SW</v>
      </c>
      <c r="N26" s="95" t="str">
        <f t="shared" si="7"/>
        <v>obj_003d9#0006</v>
      </c>
      <c r="O26" s="146" t="str">
        <f>IFERROR(_xll.qlRateHelperQuoteName(N26,Trigger),"--")</f>
        <v>EUR1MSW3M_Shifted</v>
      </c>
      <c r="P26" s="99">
        <f>IFERROR(_xll.qlRateHelperQuoteValue($N26,Trigger),"--")</f>
        <v>-3.7199999999999998E-3</v>
      </c>
      <c r="Q26" s="98" t="b">
        <v>1</v>
      </c>
      <c r="R26" s="95">
        <v>50</v>
      </c>
      <c r="S26" s="95">
        <v>1</v>
      </c>
      <c r="T26" s="100">
        <f>IFERROR(_xll.qlRateHelperEarliestDate(N26,Trigger),"--")</f>
        <v>42748</v>
      </c>
      <c r="U26" s="100">
        <f>IFERROR(_xll.qlRateHelperPillarDate(N26,Trigger),"--")</f>
        <v>42838</v>
      </c>
      <c r="W26" s="162" t="str">
        <f t="shared" si="0"/>
        <v>SW</v>
      </c>
      <c r="X26" s="162" t="str">
        <v>obj_0032c</v>
      </c>
      <c r="Y26" s="162" t="str">
        <f>IFERROR(_xll.qlRateHelperQuoteName(X26,Trigger),"")</f>
        <v>EUR1MSW3Y_Shifted</v>
      </c>
      <c r="Z26" s="184">
        <f>IFERROR(_xll.qlRateHelperRate(X26,Trigger),"")</f>
        <v>-3.0799999999999998E-3</v>
      </c>
      <c r="AA26" s="185">
        <f>IF(ISERROR(_xll.qlSwapRateHelperSpread($X26)),IF(ISERROR(_xll.qlFuturesRateHelperConvexityAdjustment($X26)),"",_xll.qlFuturesRateHelperConvexityAdjustment($X26)),_xll.qlSwapRateHelperSpread($X26))</f>
        <v>0</v>
      </c>
      <c r="AB26" s="163">
        <f>IFERROR(_xll.qlRateHelperEarliestDate(X26,Trigger),"")</f>
        <v>42748</v>
      </c>
      <c r="AC26" s="163">
        <f>IFERROR(_xll.qlRateHelperPillarDate(X26,Trigger),"")</f>
        <v>43843</v>
      </c>
      <c r="AD26" s="184">
        <v>-3.0875032183610013E-3</v>
      </c>
      <c r="AE26" s="81"/>
    </row>
    <row r="27" spans="1:39" ht="11.25" customHeight="1" x14ac:dyDescent="0.2">
      <c r="A27" s="62" t="str">
        <f>Quote!L50</f>
        <v>SW</v>
      </c>
      <c r="B27" s="63" t="str">
        <f>Quote!M50</f>
        <v>2M</v>
      </c>
      <c r="C27" s="64" t="s">
        <v>6</v>
      </c>
      <c r="D27" s="64" t="s">
        <v>8</v>
      </c>
      <c r="E27" s="64" t="s">
        <v>7</v>
      </c>
      <c r="F27" s="64" t="s">
        <v>26</v>
      </c>
      <c r="G27" s="64" t="str">
        <f t="shared" si="8"/>
        <v>Euribor1MMX#0006</v>
      </c>
      <c r="H27" s="62" t="str">
        <f>IF(ISBLANK(Quote!O50),"",Quote!O50)</f>
        <v>EUR1MSW2M=#0006</v>
      </c>
      <c r="I27" s="62" t="str">
        <f>_xll.qlCompositeQuote(Currency&amp;"1M"&amp;A27&amp;B27&amp;"_Shifted",H27,BumpValue,"+",Permanent,Trigger,ObjectOverwrite)</f>
        <v>EUR1MSW2M_Shifted#0006</v>
      </c>
      <c r="J27" s="128">
        <v>0</v>
      </c>
      <c r="K27" s="67" t="str">
        <f>_xll.qlSwapRateHelper2(,IF(Sensitivity,I27,H27),2,B27,Calendar,D27,E27,F27,G27,J27,C27,Discounting,PillarDate,,Permanent,Trigger,ObjectOverwrite)</f>
        <v>obj_0034c#0006</v>
      </c>
      <c r="L27" s="51"/>
      <c r="M27" s="10" t="str">
        <f t="shared" si="6"/>
        <v>SW</v>
      </c>
      <c r="N27" s="95" t="str">
        <f t="shared" si="7"/>
        <v>obj_00393#0006</v>
      </c>
      <c r="O27" s="146" t="str">
        <f>IFERROR(_xll.qlRateHelperQuoteName(N27,Trigger),"--")</f>
        <v>EUR1MSW4M_Shifted</v>
      </c>
      <c r="P27" s="99">
        <f>IFERROR(_xll.qlRateHelperQuoteValue($N27,Trigger),"--")</f>
        <v>-3.7199999999999998E-3</v>
      </c>
      <c r="Q27" s="98" t="b">
        <v>1</v>
      </c>
      <c r="R27" s="95">
        <v>50</v>
      </c>
      <c r="S27" s="95">
        <v>1</v>
      </c>
      <c r="T27" s="100">
        <f>IFERROR(_xll.qlRateHelperEarliestDate(N27,Trigger),"--")</f>
        <v>42748</v>
      </c>
      <c r="U27" s="100">
        <f>IFERROR(_xll.qlRateHelperPillarDate(N27,Trigger),"--")</f>
        <v>42870</v>
      </c>
      <c r="W27" s="162" t="str">
        <f t="shared" si="0"/>
        <v>SW</v>
      </c>
      <c r="X27" s="162" t="str">
        <v>obj_00332</v>
      </c>
      <c r="Y27" s="162" t="str">
        <f>IFERROR(_xll.qlRateHelperQuoteName(X27,Trigger),"")</f>
        <v>EUR1MSW4Y_Shifted</v>
      </c>
      <c r="Z27" s="184">
        <f>IFERROR(_xll.qlRateHelperRate(X27,Trigger),"")</f>
        <v>-2.3999999999999998E-3</v>
      </c>
      <c r="AA27" s="185">
        <f>IF(ISERROR(_xll.qlSwapRateHelperSpread($X27)),IF(ISERROR(_xll.qlFuturesRateHelperConvexityAdjustment($X27)),"",_xll.qlFuturesRateHelperConvexityAdjustment($X27)),_xll.qlSwapRateHelperSpread($X27))</f>
        <v>0</v>
      </c>
      <c r="AB27" s="163">
        <f>IFERROR(_xll.qlRateHelperEarliestDate(X27,Trigger),"")</f>
        <v>42748</v>
      </c>
      <c r="AC27" s="163">
        <f>IFERROR(_xll.qlRateHelperPillarDate(X27,Trigger),"")</f>
        <v>44209</v>
      </c>
      <c r="AD27" s="184">
        <v>-2.4062820697694598E-3</v>
      </c>
      <c r="AE27" s="81"/>
    </row>
    <row r="28" spans="1:39" ht="11.25" customHeight="1" x14ac:dyDescent="0.2">
      <c r="A28" s="62" t="str">
        <f>Quote!L51</f>
        <v>SW</v>
      </c>
      <c r="B28" s="63" t="str">
        <f>Quote!M51</f>
        <v>3M</v>
      </c>
      <c r="C28" s="64" t="s">
        <v>6</v>
      </c>
      <c r="D28" s="64" t="s">
        <v>8</v>
      </c>
      <c r="E28" s="64" t="s">
        <v>7</v>
      </c>
      <c r="F28" s="64" t="s">
        <v>26</v>
      </c>
      <c r="G28" s="64" t="str">
        <f t="shared" si="8"/>
        <v>Euribor1MMX#0006</v>
      </c>
      <c r="H28" s="62" t="str">
        <f>IF(ISBLANK(Quote!O51),"",Quote!O51)</f>
        <v>EUR1MSW3M=#0006</v>
      </c>
      <c r="I28" s="62" t="str">
        <f>_xll.qlCompositeQuote(Currency&amp;"1M"&amp;A28&amp;B28&amp;"_Shifted",H28,BumpValue,"+",Permanent,Trigger,ObjectOverwrite)</f>
        <v>EUR1MSW3M_Shifted#0006</v>
      </c>
      <c r="J28" s="128">
        <v>0</v>
      </c>
      <c r="K28" s="67" t="str">
        <f>_xll.qlSwapRateHelper2(,IF(Sensitivity,I28,H28),2,B28,Calendar,D28,E28,F28,G28,J28,C28,Discounting,PillarDate,,Permanent,Trigger,ObjectOverwrite)</f>
        <v>obj_003d9#0006</v>
      </c>
      <c r="L28" s="51"/>
      <c r="M28" s="10" t="str">
        <f t="shared" si="6"/>
        <v>SW</v>
      </c>
      <c r="N28" s="95" t="str">
        <f t="shared" si="7"/>
        <v>obj_0038d#0006</v>
      </c>
      <c r="O28" s="146" t="str">
        <f>IFERROR(_xll.qlRateHelperQuoteName(N28,Trigger),"--")</f>
        <v>EUR1MSW5M_Shifted</v>
      </c>
      <c r="P28" s="99">
        <f>IFERROR(_xll.qlRateHelperQuoteValue($N28,Trigger),"--")</f>
        <v>-3.7199999999999998E-3</v>
      </c>
      <c r="Q28" s="98" t="b">
        <v>1</v>
      </c>
      <c r="R28" s="95">
        <v>50</v>
      </c>
      <c r="S28" s="95">
        <v>1</v>
      </c>
      <c r="T28" s="100">
        <f>IFERROR(_xll.qlRateHelperEarliestDate(N28,Trigger),"--")</f>
        <v>42748</v>
      </c>
      <c r="U28" s="100">
        <f>IFERROR(_xll.qlRateHelperPillarDate(N28,Trigger),"--")</f>
        <v>42899</v>
      </c>
      <c r="W28" s="162" t="str">
        <f t="shared" si="0"/>
        <v>SW</v>
      </c>
      <c r="X28" s="162" t="str">
        <v>obj_003a4</v>
      </c>
      <c r="Y28" s="162" t="str">
        <f>IFERROR(_xll.qlRateHelperQuoteName(X28,Trigger),"")</f>
        <v>EUR1MSW5Y_Shifted</v>
      </c>
      <c r="Z28" s="184">
        <f>IFERROR(_xll.qlRateHelperRate(X28,Trigger),"")</f>
        <v>-1.49E-3</v>
      </c>
      <c r="AA28" s="185">
        <f>IF(ISERROR(_xll.qlSwapRateHelperSpread($X28)),IF(ISERROR(_xll.qlFuturesRateHelperConvexityAdjustment($X28)),"",_xll.qlFuturesRateHelperConvexityAdjustment($X28)),_xll.qlSwapRateHelperSpread($X28))</f>
        <v>0</v>
      </c>
      <c r="AB28" s="163">
        <f>IFERROR(_xll.qlRateHelperEarliestDate(X28,Trigger),"")</f>
        <v>42748</v>
      </c>
      <c r="AC28" s="163">
        <f>IFERROR(_xll.qlRateHelperPillarDate(X28,Trigger),"")</f>
        <v>44574</v>
      </c>
      <c r="AD28" s="184">
        <v>-1.4968179070024802E-3</v>
      </c>
      <c r="AE28" s="81"/>
    </row>
    <row r="29" spans="1:39" ht="11.25" customHeight="1" x14ac:dyDescent="0.2">
      <c r="A29" s="62" t="str">
        <f>Quote!L52</f>
        <v>SW</v>
      </c>
      <c r="B29" s="63" t="str">
        <f>Quote!M52</f>
        <v>4M</v>
      </c>
      <c r="C29" s="64" t="s">
        <v>6</v>
      </c>
      <c r="D29" s="64" t="s">
        <v>8</v>
      </c>
      <c r="E29" s="64" t="s">
        <v>7</v>
      </c>
      <c r="F29" s="64" t="s">
        <v>26</v>
      </c>
      <c r="G29" s="64" t="str">
        <f t="shared" si="8"/>
        <v>Euribor1MMX#0006</v>
      </c>
      <c r="H29" s="62" t="str">
        <f>IF(ISBLANK(Quote!O52),"",Quote!O52)</f>
        <v>EUR1MSW4M=#0006</v>
      </c>
      <c r="I29" s="62" t="str">
        <f>_xll.qlCompositeQuote(Currency&amp;"1M"&amp;A29&amp;B29&amp;"_Shifted",H29,BumpValue,"+",Permanent,Trigger,ObjectOverwrite)</f>
        <v>EUR1MSW4M_Shifted#0006</v>
      </c>
      <c r="J29" s="128">
        <v>0</v>
      </c>
      <c r="K29" s="67" t="str">
        <f>_xll.qlSwapRateHelper2(,IF(Sensitivity,I29,H29),2,B29,Calendar,D29,E29,F29,G29,J29,C29,Discounting,PillarDate,,Permanent,Trigger,ObjectOverwrite)</f>
        <v>obj_00393#0006</v>
      </c>
      <c r="L29" s="51"/>
      <c r="M29" s="10" t="str">
        <f t="shared" si="6"/>
        <v>SW</v>
      </c>
      <c r="N29" s="95" t="str">
        <f t="shared" si="7"/>
        <v>obj_003b6#0006</v>
      </c>
      <c r="O29" s="146" t="str">
        <f>IFERROR(_xll.qlRateHelperQuoteName(N29,Trigger),"--")</f>
        <v>EUR1MSW6M_Shifted</v>
      </c>
      <c r="P29" s="99">
        <f>IFERROR(_xll.qlRateHelperQuoteValue($N29,Trigger),"--")</f>
        <v>-3.7199999999999998E-3</v>
      </c>
      <c r="Q29" s="98" t="b">
        <v>1</v>
      </c>
      <c r="R29" s="95">
        <v>50</v>
      </c>
      <c r="S29" s="95">
        <v>1</v>
      </c>
      <c r="T29" s="100">
        <f>IFERROR(_xll.qlRateHelperEarliestDate(N29,Trigger),"--")</f>
        <v>42748</v>
      </c>
      <c r="U29" s="100">
        <f>IFERROR(_xll.qlRateHelperPillarDate(N29,Trigger),"--")</f>
        <v>42929</v>
      </c>
      <c r="W29" s="162" t="str">
        <f t="shared" si="0"/>
        <v>SW</v>
      </c>
      <c r="X29" s="162" t="str">
        <v>obj_003a1</v>
      </c>
      <c r="Y29" s="162" t="str">
        <f>IFERROR(_xll.qlRateHelperQuoteName(X29,Trigger),"")</f>
        <v>EUR1MSW6Y_Shifted</v>
      </c>
      <c r="Z29" s="184">
        <f>IFERROR(_xll.qlRateHelperRate(X29,Trigger),"")</f>
        <v>-3.7999999999999997E-4</v>
      </c>
      <c r="AA29" s="185">
        <f>IF(ISERROR(_xll.qlSwapRateHelperSpread($X29)),IF(ISERROR(_xll.qlFuturesRateHelperConvexityAdjustment($X29)),"",_xll.qlFuturesRateHelperConvexityAdjustment($X29)),_xll.qlSwapRateHelperSpread($X29))</f>
        <v>0</v>
      </c>
      <c r="AB29" s="163">
        <f>IFERROR(_xll.qlRateHelperEarliestDate(X29,Trigger),"")</f>
        <v>42748</v>
      </c>
      <c r="AC29" s="163">
        <f>IFERROR(_xll.qlRateHelperPillarDate(X29,Trigger),"")</f>
        <v>44939</v>
      </c>
      <c r="AD29" s="184">
        <v>-3.8436146376336723E-4</v>
      </c>
      <c r="AE29" s="81"/>
    </row>
    <row r="30" spans="1:39" ht="11.25" customHeight="1" x14ac:dyDescent="0.2">
      <c r="A30" s="62" t="str">
        <f>Quote!L53</f>
        <v>SW</v>
      </c>
      <c r="B30" s="63" t="str">
        <f>Quote!M53</f>
        <v>5M</v>
      </c>
      <c r="C30" s="64" t="s">
        <v>6</v>
      </c>
      <c r="D30" s="64" t="s">
        <v>8</v>
      </c>
      <c r="E30" s="64" t="s">
        <v>7</v>
      </c>
      <c r="F30" s="64" t="s">
        <v>26</v>
      </c>
      <c r="G30" s="64" t="str">
        <f t="shared" si="8"/>
        <v>Euribor1MMX#0006</v>
      </c>
      <c r="H30" s="62" t="str">
        <f>IF(ISBLANK(Quote!O53),"",Quote!O53)</f>
        <v>EUR1MSW5M=#0006</v>
      </c>
      <c r="I30" s="62" t="str">
        <f>_xll.qlCompositeQuote(Currency&amp;"1M"&amp;A30&amp;B30&amp;"_Shifted",H30,BumpValue,"+",Permanent,Trigger,ObjectOverwrite)</f>
        <v>EUR1MSW5M_Shifted#0006</v>
      </c>
      <c r="J30" s="128">
        <v>0</v>
      </c>
      <c r="K30" s="67" t="str">
        <f>_xll.qlSwapRateHelper2(,IF(Sensitivity,I30,H30),2,B30,Calendar,D30,E30,F30,G30,J30,C30,Discounting,PillarDate,,Permanent,Trigger,ObjectOverwrite)</f>
        <v>obj_0038d#0006</v>
      </c>
      <c r="L30" s="51"/>
      <c r="M30" s="10" t="str">
        <f t="shared" si="6"/>
        <v>SW</v>
      </c>
      <c r="N30" s="95" t="str">
        <f t="shared" si="7"/>
        <v>obj_00391#0006</v>
      </c>
      <c r="O30" s="146" t="str">
        <f>IFERROR(_xll.qlRateHelperQuoteName(N30,Trigger),"--")</f>
        <v>EUR1MSW7M_Shifted</v>
      </c>
      <c r="P30" s="99">
        <f>IFERROR(_xll.qlRateHelperQuoteValue($N30,Trigger),"--")</f>
        <v>-3.7199999999999998E-3</v>
      </c>
      <c r="Q30" s="98" t="b">
        <v>1</v>
      </c>
      <c r="R30" s="95">
        <v>50</v>
      </c>
      <c r="S30" s="95">
        <v>1</v>
      </c>
      <c r="T30" s="100">
        <f>IFERROR(_xll.qlRateHelperEarliestDate(N30,Trigger),"--")</f>
        <v>42748</v>
      </c>
      <c r="U30" s="100">
        <f>IFERROR(_xll.qlRateHelperPillarDate(N30,Trigger),"--")</f>
        <v>42961</v>
      </c>
      <c r="W30" s="162" t="str">
        <f t="shared" si="0"/>
        <v>SW</v>
      </c>
      <c r="X30" s="162" t="str">
        <v>obj_0035b</v>
      </c>
      <c r="Y30" s="162" t="str">
        <f>IFERROR(_xll.qlRateHelperQuoteName(X30,Trigger),"")</f>
        <v>EUR1MSW7Y_Shifted</v>
      </c>
      <c r="Z30" s="184">
        <f>IFERROR(_xll.qlRateHelperRate(X30,Trigger),"")</f>
        <v>8.6000000000000009E-4</v>
      </c>
      <c r="AA30" s="185">
        <f>IF(ISERROR(_xll.qlSwapRateHelperSpread($X30)),IF(ISERROR(_xll.qlFuturesRateHelperConvexityAdjustment($X30)),"",_xll.qlFuturesRateHelperConvexityAdjustment($X30)),_xll.qlSwapRateHelperSpread($X30))</f>
        <v>0</v>
      </c>
      <c r="AB30" s="163">
        <f>IFERROR(_xll.qlRateHelperEarliestDate(X30,Trigger),"")</f>
        <v>42748</v>
      </c>
      <c r="AC30" s="163">
        <f>IFERROR(_xll.qlRateHelperPillarDate(X30,Trigger),"")</f>
        <v>45306</v>
      </c>
      <c r="AD30" s="184">
        <v>8.6376795342601607E-4</v>
      </c>
      <c r="AE30" s="81"/>
    </row>
    <row r="31" spans="1:39" ht="11.25" customHeight="1" x14ac:dyDescent="0.2">
      <c r="A31" s="62" t="str">
        <f>Quote!L54</f>
        <v>SW</v>
      </c>
      <c r="B31" s="63" t="str">
        <f>Quote!M54</f>
        <v>6M</v>
      </c>
      <c r="C31" s="64" t="s">
        <v>6</v>
      </c>
      <c r="D31" s="64" t="s">
        <v>8</v>
      </c>
      <c r="E31" s="64" t="s">
        <v>7</v>
      </c>
      <c r="F31" s="64" t="s">
        <v>26</v>
      </c>
      <c r="G31" s="64" t="str">
        <f t="shared" si="8"/>
        <v>Euribor1MMX#0006</v>
      </c>
      <c r="H31" s="62" t="str">
        <f>IF(ISBLANK(Quote!O54),"",Quote!O54)</f>
        <v>EUR1MSW6M=#0006</v>
      </c>
      <c r="I31" s="62" t="str">
        <f>_xll.qlCompositeQuote(Currency&amp;"1M"&amp;A31&amp;B31&amp;"_Shifted",H31,BumpValue,"+",Permanent,Trigger,ObjectOverwrite)</f>
        <v>EUR1MSW6M_Shifted#0006</v>
      </c>
      <c r="J31" s="128">
        <v>0</v>
      </c>
      <c r="K31" s="67" t="str">
        <f>_xll.qlSwapRateHelper2(,IF(Sensitivity,I31,H31),2,B31,Calendar,D31,E31,F31,G31,J31,C31,Discounting,PillarDate,,Permanent,Trigger,ObjectOverwrite)</f>
        <v>obj_003b6#0006</v>
      </c>
      <c r="L31" s="51"/>
      <c r="M31" s="10" t="str">
        <f t="shared" si="6"/>
        <v>SW</v>
      </c>
      <c r="N31" s="95" t="str">
        <f t="shared" si="7"/>
        <v>obj_00364#0006</v>
      </c>
      <c r="O31" s="146" t="str">
        <f>IFERROR(_xll.qlRateHelperQuoteName(N31,Trigger),"--")</f>
        <v>EUR1MSW8M_Shifted</v>
      </c>
      <c r="P31" s="99">
        <f>IFERROR(_xll.qlRateHelperQuoteValue($N31,Trigger),"--")</f>
        <v>-3.7299999999999998E-3</v>
      </c>
      <c r="Q31" s="98" t="b">
        <v>1</v>
      </c>
      <c r="R31" s="95">
        <v>50</v>
      </c>
      <c r="S31" s="95">
        <v>1</v>
      </c>
      <c r="T31" s="100">
        <f>IFERROR(_xll.qlRateHelperEarliestDate(N31,Trigger),"--")</f>
        <v>42748</v>
      </c>
      <c r="U31" s="100">
        <f>IFERROR(_xll.qlRateHelperPillarDate(N31,Trigger),"--")</f>
        <v>42991</v>
      </c>
      <c r="W31" s="162" t="str">
        <f t="shared" si="0"/>
        <v>SW</v>
      </c>
      <c r="X31" s="162" t="str">
        <v>obj_0036d</v>
      </c>
      <c r="Y31" s="162" t="str">
        <f>IFERROR(_xll.qlRateHelperQuoteName(X31,Trigger),"")</f>
        <v>EUR1MSW8Y_Shifted</v>
      </c>
      <c r="Z31" s="184">
        <f>IFERROR(_xll.qlRateHelperRate(X31,Trigger),"")</f>
        <v>2.15E-3</v>
      </c>
      <c r="AA31" s="185">
        <f>IF(ISERROR(_xll.qlSwapRateHelperSpread($X31)),IF(ISERROR(_xll.qlFuturesRateHelperConvexityAdjustment($X31)),"",_xll.qlFuturesRateHelperConvexityAdjustment($X31)),_xll.qlSwapRateHelperSpread($X31))</f>
        <v>0</v>
      </c>
      <c r="AB31" s="163">
        <f>IFERROR(_xll.qlRateHelperEarliestDate(X31,Trigger),"")</f>
        <v>42748</v>
      </c>
      <c r="AC31" s="163">
        <f>IFERROR(_xll.qlRateHelperPillarDate(X31,Trigger),"")</f>
        <v>45670</v>
      </c>
      <c r="AD31" s="184">
        <v>2.168925473811127E-3</v>
      </c>
      <c r="AE31" s="81"/>
    </row>
    <row r="32" spans="1:39" ht="11.25" customHeight="1" x14ac:dyDescent="0.2">
      <c r="A32" s="62" t="str">
        <f>Quote!L55</f>
        <v>SW</v>
      </c>
      <c r="B32" s="63" t="str">
        <f>Quote!M55</f>
        <v>7M</v>
      </c>
      <c r="C32" s="64" t="s">
        <v>6</v>
      </c>
      <c r="D32" s="64" t="s">
        <v>8</v>
      </c>
      <c r="E32" s="64" t="s">
        <v>7</v>
      </c>
      <c r="F32" s="64" t="s">
        <v>26</v>
      </c>
      <c r="G32" s="64" t="str">
        <f t="shared" si="8"/>
        <v>Euribor1MMX#0006</v>
      </c>
      <c r="H32" s="62" t="str">
        <f>IF(ISBLANK(Quote!O55),"",Quote!O55)</f>
        <v>EUR1MSW7M=#0006</v>
      </c>
      <c r="I32" s="62" t="str">
        <f>_xll.qlCompositeQuote(Currency&amp;"1M"&amp;A32&amp;B32&amp;"_Shifted",H32,BumpValue,"+",Permanent,Trigger,ObjectOverwrite)</f>
        <v>EUR1MSW7M_Shifted#0006</v>
      </c>
      <c r="J32" s="128">
        <v>0</v>
      </c>
      <c r="K32" s="67" t="str">
        <f>_xll.qlSwapRateHelper2(,IF(Sensitivity,I32,H32),2,B32,Calendar,D32,E32,F32,G32,J32,C32,Discounting,PillarDate,,Permanent,Trigger,ObjectOverwrite)</f>
        <v>obj_00391#0006</v>
      </c>
      <c r="L32" s="51"/>
      <c r="M32" s="10" t="str">
        <f t="shared" si="6"/>
        <v>SW</v>
      </c>
      <c r="N32" s="95" t="str">
        <f t="shared" si="7"/>
        <v>obj_0036f#0006</v>
      </c>
      <c r="O32" s="146" t="str">
        <f>IFERROR(_xll.qlRateHelperQuoteName(N32,Trigger),"--")</f>
        <v>EUR1MSW9M_Shifted</v>
      </c>
      <c r="P32" s="99">
        <f>IFERROR(_xll.qlRateHelperQuoteValue($N32,Trigger),"--")</f>
        <v>-3.7199999999999998E-3</v>
      </c>
      <c r="Q32" s="98" t="b">
        <v>1</v>
      </c>
      <c r="R32" s="95">
        <v>50</v>
      </c>
      <c r="S32" s="95">
        <v>1</v>
      </c>
      <c r="T32" s="100">
        <f>IFERROR(_xll.qlRateHelperEarliestDate(N32,Trigger),"--")</f>
        <v>42748</v>
      </c>
      <c r="U32" s="100">
        <f>IFERROR(_xll.qlRateHelperPillarDate(N32,Trigger),"--")</f>
        <v>43021</v>
      </c>
      <c r="W32" s="162" t="str">
        <f t="shared" si="0"/>
        <v>SW</v>
      </c>
      <c r="X32" s="162" t="str">
        <v>obj_003bf</v>
      </c>
      <c r="Y32" s="162" t="str">
        <f>IFERROR(_xll.qlRateHelperQuoteName(X32,Trigger),"")</f>
        <v>EUR1MSW9Y_Shifted</v>
      </c>
      <c r="Z32" s="184">
        <f>IFERROR(_xll.qlRateHelperRate(X32,Trigger),"")</f>
        <v>3.4200000000000003E-3</v>
      </c>
      <c r="AA32" s="185">
        <f>IF(ISERROR(_xll.qlSwapRateHelperSpread($X32)),IF(ISERROR(_xll.qlFuturesRateHelperConvexityAdjustment($X32)),"",_xll.qlFuturesRateHelperConvexityAdjustment($X32)),_xll.qlSwapRateHelperSpread($X32))</f>
        <v>0</v>
      </c>
      <c r="AB32" s="163">
        <f>IFERROR(_xll.qlRateHelperEarliestDate(X32,Trigger),"")</f>
        <v>42748</v>
      </c>
      <c r="AC32" s="163">
        <f>IFERROR(_xll.qlRateHelperPillarDate(X32,Trigger),"")</f>
        <v>46035</v>
      </c>
      <c r="AD32" s="184">
        <v>3.4631969404999826E-3</v>
      </c>
      <c r="AE32" s="81"/>
    </row>
    <row r="33" spans="1:31" ht="11.25" customHeight="1" x14ac:dyDescent="0.2">
      <c r="A33" s="62" t="str">
        <f>Quote!L56</f>
        <v>SW</v>
      </c>
      <c r="B33" s="63" t="str">
        <f>Quote!M56</f>
        <v>8M</v>
      </c>
      <c r="C33" s="64" t="s">
        <v>6</v>
      </c>
      <c r="D33" s="64" t="s">
        <v>8</v>
      </c>
      <c r="E33" s="64" t="s">
        <v>7</v>
      </c>
      <c r="F33" s="64" t="s">
        <v>26</v>
      </c>
      <c r="G33" s="64" t="str">
        <f t="shared" si="8"/>
        <v>Euribor1MMX#0006</v>
      </c>
      <c r="H33" s="62" t="str">
        <f>IF(ISBLANK(Quote!O56),"",Quote!O56)</f>
        <v>EUR1MSW8M=#0006</v>
      </c>
      <c r="I33" s="62" t="str">
        <f>_xll.qlCompositeQuote(Currency&amp;"1M"&amp;A33&amp;B33&amp;"_Shifted",H33,BumpValue,"+",Permanent,Trigger,ObjectOverwrite)</f>
        <v>EUR1MSW8M_Shifted#0006</v>
      </c>
      <c r="J33" s="128">
        <v>0</v>
      </c>
      <c r="K33" s="67" t="str">
        <f>_xll.qlSwapRateHelper2(,IF(Sensitivity,I33,H33),2,B33,Calendar,D33,E33,F33,G33,J33,C33,Discounting,PillarDate,,Permanent,Trigger,ObjectOverwrite)</f>
        <v>obj_00364#0006</v>
      </c>
      <c r="L33" s="51"/>
      <c r="M33" s="10" t="str">
        <f t="shared" si="6"/>
        <v>SW</v>
      </c>
      <c r="N33" s="95" t="str">
        <f t="shared" si="7"/>
        <v>obj_003d3#0006</v>
      </c>
      <c r="O33" s="146" t="str">
        <f>IFERROR(_xll.qlRateHelperQuoteName(N33,Trigger),"--")</f>
        <v>EUR1MSW10M_Shifted</v>
      </c>
      <c r="P33" s="99">
        <f>IFERROR(_xll.qlRateHelperQuoteValue($N33,Trigger),"--")</f>
        <v>-3.7199999999999998E-3</v>
      </c>
      <c r="Q33" s="98" t="b">
        <v>1</v>
      </c>
      <c r="R33" s="95">
        <v>50</v>
      </c>
      <c r="S33" s="95">
        <v>1</v>
      </c>
      <c r="T33" s="100">
        <f>IFERROR(_xll.qlRateHelperEarliestDate(N33,Trigger),"--")</f>
        <v>42748</v>
      </c>
      <c r="U33" s="100">
        <f>IFERROR(_xll.qlRateHelperPillarDate(N33,Trigger),"--")</f>
        <v>43052</v>
      </c>
      <c r="W33" s="162" t="str">
        <f t="shared" si="0"/>
        <v>SW</v>
      </c>
      <c r="X33" s="162" t="str">
        <v>obj_0032b</v>
      </c>
      <c r="Y33" s="162" t="str">
        <f>IFERROR(_xll.qlRateHelperQuoteName(X33,Trigger),"")</f>
        <v>EUR1MSW10Y_Shifted</v>
      </c>
      <c r="Z33" s="184">
        <f>IFERROR(_xll.qlRateHelperRate(X33,Trigger),"")</f>
        <v>4.5999999999999999E-3</v>
      </c>
      <c r="AA33" s="185">
        <f>IF(ISERROR(_xll.qlSwapRateHelperSpread($X33)),IF(ISERROR(_xll.qlFuturesRateHelperConvexityAdjustment($X33)),"",_xll.qlFuturesRateHelperConvexityAdjustment($X33)),_xll.qlSwapRateHelperSpread($X33))</f>
        <v>0</v>
      </c>
      <c r="AB33" s="163">
        <f>IFERROR(_xll.qlRateHelperEarliestDate(X33,Trigger),"")</f>
        <v>42748</v>
      </c>
      <c r="AC33" s="163">
        <f>IFERROR(_xll.qlRateHelperPillarDate(X33,Trigger),"")</f>
        <v>46400</v>
      </c>
      <c r="AD33" s="184">
        <v>4.6749880936978773E-3</v>
      </c>
      <c r="AE33" s="81"/>
    </row>
    <row r="34" spans="1:31" ht="11.25" customHeight="1" x14ac:dyDescent="0.2">
      <c r="A34" s="62" t="str">
        <f>Quote!L57</f>
        <v>SW</v>
      </c>
      <c r="B34" s="63" t="str">
        <f>Quote!M57</f>
        <v>9M</v>
      </c>
      <c r="C34" s="64" t="s">
        <v>6</v>
      </c>
      <c r="D34" s="64" t="s">
        <v>8</v>
      </c>
      <c r="E34" s="64" t="s">
        <v>7</v>
      </c>
      <c r="F34" s="64" t="s">
        <v>26</v>
      </c>
      <c r="G34" s="64" t="str">
        <f t="shared" si="8"/>
        <v>Euribor1MMX#0006</v>
      </c>
      <c r="H34" s="62" t="str">
        <f>IF(ISBLANK(Quote!O57),"",Quote!O57)</f>
        <v>EUR1MSW9M=#0006</v>
      </c>
      <c r="I34" s="62" t="str">
        <f>_xll.qlCompositeQuote(Currency&amp;"1M"&amp;A34&amp;B34&amp;"_Shifted",H34,BumpValue,"+",Permanent,Trigger,ObjectOverwrite)</f>
        <v>EUR1MSW9M_Shifted#0006</v>
      </c>
      <c r="J34" s="128">
        <v>0</v>
      </c>
      <c r="K34" s="67" t="str">
        <f>_xll.qlSwapRateHelper2(,IF(Sensitivity,I34,H34),2,B34,Calendar,D34,E34,F34,G34,J34,C34,Discounting,PillarDate,,Permanent,Trigger,ObjectOverwrite)</f>
        <v>obj_0036f#0006</v>
      </c>
      <c r="L34" s="51"/>
      <c r="M34" s="10" t="str">
        <f t="shared" si="6"/>
        <v>SW</v>
      </c>
      <c r="N34" s="95" t="str">
        <f t="shared" si="7"/>
        <v>obj_003a8#0006</v>
      </c>
      <c r="O34" s="146" t="str">
        <f>IFERROR(_xll.qlRateHelperQuoteName(N34,Trigger),"--")</f>
        <v>EUR1MSW11M_Shifted</v>
      </c>
      <c r="P34" s="99">
        <f>IFERROR(_xll.qlRateHelperQuoteValue($N34,Trigger),"--")</f>
        <v>-3.7099999999999998E-3</v>
      </c>
      <c r="Q34" s="98" t="b">
        <v>1</v>
      </c>
      <c r="R34" s="95">
        <v>50</v>
      </c>
      <c r="S34" s="95">
        <v>1</v>
      </c>
      <c r="T34" s="100">
        <f>IFERROR(_xll.qlRateHelperEarliestDate(N34,Trigger),"--")</f>
        <v>42748</v>
      </c>
      <c r="U34" s="100">
        <f>IFERROR(_xll.qlRateHelperPillarDate(N34,Trigger),"--")</f>
        <v>43082</v>
      </c>
      <c r="W34" s="162" t="str">
        <f t="shared" si="0"/>
        <v>SW</v>
      </c>
      <c r="X34" s="162" t="str">
        <v>obj_003c8</v>
      </c>
      <c r="Y34" s="162" t="str">
        <f>IFERROR(_xll.qlRateHelperQuoteName(X34,Trigger),"")</f>
        <v>EUR1MSW11Y_Shifted</v>
      </c>
      <c r="Z34" s="184">
        <f>IFERROR(_xll.qlRateHelperRate(X34,Trigger),"")</f>
        <v>5.6499510500000009E-3</v>
      </c>
      <c r="AA34" s="185">
        <f>IF(ISERROR(_xll.qlSwapRateHelperSpread($X34)),IF(ISERROR(_xll.qlFuturesRateHelperConvexityAdjustment($X34)),"",_xll.qlFuturesRateHelperConvexityAdjustment($X34)),_xll.qlSwapRateHelperSpread($X34))</f>
        <v>0</v>
      </c>
      <c r="AB34" s="163">
        <f>IFERROR(_xll.qlRateHelperEarliestDate(X34,Trigger),"")</f>
        <v>42748</v>
      </c>
      <c r="AC34" s="163">
        <f>IFERROR(_xll.qlRateHelperPillarDate(X34,Trigger),"")</f>
        <v>46765</v>
      </c>
      <c r="AD34" s="184">
        <v>5.761300563973188E-3</v>
      </c>
      <c r="AE34" s="81"/>
    </row>
    <row r="35" spans="1:31" ht="11.25" customHeight="1" x14ac:dyDescent="0.2">
      <c r="A35" s="62" t="str">
        <f>Quote!L58</f>
        <v>SW</v>
      </c>
      <c r="B35" s="63" t="str">
        <f>Quote!M58</f>
        <v>10M</v>
      </c>
      <c r="C35" s="64" t="s">
        <v>6</v>
      </c>
      <c r="D35" s="64" t="s">
        <v>8</v>
      </c>
      <c r="E35" s="64" t="s">
        <v>7</v>
      </c>
      <c r="F35" s="64" t="s">
        <v>26</v>
      </c>
      <c r="G35" s="64" t="str">
        <f t="shared" si="8"/>
        <v>Euribor1MMX#0006</v>
      </c>
      <c r="H35" s="62" t="str">
        <f>IF(ISBLANK(Quote!O58),"",Quote!O58)</f>
        <v>EUR1MSW10M=#0006</v>
      </c>
      <c r="I35" s="62" t="str">
        <f>_xll.qlCompositeQuote(Currency&amp;"1M"&amp;A35&amp;B35&amp;"_Shifted",H35,BumpValue,"+",Permanent,Trigger,ObjectOverwrite)</f>
        <v>EUR1MSW10M_Shifted#0006</v>
      </c>
      <c r="J35" s="128">
        <v>0</v>
      </c>
      <c r="K35" s="67" t="str">
        <f>_xll.qlSwapRateHelper2(,IF(Sensitivity,I35,H35),2,B35,Calendar,D35,E35,F35,G35,J35,C35,Discounting,PillarDate,,Permanent,Trigger,ObjectOverwrite)</f>
        <v>obj_003d3#0006</v>
      </c>
      <c r="L35" s="51"/>
      <c r="M35" s="11" t="str">
        <f t="shared" si="6"/>
        <v>SW</v>
      </c>
      <c r="N35" s="96" t="str">
        <f t="shared" si="7"/>
        <v>obj_00394#0006</v>
      </c>
      <c r="O35" s="147" t="str">
        <f>IFERROR(_xll.qlRateHelperQuoteName(N35,Trigger),"--")</f>
        <v>EUR1MSW12M_Shifted</v>
      </c>
      <c r="P35" s="102">
        <f>IFERROR(_xll.qlRateHelperQuoteValue($N35,Trigger),"--")</f>
        <v>-3.7099999999999998E-3</v>
      </c>
      <c r="Q35" s="101" t="b">
        <v>1</v>
      </c>
      <c r="R35" s="96">
        <v>50</v>
      </c>
      <c r="S35" s="96">
        <v>1</v>
      </c>
      <c r="T35" s="103">
        <f>IFERROR(_xll.qlRateHelperEarliestDate(N35,Trigger),"--")</f>
        <v>42748</v>
      </c>
      <c r="U35" s="103">
        <f>IFERROR(_xll.qlRateHelperPillarDate(N35,Trigger),"--")</f>
        <v>43115</v>
      </c>
      <c r="W35" s="162" t="str">
        <f t="shared" ref="W35:W66" si="9">IFERROR(INDEX($M$3:$M$91,MATCH(Y35,$O$3:$O$91,0),1),"")</f>
        <v>SW</v>
      </c>
      <c r="X35" s="162" t="str">
        <v>obj_00376</v>
      </c>
      <c r="Y35" s="162" t="str">
        <f>IFERROR(_xll.qlRateHelperQuoteName(X35,Trigger),"")</f>
        <v>EUR1MSW12Y_Shifted</v>
      </c>
      <c r="Z35" s="184">
        <f>IFERROR(_xll.qlRateHelperRate(X35,Trigger),"")</f>
        <v>6.5799999999999999E-3</v>
      </c>
      <c r="AA35" s="185">
        <f>IF(ISERROR(_xll.qlSwapRateHelperSpread($X35)),IF(ISERROR(_xll.qlFuturesRateHelperConvexityAdjustment($X35)),"",_xll.qlFuturesRateHelperConvexityAdjustment($X35)),_xll.qlSwapRateHelperSpread($X35))</f>
        <v>0</v>
      </c>
      <c r="AB35" s="163">
        <f>IFERROR(_xll.qlRateHelperEarliestDate(X35,Trigger),"")</f>
        <v>42748</v>
      </c>
      <c r="AC35" s="163">
        <f>IFERROR(_xll.qlRateHelperPillarDate(X35,Trigger),"")</f>
        <v>47133</v>
      </c>
      <c r="AD35" s="184">
        <v>6.7289752857401771E-3</v>
      </c>
    </row>
    <row r="36" spans="1:31" ht="11.25" customHeight="1" x14ac:dyDescent="0.2">
      <c r="A36" s="62" t="str">
        <f>Quote!L59</f>
        <v>SW</v>
      </c>
      <c r="B36" s="63" t="str">
        <f>Quote!M59</f>
        <v>11M</v>
      </c>
      <c r="C36" s="64" t="s">
        <v>6</v>
      </c>
      <c r="D36" s="64" t="s">
        <v>8</v>
      </c>
      <c r="E36" s="64" t="s">
        <v>7</v>
      </c>
      <c r="F36" s="64" t="s">
        <v>26</v>
      </c>
      <c r="G36" s="64" t="str">
        <f t="shared" si="8"/>
        <v>Euribor1MMX#0006</v>
      </c>
      <c r="H36" s="62" t="str">
        <f>IF(ISBLANK(Quote!O59),"",Quote!O59)</f>
        <v>EUR1MSW11M=#0006</v>
      </c>
      <c r="I36" s="62" t="str">
        <f>_xll.qlCompositeQuote(Currency&amp;"1M"&amp;A36&amp;B36&amp;"_Shifted",H36,BumpValue,"+",Permanent,Trigger,ObjectOverwrite)</f>
        <v>EUR1MSW11M_Shifted#0006</v>
      </c>
      <c r="J36" s="128">
        <v>0</v>
      </c>
      <c r="K36" s="67" t="str">
        <f>_xll.qlSwapRateHelper2(,IF(Sensitivity,I36,H36),2,B36,Calendar,D36,E36,F36,G36,J36,C36,Discounting,PillarDate,,Permanent,Trigger,ObjectOverwrite)</f>
        <v>obj_003a8#0006</v>
      </c>
      <c r="L36" s="51"/>
      <c r="M36" s="10" t="str">
        <f>A40</f>
        <v>SW</v>
      </c>
      <c r="N36" s="95" t="str">
        <f>IF(ISBLANK(K40),"--",K40)</f>
        <v>--</v>
      </c>
      <c r="O36" s="146" t="str">
        <f>IFERROR(_xll.qlRateHelperQuoteName(N36,Trigger),"--")</f>
        <v>--</v>
      </c>
      <c r="P36" s="99" t="str">
        <f>IFERROR(_xll.qlRateHelperQuoteValue($N36,Trigger),"--")</f>
        <v>--</v>
      </c>
      <c r="Q36" s="98" t="b">
        <v>0</v>
      </c>
      <c r="R36" s="95">
        <v>50</v>
      </c>
      <c r="S36" s="95">
        <v>1</v>
      </c>
      <c r="T36" s="100" t="str">
        <f>IFERROR(_xll.qlRateHelperEarliestDate(N36,Trigger),"--")</f>
        <v>--</v>
      </c>
      <c r="U36" s="100" t="str">
        <f>IFERROR(_xll.qlRateHelperPillarDate(N36,Trigger),"--")</f>
        <v>--</v>
      </c>
      <c r="W36" s="162" t="str">
        <f t="shared" si="9"/>
        <v>SW</v>
      </c>
      <c r="X36" s="162" t="str">
        <v>obj_00339</v>
      </c>
      <c r="Y36" s="162" t="str">
        <f>IFERROR(_xll.qlRateHelperQuoteName(X36,Trigger),"")</f>
        <v>EUR1MSW13Y_Shifted</v>
      </c>
      <c r="Z36" s="184">
        <f>IFERROR(_xll.qlRateHelperRate(X36,Trigger),"")</f>
        <v>7.3837159200000006E-3</v>
      </c>
      <c r="AA36" s="185">
        <f>IF(ISERROR(_xll.qlSwapRateHelperSpread($X36)),IF(ISERROR(_xll.qlFuturesRateHelperConvexityAdjustment($X36)),"",_xll.qlFuturesRateHelperConvexityAdjustment($X36)),_xll.qlSwapRateHelperSpread($X36))</f>
        <v>0</v>
      </c>
      <c r="AB36" s="163">
        <f>IFERROR(_xll.qlRateHelperEarliestDate(X36,Trigger),"")</f>
        <v>42748</v>
      </c>
      <c r="AC36" s="163">
        <f>IFERROR(_xll.qlRateHelperPillarDate(X36,Trigger),"")</f>
        <v>47497</v>
      </c>
      <c r="AD36" s="184">
        <v>7.5720263778447936E-3</v>
      </c>
    </row>
    <row r="37" spans="1:31" ht="11.25" customHeight="1" x14ac:dyDescent="0.2">
      <c r="A37" s="1" t="str">
        <f>Quote!L60</f>
        <v>SW</v>
      </c>
      <c r="B37" s="8" t="str">
        <f>Quote!M60</f>
        <v>12M</v>
      </c>
      <c r="C37" s="7" t="s">
        <v>6</v>
      </c>
      <c r="D37" s="7" t="s">
        <v>8</v>
      </c>
      <c r="E37" s="7" t="s">
        <v>7</v>
      </c>
      <c r="F37" s="7" t="s">
        <v>26</v>
      </c>
      <c r="G37" s="7" t="str">
        <f t="shared" si="8"/>
        <v>Euribor1MMX#0006</v>
      </c>
      <c r="H37" s="1" t="str">
        <f>IF(ISBLANK(Quote!O60),"",Quote!O60)</f>
        <v>EUR1MSW12M=#0006</v>
      </c>
      <c r="I37" s="1" t="str">
        <f>_xll.qlCompositeQuote(Currency&amp;"1M"&amp;A37&amp;B37&amp;"_Shifted",H37,BumpValue,"+",Permanent,Trigger,ObjectOverwrite)</f>
        <v>EUR1MSW12M_Shifted#0006</v>
      </c>
      <c r="J37" s="130">
        <v>0</v>
      </c>
      <c r="K37" s="3" t="str">
        <f>_xll.qlSwapRateHelper2(,IF(Sensitivity,I37,H37),2,B37,Calendar,D37,E37,F37,G37,J37,C37,Discounting,PillarDate,,Permanent,Trigger,ObjectOverwrite)</f>
        <v>obj_00394#0006</v>
      </c>
      <c r="L37" s="51"/>
      <c r="M37" s="10" t="str">
        <f t="shared" ref="M37:M91" si="10">A41</f>
        <v>SW</v>
      </c>
      <c r="N37" s="95" t="str">
        <f t="shared" ref="N37:N91" si="11">IF(ISBLANK(K41),"--",K41)</f>
        <v>--</v>
      </c>
      <c r="O37" s="146" t="str">
        <f>IFERROR(_xll.qlRateHelperQuoteName(N37,Trigger),"--")</f>
        <v>--</v>
      </c>
      <c r="P37" s="99" t="str">
        <f>IFERROR(_xll.qlRateHelperQuoteValue($N37,Trigger),"--")</f>
        <v>--</v>
      </c>
      <c r="Q37" s="98" t="b">
        <v>0</v>
      </c>
      <c r="R37" s="95">
        <v>50</v>
      </c>
      <c r="S37" s="95">
        <v>1</v>
      </c>
      <c r="T37" s="100" t="str">
        <f>IFERROR(_xll.qlRateHelperEarliestDate(N37,Trigger),"--")</f>
        <v>--</v>
      </c>
      <c r="U37" s="100" t="str">
        <f>IFERROR(_xll.qlRateHelperPillarDate(N37,Trigger),"--")</f>
        <v>--</v>
      </c>
      <c r="W37" s="162" t="str">
        <f t="shared" si="9"/>
        <v>SW</v>
      </c>
      <c r="X37" s="162" t="str">
        <v>obj_003cd</v>
      </c>
      <c r="Y37" s="162" t="str">
        <f>IFERROR(_xll.qlRateHelperQuoteName(X37,Trigger),"")</f>
        <v>EUR1MSW14Y_Shifted</v>
      </c>
      <c r="Z37" s="184">
        <f>IFERROR(_xll.qlRateHelperRate(X37,Trigger),"")</f>
        <v>8.0810838700000002E-3</v>
      </c>
      <c r="AA37" s="185">
        <f>IF(ISERROR(_xll.qlSwapRateHelperSpread($X37)),IF(ISERROR(_xll.qlFuturesRateHelperConvexityAdjustment($X37)),"",_xll.qlFuturesRateHelperConvexityAdjustment($X37)),_xll.qlSwapRateHelperSpread($X37))</f>
        <v>0</v>
      </c>
      <c r="AB37" s="163">
        <f>IFERROR(_xll.qlRateHelperEarliestDate(X37,Trigger),"")</f>
        <v>42748</v>
      </c>
      <c r="AC37" s="163">
        <f>IFERROR(_xll.qlRateHelperPillarDate(X37,Trigger),"")</f>
        <v>47861</v>
      </c>
      <c r="AD37" s="184">
        <v>8.3077926897991393E-3</v>
      </c>
    </row>
    <row r="38" spans="1:31" ht="11.25" customHeight="1" x14ac:dyDescent="0.2">
      <c r="H38" s="53"/>
      <c r="I38" s="53"/>
      <c r="L38" s="51"/>
      <c r="M38" s="10" t="str">
        <f t="shared" si="10"/>
        <v>SW</v>
      </c>
      <c r="N38" s="95" t="str">
        <f t="shared" si="11"/>
        <v>--</v>
      </c>
      <c r="O38" s="146" t="str">
        <f>IFERROR(_xll.qlRateHelperQuoteName(N38,Trigger),"--")</f>
        <v>--</v>
      </c>
      <c r="P38" s="99" t="str">
        <f>IFERROR(_xll.qlRateHelperQuoteValue($N38,Trigger),"--")</f>
        <v>--</v>
      </c>
      <c r="Q38" s="98" t="b">
        <v>0</v>
      </c>
      <c r="R38" s="95">
        <v>50</v>
      </c>
      <c r="S38" s="95">
        <v>1</v>
      </c>
      <c r="T38" s="100" t="str">
        <f>IFERROR(_xll.qlRateHelperEarliestDate(N38,Trigger),"--")</f>
        <v>--</v>
      </c>
      <c r="U38" s="100" t="str">
        <f>IFERROR(_xll.qlRateHelperPillarDate(N38,Trigger),"--")</f>
        <v>--</v>
      </c>
      <c r="W38" s="162" t="str">
        <f t="shared" si="9"/>
        <v>SW</v>
      </c>
      <c r="X38" s="162" t="str">
        <v>obj_003a0</v>
      </c>
      <c r="Y38" s="162" t="str">
        <f>IFERROR(_xll.qlRateHelperQuoteName(X38,Trigger),"")</f>
        <v>EUR1MSW15Y_Shifted</v>
      </c>
      <c r="Z38" s="184">
        <f>IFERROR(_xll.qlRateHelperRate(X38,Trigger),"")</f>
        <v>8.6800000000000002E-3</v>
      </c>
      <c r="AA38" s="185">
        <f>IF(ISERROR(_xll.qlSwapRateHelperSpread($X38)),IF(ISERROR(_xll.qlFuturesRateHelperConvexityAdjustment($X38)),"",_xll.qlFuturesRateHelperConvexityAdjustment($X38)),_xll.qlSwapRateHelperSpread($X38))</f>
        <v>0</v>
      </c>
      <c r="AB38" s="163">
        <f>IFERROR(_xll.qlRateHelperEarliestDate(X38,Trigger),"")</f>
        <v>42748</v>
      </c>
      <c r="AC38" s="163">
        <f>IFERROR(_xll.qlRateHelperPillarDate(X38,Trigger),"")</f>
        <v>48226</v>
      </c>
      <c r="AD38" s="184">
        <v>8.9426162843742659E-3</v>
      </c>
    </row>
    <row r="39" spans="1:31" ht="11.25" customHeight="1" x14ac:dyDescent="0.2">
      <c r="A39" s="68" t="s">
        <v>9</v>
      </c>
      <c r="B39" s="68" t="s">
        <v>28</v>
      </c>
      <c r="C39" s="68" t="s">
        <v>135</v>
      </c>
      <c r="D39" s="68" t="s">
        <v>5</v>
      </c>
      <c r="E39" s="68" t="s">
        <v>32</v>
      </c>
      <c r="F39" s="68" t="s">
        <v>115</v>
      </c>
      <c r="G39" s="68" t="s">
        <v>4</v>
      </c>
      <c r="H39" s="68" t="s">
        <v>1</v>
      </c>
      <c r="I39" s="68" t="s">
        <v>171</v>
      </c>
      <c r="J39" s="68" t="s">
        <v>114</v>
      </c>
      <c r="K39" s="68" t="s">
        <v>25</v>
      </c>
      <c r="L39" s="51"/>
      <c r="M39" s="10" t="str">
        <f t="shared" si="10"/>
        <v>SW</v>
      </c>
      <c r="N39" s="95" t="str">
        <f t="shared" si="11"/>
        <v>obj_00346#0006</v>
      </c>
      <c r="O39" s="146" t="str">
        <f>IFERROR(_xll.qlRateHelperQuoteName(N39,Trigger),"--")</f>
        <v>EUR1MSW15M_Shifted</v>
      </c>
      <c r="P39" s="99">
        <f>IFERROR(_xll.qlRateHelperQuoteValue($N39,Trigger),"--")</f>
        <v>-3.7422875800000007E-3</v>
      </c>
      <c r="Q39" s="98" t="b">
        <v>1</v>
      </c>
      <c r="R39" s="95">
        <v>50</v>
      </c>
      <c r="S39" s="95">
        <v>1</v>
      </c>
      <c r="T39" s="100">
        <f>IFERROR(_xll.qlRateHelperEarliestDate(N39,Trigger),"--")</f>
        <v>42748</v>
      </c>
      <c r="U39" s="100">
        <f>IFERROR(_xll.qlRateHelperPillarDate(N39,Trigger),"--")</f>
        <v>43203</v>
      </c>
      <c r="W39" s="162" t="str">
        <f t="shared" si="9"/>
        <v>SW</v>
      </c>
      <c r="X39" s="162" t="str">
        <v>obj_003da</v>
      </c>
      <c r="Y39" s="162" t="str">
        <f>IFERROR(_xll.qlRateHelperQuoteName(X39,Trigger),"")</f>
        <v>EUR1MSW16Y_Shifted</v>
      </c>
      <c r="Z39" s="184">
        <f>IFERROR(_xll.qlRateHelperRate(X39,Trigger),"")</f>
        <v>9.1882162900000005E-3</v>
      </c>
      <c r="AA39" s="185">
        <f>IF(ISERROR(_xll.qlSwapRateHelperSpread($X39)),IF(ISERROR(_xll.qlFuturesRateHelperConvexityAdjustment($X39)),"",_xll.qlFuturesRateHelperConvexityAdjustment($X39)),_xll.qlSwapRateHelperSpread($X39))</f>
        <v>0</v>
      </c>
      <c r="AB39" s="163">
        <f>IFERROR(_xll.qlRateHelperEarliestDate(X39,Trigger),"")</f>
        <v>42748</v>
      </c>
      <c r="AC39" s="163">
        <f>IFERROR(_xll.qlRateHelperPillarDate(X39,Trigger),"")</f>
        <v>48592</v>
      </c>
      <c r="AD39" s="184">
        <v>9.4814537648192972E-3</v>
      </c>
    </row>
    <row r="40" spans="1:31" ht="11.25" customHeight="1" x14ac:dyDescent="0.2">
      <c r="A40" s="56" t="str">
        <f>Quote!L61</f>
        <v>SW</v>
      </c>
      <c r="B40" s="57" t="str">
        <f>Quote!M61</f>
        <v>1Y</v>
      </c>
      <c r="C40" s="58" t="s">
        <v>6</v>
      </c>
      <c r="D40" s="58" t="s">
        <v>8</v>
      </c>
      <c r="E40" s="58" t="s">
        <v>7</v>
      </c>
      <c r="F40" s="58" t="s">
        <v>132</v>
      </c>
      <c r="G40" s="58" t="str">
        <f>$G$9</f>
        <v>Euribor1MMX#0006</v>
      </c>
      <c r="H40" s="56" t="str">
        <f>IF(ISBLANK(Quote!O61),"",Quote!O61)</f>
        <v/>
      </c>
      <c r="I40" s="129"/>
      <c r="J40" s="127">
        <v>0</v>
      </c>
      <c r="K40" s="129"/>
      <c r="L40" s="51"/>
      <c r="M40" s="10" t="str">
        <f t="shared" si="10"/>
        <v>SW</v>
      </c>
      <c r="N40" s="95" t="str">
        <f t="shared" si="11"/>
        <v>--</v>
      </c>
      <c r="O40" s="146" t="str">
        <f>IFERROR(_xll.qlRateHelperQuoteName(N40,Trigger),"--")</f>
        <v>--</v>
      </c>
      <c r="P40" s="99" t="str">
        <f>IFERROR(_xll.qlRateHelperQuoteValue($N40,Trigger),"--")</f>
        <v>--</v>
      </c>
      <c r="Q40" s="98" t="b">
        <v>0</v>
      </c>
      <c r="R40" s="95">
        <v>50</v>
      </c>
      <c r="S40" s="95">
        <v>1</v>
      </c>
      <c r="T40" s="100" t="str">
        <f>IFERROR(_xll.qlRateHelperEarliestDate(N40,Trigger),"--")</f>
        <v>--</v>
      </c>
      <c r="U40" s="100" t="str">
        <f>IFERROR(_xll.qlRateHelperPillarDate(N40,Trigger),"--")</f>
        <v>--</v>
      </c>
      <c r="W40" s="162" t="str">
        <f t="shared" si="9"/>
        <v>SW</v>
      </c>
      <c r="X40" s="162" t="str">
        <v>obj_00348</v>
      </c>
      <c r="Y40" s="162" t="str">
        <f>IFERROR(_xll.qlRateHelperQuoteName(X40,Trigger),"")</f>
        <v>EUR1MSW17Y_Shifted</v>
      </c>
      <c r="Z40" s="184">
        <f>IFERROR(_xll.qlRateHelperRate(X40,Trigger),"")</f>
        <v>9.6105547100000018E-3</v>
      </c>
      <c r="AA40" s="185">
        <f>IF(ISERROR(_xll.qlSwapRateHelperSpread($X40)),IF(ISERROR(_xll.qlFuturesRateHelperConvexityAdjustment($X40)),"",_xll.qlFuturesRateHelperConvexityAdjustment($X40)),_xll.qlSwapRateHelperSpread($X40))</f>
        <v>0</v>
      </c>
      <c r="AB40" s="163">
        <f>IFERROR(_xll.qlRateHelperEarliestDate(X40,Trigger),"")</f>
        <v>42748</v>
      </c>
      <c r="AC40" s="163">
        <f>IFERROR(_xll.qlRateHelperPillarDate(X40,Trigger),"")</f>
        <v>48957</v>
      </c>
      <c r="AD40" s="184">
        <v>9.9311331785971787E-3</v>
      </c>
    </row>
    <row r="41" spans="1:31" ht="11.25" customHeight="1" x14ac:dyDescent="0.2">
      <c r="A41" s="62" t="str">
        <f>Quote!L62</f>
        <v>SW</v>
      </c>
      <c r="B41" s="63" t="str">
        <f>Quote!M62</f>
        <v>13M</v>
      </c>
      <c r="C41" s="64" t="s">
        <v>6</v>
      </c>
      <c r="D41" s="64" t="s">
        <v>8</v>
      </c>
      <c r="E41" s="64" t="s">
        <v>7</v>
      </c>
      <c r="F41" s="64" t="s">
        <v>132</v>
      </c>
      <c r="G41" s="64" t="str">
        <f t="shared" ref="G41:G95" si="12">$G$9</f>
        <v>Euribor1MMX#0006</v>
      </c>
      <c r="H41" s="62" t="str">
        <f>IF(ISBLANK(Quote!O62),"",Quote!O62)</f>
        <v/>
      </c>
      <c r="I41" s="125"/>
      <c r="J41" s="128">
        <v>0</v>
      </c>
      <c r="K41" s="125"/>
      <c r="M41" s="10" t="str">
        <f t="shared" si="10"/>
        <v>SW</v>
      </c>
      <c r="N41" s="95" t="str">
        <f t="shared" si="11"/>
        <v>--</v>
      </c>
      <c r="O41" s="146" t="str">
        <f>IFERROR(_xll.qlRateHelperQuoteName(N41,Trigger),"--")</f>
        <v>--</v>
      </c>
      <c r="P41" s="99" t="str">
        <f>IFERROR(_xll.qlRateHelperQuoteValue($N41,Trigger),"--")</f>
        <v>--</v>
      </c>
      <c r="Q41" s="98" t="b">
        <v>0</v>
      </c>
      <c r="R41" s="95">
        <v>50</v>
      </c>
      <c r="S41" s="95">
        <v>1</v>
      </c>
      <c r="T41" s="100" t="str">
        <f>IFERROR(_xll.qlRateHelperEarliestDate(N41,Trigger),"--")</f>
        <v>--</v>
      </c>
      <c r="U41" s="100" t="str">
        <f>IFERROR(_xll.qlRateHelperPillarDate(N41,Trigger),"--")</f>
        <v>--</v>
      </c>
      <c r="W41" s="162" t="str">
        <f t="shared" si="9"/>
        <v>SW</v>
      </c>
      <c r="X41" s="162" t="str">
        <v>obj_0034f</v>
      </c>
      <c r="Y41" s="162" t="str">
        <f>IFERROR(_xll.qlRateHelperQuoteName(X41,Trigger),"")</f>
        <v>EUR1MSW18Y_Shifted</v>
      </c>
      <c r="Z41" s="184">
        <f>IFERROR(_xll.qlRateHelperRate(X41,Trigger),"")</f>
        <v>9.9626621600000017E-3</v>
      </c>
      <c r="AA41" s="185">
        <f>IF(ISERROR(_xll.qlSwapRateHelperSpread($X41)),IF(ISERROR(_xll.qlFuturesRateHelperConvexityAdjustment($X41)),"",_xll.qlFuturesRateHelperConvexityAdjustment($X41)),_xll.qlSwapRateHelperSpread($X41))</f>
        <v>0</v>
      </c>
      <c r="AB41" s="163">
        <f>IFERROR(_xll.qlRateHelperEarliestDate(X41,Trigger),"")</f>
        <v>42748</v>
      </c>
      <c r="AC41" s="163">
        <f>IFERROR(_xll.qlRateHelperPillarDate(X41,Trigger),"")</f>
        <v>49324</v>
      </c>
      <c r="AD41" s="184">
        <v>1.030585302402133E-2</v>
      </c>
    </row>
    <row r="42" spans="1:31" ht="11.25" customHeight="1" x14ac:dyDescent="0.2">
      <c r="A42" s="221" t="str">
        <f>Quote!L63</f>
        <v>SW</v>
      </c>
      <c r="B42" s="280" t="str">
        <f>Quote!M63</f>
        <v>14M</v>
      </c>
      <c r="C42" s="223" t="s">
        <v>6</v>
      </c>
      <c r="D42" s="223" t="s">
        <v>8</v>
      </c>
      <c r="E42" s="223" t="s">
        <v>7</v>
      </c>
      <c r="F42" s="223" t="s">
        <v>132</v>
      </c>
      <c r="G42" s="223" t="str">
        <f t="shared" si="12"/>
        <v>Euribor1MMX#0006</v>
      </c>
      <c r="H42" s="221" t="str">
        <f>IF(ISBLANK(Quote!O63),"",Quote!O63)</f>
        <v/>
      </c>
      <c r="I42" s="278"/>
      <c r="J42" s="224">
        <v>0</v>
      </c>
      <c r="K42" s="278"/>
      <c r="M42" s="10" t="str">
        <f t="shared" si="10"/>
        <v>SW</v>
      </c>
      <c r="N42" s="95" t="str">
        <f t="shared" si="11"/>
        <v>obj_003c3#0006</v>
      </c>
      <c r="O42" s="146" t="str">
        <f>IFERROR(_xll.qlRateHelperQuoteName(N42,Trigger),"--")</f>
        <v>EUR1MSW18M_Shifted</v>
      </c>
      <c r="P42" s="99">
        <f>IFERROR(_xll.qlRateHelperQuoteValue($N42,Trigger),"--")</f>
        <v>-3.7099829400000003E-3</v>
      </c>
      <c r="Q42" s="98" t="b">
        <v>1</v>
      </c>
      <c r="R42" s="95">
        <v>50</v>
      </c>
      <c r="S42" s="95">
        <v>1</v>
      </c>
      <c r="T42" s="100">
        <f>IFERROR(_xll.qlRateHelperEarliestDate(N42,Trigger),"--")</f>
        <v>42748</v>
      </c>
      <c r="U42" s="100">
        <f>IFERROR(_xll.qlRateHelperPillarDate(N42,Trigger),"--")</f>
        <v>43294</v>
      </c>
      <c r="W42" s="162" t="str">
        <f t="shared" si="9"/>
        <v>SW</v>
      </c>
      <c r="X42" s="162" t="str">
        <v>obj_00392</v>
      </c>
      <c r="Y42" s="162" t="str">
        <f>IFERROR(_xll.qlRateHelperQuoteName(X42,Trigger),"")</f>
        <v>EUR1MSW19Y_Shifted</v>
      </c>
      <c r="Z42" s="184">
        <f>IFERROR(_xll.qlRateHelperRate(X42,Trigger),"")</f>
        <v>1.0250728660000001E-2</v>
      </c>
      <c r="AA42" s="185">
        <f>IF(ISERROR(_xll.qlSwapRateHelperSpread($X42)),IF(ISERROR(_xll.qlFuturesRateHelperConvexityAdjustment($X42)),"",_xll.qlFuturesRateHelperConvexityAdjustment($X42)),_xll.qlSwapRateHelperSpread($X42))</f>
        <v>0</v>
      </c>
      <c r="AB42" s="163">
        <f>IFERROR(_xll.qlRateHelperEarliestDate(X42,Trigger),"")</f>
        <v>42748</v>
      </c>
      <c r="AC42" s="163">
        <f>IFERROR(_xll.qlRateHelperPillarDate(X42,Trigger),"")</f>
        <v>49688</v>
      </c>
      <c r="AD42" s="184">
        <v>1.0611564398950288E-2</v>
      </c>
    </row>
    <row r="43" spans="1:31" ht="11.25" customHeight="1" x14ac:dyDescent="0.2">
      <c r="A43" s="62" t="str">
        <f>Quote!L64</f>
        <v>SW</v>
      </c>
      <c r="B43" s="63" t="str">
        <f>Quote!M64</f>
        <v>15M</v>
      </c>
      <c r="C43" s="64" t="s">
        <v>6</v>
      </c>
      <c r="D43" s="64" t="s">
        <v>8</v>
      </c>
      <c r="E43" s="64" t="s">
        <v>7</v>
      </c>
      <c r="F43" s="64" t="s">
        <v>132</v>
      </c>
      <c r="G43" s="64" t="str">
        <f t="shared" si="12"/>
        <v>Euribor1MMX#0006</v>
      </c>
      <c r="H43" s="62" t="str">
        <f>IF(ISBLANK(Quote!O64),"",Quote!O64)</f>
        <v>EUR1MSW15M=#0006</v>
      </c>
      <c r="I43" s="62" t="str">
        <f>_xll.qlCompositeQuote(Currency&amp;"1M"&amp;A43&amp;B43&amp;"_Shifted",H43,BumpValue,"+",Permanent,Trigger,ObjectOverwrite)</f>
        <v>EUR1MSW15M_Shifted#0006</v>
      </c>
      <c r="J43" s="128">
        <v>0</v>
      </c>
      <c r="K43" s="62" t="str">
        <f>_xll.qlSwapRateHelper2(,IF(Sensitivity,I43,H43),2,B43,Calendar,+D43,E43,F43,G43,J43,C43,Discounting,PillarDate,,Permanent,Trigger,ObjectOverwrite)</f>
        <v>obj_00346#0006</v>
      </c>
      <c r="M43" s="10" t="str">
        <f t="shared" si="10"/>
        <v>SW</v>
      </c>
      <c r="N43" s="95" t="str">
        <f t="shared" si="11"/>
        <v>--</v>
      </c>
      <c r="O43" s="146" t="str">
        <f>IFERROR(_xll.qlRateHelperQuoteName(N43,Trigger),"--")</f>
        <v>--</v>
      </c>
      <c r="P43" s="99" t="str">
        <f>IFERROR(_xll.qlRateHelperQuoteValue($N43,Trigger),"--")</f>
        <v>--</v>
      </c>
      <c r="Q43" s="98" t="b">
        <v>0</v>
      </c>
      <c r="R43" s="95">
        <v>50</v>
      </c>
      <c r="S43" s="95">
        <v>1</v>
      </c>
      <c r="T43" s="100" t="str">
        <f>IFERROR(_xll.qlRateHelperEarliestDate(N43,Trigger),"--")</f>
        <v>--</v>
      </c>
      <c r="U43" s="100" t="str">
        <f>IFERROR(_xll.qlRateHelperPillarDate(N43,Trigger),"--")</f>
        <v>--</v>
      </c>
      <c r="W43" s="162" t="str">
        <f t="shared" si="9"/>
        <v>SW</v>
      </c>
      <c r="X43" s="162" t="str">
        <v>obj_0037a</v>
      </c>
      <c r="Y43" s="162" t="str">
        <f>IFERROR(_xll.qlRateHelperQuoteName(X43,Trigger),"")</f>
        <v>EUR1MSW20Y_Shifted</v>
      </c>
      <c r="Z43" s="184">
        <f>IFERROR(_xll.qlRateHelperRate(X43,Trigger),"")</f>
        <v>1.0489999999999999E-2</v>
      </c>
      <c r="AA43" s="185">
        <f>IF(ISERROR(_xll.qlSwapRateHelperSpread($X43)),IF(ISERROR(_xll.qlFuturesRateHelperConvexityAdjustment($X43)),"",_xll.qlFuturesRateHelperConvexityAdjustment($X43)),_xll.qlSwapRateHelperSpread($X43))</f>
        <v>0</v>
      </c>
      <c r="AB43" s="163">
        <f>IFERROR(_xll.qlRateHelperEarliestDate(X43,Trigger),"")</f>
        <v>42748</v>
      </c>
      <c r="AC43" s="163">
        <f>IFERROR(_xll.qlRateHelperPillarDate(X43,Trigger),"")</f>
        <v>50053</v>
      </c>
      <c r="AD43" s="184">
        <v>1.0862911023383742E-2</v>
      </c>
    </row>
    <row r="44" spans="1:31" ht="11.25" customHeight="1" x14ac:dyDescent="0.2">
      <c r="A44" s="216" t="str">
        <f>Quote!L65</f>
        <v>SW</v>
      </c>
      <c r="B44" s="284" t="str">
        <f>Quote!M65</f>
        <v>16M</v>
      </c>
      <c r="C44" s="218" t="s">
        <v>6</v>
      </c>
      <c r="D44" s="218" t="s">
        <v>8</v>
      </c>
      <c r="E44" s="218" t="s">
        <v>7</v>
      </c>
      <c r="F44" s="218" t="s">
        <v>132</v>
      </c>
      <c r="G44" s="218" t="str">
        <f t="shared" si="12"/>
        <v>Euribor1MMX#0006</v>
      </c>
      <c r="H44" s="216" t="str">
        <f>IF(ISBLANK(Quote!O65),"",Quote!O65)</f>
        <v/>
      </c>
      <c r="I44" s="275"/>
      <c r="J44" s="219">
        <v>0</v>
      </c>
      <c r="K44" s="275"/>
      <c r="M44" s="10" t="str">
        <f t="shared" si="10"/>
        <v>SW</v>
      </c>
      <c r="N44" s="95" t="str">
        <f t="shared" si="11"/>
        <v>--</v>
      </c>
      <c r="O44" s="146" t="str">
        <f>IFERROR(_xll.qlRateHelperQuoteName(N44,Trigger),"--")</f>
        <v>--</v>
      </c>
      <c r="P44" s="99" t="str">
        <f>IFERROR(_xll.qlRateHelperQuoteValue($N44,Trigger),"--")</f>
        <v>--</v>
      </c>
      <c r="Q44" s="98" t="b">
        <v>0</v>
      </c>
      <c r="R44" s="95">
        <v>50</v>
      </c>
      <c r="S44" s="95">
        <v>1</v>
      </c>
      <c r="T44" s="100" t="str">
        <f>IFERROR(_xll.qlRateHelperEarliestDate(N44,Trigger),"--")</f>
        <v>--</v>
      </c>
      <c r="U44" s="100" t="str">
        <f>IFERROR(_xll.qlRateHelperPillarDate(N44,Trigger),"--")</f>
        <v>--</v>
      </c>
      <c r="W44" s="162" t="str">
        <f t="shared" si="9"/>
        <v>SW</v>
      </c>
      <c r="X44" s="162" t="str">
        <v>obj_00363</v>
      </c>
      <c r="Y44" s="162" t="str">
        <f>IFERROR(_xll.qlRateHelperQuoteName(X44,Trigger),"")</f>
        <v>EUR1MSW21Y_Shifted</v>
      </c>
      <c r="Z44" s="184">
        <f>IFERROR(_xll.qlRateHelperRate(X44,Trigger),"")</f>
        <v>1.068656053E-2</v>
      </c>
      <c r="AA44" s="185">
        <f>IF(ISERROR(_xll.qlSwapRateHelperSpread($X44)),IF(ISERROR(_xll.qlFuturesRateHelperConvexityAdjustment($X44)),"",_xll.qlFuturesRateHelperConvexityAdjustment($X44)),_xll.qlSwapRateHelperSpread($X44))</f>
        <v>0</v>
      </c>
      <c r="AB44" s="163">
        <f>IFERROR(_xll.qlRateHelperEarliestDate(X44,Trigger),"")</f>
        <v>42748</v>
      </c>
      <c r="AC44" s="163">
        <f>IFERROR(_xll.qlRateHelperPillarDate(X44,Trigger),"")</f>
        <v>50418</v>
      </c>
      <c r="AD44" s="184">
        <v>1.1069033499911975E-2</v>
      </c>
    </row>
    <row r="45" spans="1:31" ht="11.25" customHeight="1" x14ac:dyDescent="0.2">
      <c r="A45" s="221" t="str">
        <f>Quote!L66</f>
        <v>SW</v>
      </c>
      <c r="B45" s="280" t="str">
        <f>Quote!M66</f>
        <v>17M</v>
      </c>
      <c r="C45" s="223" t="s">
        <v>6</v>
      </c>
      <c r="D45" s="223" t="s">
        <v>8</v>
      </c>
      <c r="E45" s="223" t="s">
        <v>7</v>
      </c>
      <c r="F45" s="223" t="s">
        <v>132</v>
      </c>
      <c r="G45" s="223" t="str">
        <f t="shared" si="12"/>
        <v>Euribor1MMX#0006</v>
      </c>
      <c r="H45" s="221" t="str">
        <f>IF(ISBLANK(Quote!O66),"",Quote!O66)</f>
        <v/>
      </c>
      <c r="I45" s="278"/>
      <c r="J45" s="224">
        <v>0</v>
      </c>
      <c r="K45" s="278"/>
      <c r="M45" s="10" t="str">
        <f t="shared" si="10"/>
        <v>SW</v>
      </c>
      <c r="N45" s="95" t="str">
        <f t="shared" si="11"/>
        <v>obj_0034d#0006</v>
      </c>
      <c r="O45" s="146" t="str">
        <f>IFERROR(_xll.qlRateHelperQuoteName(N45,Trigger),"--")</f>
        <v>EUR1MSW21M_Shifted</v>
      </c>
      <c r="P45" s="99">
        <f>IFERROR(_xll.qlRateHelperQuoteValue($N45,Trigger),"--")</f>
        <v>-3.6571684200000006E-3</v>
      </c>
      <c r="Q45" s="98" t="b">
        <v>1</v>
      </c>
      <c r="R45" s="95">
        <v>50</v>
      </c>
      <c r="S45" s="95">
        <v>1</v>
      </c>
      <c r="T45" s="100">
        <f>IFERROR(_xll.qlRateHelperEarliestDate(N45,Trigger),"--")</f>
        <v>42748</v>
      </c>
      <c r="U45" s="100">
        <f>IFERROR(_xll.qlRateHelperPillarDate(N45,Trigger),"--")</f>
        <v>43388</v>
      </c>
      <c r="W45" s="162" t="str">
        <f t="shared" si="9"/>
        <v>SW</v>
      </c>
      <c r="X45" s="162" t="str">
        <v>obj_00367</v>
      </c>
      <c r="Y45" s="162" t="str">
        <f>IFERROR(_xll.qlRateHelperQuoteName(X45,Trigger),"")</f>
        <v>EUR1MSW22Y_Shifted</v>
      </c>
      <c r="Z45" s="184">
        <f>IFERROR(_xll.qlRateHelperRate(X45,Trigger),"")</f>
        <v>1.0848613220000001E-2</v>
      </c>
      <c r="AA45" s="185">
        <f>IF(ISERROR(_xll.qlSwapRateHelperSpread($X45)),IF(ISERROR(_xll.qlFuturesRateHelperConvexityAdjustment($X45)),"",_xll.qlFuturesRateHelperConvexityAdjustment($X45)),_xll.qlSwapRateHelperSpread($X45))</f>
        <v>0</v>
      </c>
      <c r="AB45" s="163">
        <f>IFERROR(_xll.qlRateHelperEarliestDate(X45,Trigger),"")</f>
        <v>42748</v>
      </c>
      <c r="AC45" s="163">
        <f>IFERROR(_xll.qlRateHelperPillarDate(X45,Trigger),"")</f>
        <v>50783</v>
      </c>
      <c r="AD45" s="184">
        <v>1.1237273669600019E-2</v>
      </c>
    </row>
    <row r="46" spans="1:31" ht="11.25" customHeight="1" x14ac:dyDescent="0.2">
      <c r="A46" s="62" t="str">
        <f>Quote!L67</f>
        <v>SW</v>
      </c>
      <c r="B46" s="63" t="str">
        <f>Quote!M67</f>
        <v>18M</v>
      </c>
      <c r="C46" s="64" t="s">
        <v>6</v>
      </c>
      <c r="D46" s="64" t="s">
        <v>8</v>
      </c>
      <c r="E46" s="64" t="s">
        <v>7</v>
      </c>
      <c r="F46" s="64" t="s">
        <v>132</v>
      </c>
      <c r="G46" s="64" t="str">
        <f t="shared" si="12"/>
        <v>Euribor1MMX#0006</v>
      </c>
      <c r="H46" s="62" t="str">
        <f>IF(ISBLANK(Quote!O67),"",Quote!O67)</f>
        <v>EUR1MSW18M=#0006</v>
      </c>
      <c r="I46" s="62" t="str">
        <f>_xll.qlCompositeQuote(Currency&amp;"1M"&amp;A46&amp;B46&amp;"_Shifted",H46,BumpValue,"+",Permanent,Trigger,ObjectOverwrite)</f>
        <v>EUR1MSW18M_Shifted#0006</v>
      </c>
      <c r="J46" s="128">
        <v>0</v>
      </c>
      <c r="K46" s="62" t="str">
        <f>_xll.qlSwapRateHelper2(,IF(Sensitivity,I46,H46),2,B46,Calendar,+D46,E46,F46,G46,J46,C46,Discounting,PillarDate,,Permanent,Trigger,ObjectOverwrite)</f>
        <v>obj_003c3#0006</v>
      </c>
      <c r="M46" s="10" t="str">
        <f t="shared" si="10"/>
        <v>SW</v>
      </c>
      <c r="N46" s="95" t="str">
        <f t="shared" si="11"/>
        <v>--</v>
      </c>
      <c r="O46" s="146" t="str">
        <f>IFERROR(_xll.qlRateHelperQuoteName(N46,Trigger),"--")</f>
        <v>--</v>
      </c>
      <c r="P46" s="99" t="str">
        <f>IFERROR(_xll.qlRateHelperQuoteValue($N46,Trigger),"--")</f>
        <v>--</v>
      </c>
      <c r="Q46" s="98" t="b">
        <v>0</v>
      </c>
      <c r="R46" s="95">
        <v>50</v>
      </c>
      <c r="S46" s="95">
        <v>1</v>
      </c>
      <c r="T46" s="100" t="str">
        <f>IFERROR(_xll.qlRateHelperEarliestDate(N46,Trigger),"--")</f>
        <v>--</v>
      </c>
      <c r="U46" s="100" t="str">
        <f>IFERROR(_xll.qlRateHelperPillarDate(N46,Trigger),"--")</f>
        <v>--</v>
      </c>
      <c r="W46" s="162" t="str">
        <f t="shared" si="9"/>
        <v>SW</v>
      </c>
      <c r="X46" s="162" t="str">
        <v>obj_003d6</v>
      </c>
      <c r="Y46" s="162" t="str">
        <f>IFERROR(_xll.qlRateHelperQuoteName(X46,Trigger),"")</f>
        <v>EUR1MSW23Y_Shifted</v>
      </c>
      <c r="Z46" s="184">
        <f>IFERROR(_xll.qlRateHelperRate(X46,Trigger),"")</f>
        <v>1.0982325189999999E-2</v>
      </c>
      <c r="AA46" s="185">
        <f>IF(ISERROR(_xll.qlSwapRateHelperSpread($X46)),IF(ISERROR(_xll.qlFuturesRateHelperConvexityAdjustment($X46)),"",_xll.qlFuturesRateHelperConvexityAdjustment($X46)),_xll.qlSwapRateHelperSpread($X46))</f>
        <v>0</v>
      </c>
      <c r="AB46" s="163">
        <f>IFERROR(_xll.qlRateHelperEarliestDate(X46,Trigger),"")</f>
        <v>42748</v>
      </c>
      <c r="AC46" s="163">
        <f>IFERROR(_xll.qlRateHelperPillarDate(X46,Trigger),"")</f>
        <v>51148</v>
      </c>
      <c r="AD46" s="184">
        <v>1.1374291523876156E-2</v>
      </c>
    </row>
    <row r="47" spans="1:31" ht="11.25" customHeight="1" x14ac:dyDescent="0.2">
      <c r="A47" s="216" t="str">
        <f>Quote!L68</f>
        <v>SW</v>
      </c>
      <c r="B47" s="284" t="str">
        <f>Quote!M68</f>
        <v>19M</v>
      </c>
      <c r="C47" s="218" t="s">
        <v>6</v>
      </c>
      <c r="D47" s="218" t="s">
        <v>8</v>
      </c>
      <c r="E47" s="218" t="s">
        <v>7</v>
      </c>
      <c r="F47" s="218" t="s">
        <v>132</v>
      </c>
      <c r="G47" s="218" t="str">
        <f t="shared" si="12"/>
        <v>Euribor1MMX#0006</v>
      </c>
      <c r="H47" s="216" t="str">
        <f>IF(ISBLANK(Quote!O68),"",Quote!O68)</f>
        <v/>
      </c>
      <c r="I47" s="275"/>
      <c r="J47" s="219">
        <v>0</v>
      </c>
      <c r="K47" s="275"/>
      <c r="M47" s="10" t="str">
        <f t="shared" si="10"/>
        <v>SW</v>
      </c>
      <c r="N47" s="95" t="str">
        <f t="shared" si="11"/>
        <v>--</v>
      </c>
      <c r="O47" s="146" t="str">
        <f>IFERROR(_xll.qlRateHelperQuoteName(N47,Trigger),"--")</f>
        <v>--</v>
      </c>
      <c r="P47" s="99" t="str">
        <f>IFERROR(_xll.qlRateHelperQuoteValue($N47,Trigger),"--")</f>
        <v>--</v>
      </c>
      <c r="Q47" s="98" t="b">
        <v>0</v>
      </c>
      <c r="R47" s="95">
        <v>50</v>
      </c>
      <c r="S47" s="95">
        <v>1</v>
      </c>
      <c r="T47" s="100" t="str">
        <f>IFERROR(_xll.qlRateHelperEarliestDate(N47,Trigger),"--")</f>
        <v>--</v>
      </c>
      <c r="U47" s="100" t="str">
        <f>IFERROR(_xll.qlRateHelperPillarDate(N47,Trigger),"--")</f>
        <v>--</v>
      </c>
      <c r="W47" s="162" t="str">
        <f t="shared" si="9"/>
        <v>SW</v>
      </c>
      <c r="X47" s="162" t="str">
        <v>obj_003b5</v>
      </c>
      <c r="Y47" s="162" t="str">
        <f>IFERROR(_xll.qlRateHelperQuoteName(X47,Trigger),"")</f>
        <v>EUR1MSW24Y_Shifted</v>
      </c>
      <c r="Z47" s="184">
        <f>IFERROR(_xll.qlRateHelperRate(X47,Trigger),"")</f>
        <v>1.109534459E-2</v>
      </c>
      <c r="AA47" s="185">
        <f>IF(ISERROR(_xll.qlSwapRateHelperSpread($X47)),IF(ISERROR(_xll.qlFuturesRateHelperConvexityAdjustment($X47)),"",_xll.qlFuturesRateHelperConvexityAdjustment($X47)),_xll.qlSwapRateHelperSpread($X47))</f>
        <v>0</v>
      </c>
      <c r="AB47" s="163">
        <f>IFERROR(_xll.qlRateHelperEarliestDate(X47,Trigger),"")</f>
        <v>42748</v>
      </c>
      <c r="AC47" s="163">
        <f>IFERROR(_xll.qlRateHelperPillarDate(X47,Trigger),"")</f>
        <v>51515</v>
      </c>
      <c r="AD47" s="184">
        <v>1.1487308372047691E-2</v>
      </c>
    </row>
    <row r="48" spans="1:31" ht="11.25" customHeight="1" x14ac:dyDescent="0.2">
      <c r="A48" s="221" t="str">
        <f>Quote!L69</f>
        <v>SW</v>
      </c>
      <c r="B48" s="280" t="str">
        <f>Quote!M69</f>
        <v>20M</v>
      </c>
      <c r="C48" s="223" t="s">
        <v>6</v>
      </c>
      <c r="D48" s="223" t="s">
        <v>8</v>
      </c>
      <c r="E48" s="223" t="s">
        <v>7</v>
      </c>
      <c r="F48" s="223" t="s">
        <v>132</v>
      </c>
      <c r="G48" s="223" t="str">
        <f t="shared" si="12"/>
        <v>Euribor1MMX#0006</v>
      </c>
      <c r="H48" s="221" t="str">
        <f>IF(ISBLANK(Quote!O69),"",Quote!O69)</f>
        <v/>
      </c>
      <c r="I48" s="278"/>
      <c r="J48" s="224">
        <v>0</v>
      </c>
      <c r="K48" s="278"/>
      <c r="M48" s="10" t="str">
        <f t="shared" si="10"/>
        <v>SW</v>
      </c>
      <c r="N48" s="95" t="str">
        <f t="shared" si="11"/>
        <v>obj_0035a#0006</v>
      </c>
      <c r="O48" s="146" t="str">
        <f>IFERROR(_xll.qlRateHelperQuoteName(N48,Trigger),"--")</f>
        <v>EUR1MSW2Y_Shifted</v>
      </c>
      <c r="P48" s="99">
        <f>IFERROR(_xll.qlRateHelperQuoteValue($N48,Trigger),"--")</f>
        <v>-3.5799999999999998E-3</v>
      </c>
      <c r="Q48" s="98" t="b">
        <v>1</v>
      </c>
      <c r="R48" s="95">
        <v>50</v>
      </c>
      <c r="S48" s="95">
        <v>1</v>
      </c>
      <c r="T48" s="100">
        <f>IFERROR(_xll.qlRateHelperEarliestDate(N48,Trigger),"--")</f>
        <v>42748</v>
      </c>
      <c r="U48" s="100">
        <f>IFERROR(_xll.qlRateHelperPillarDate(N48,Trigger),"--")</f>
        <v>43479</v>
      </c>
      <c r="W48" s="162" t="str">
        <f t="shared" si="9"/>
        <v>SW</v>
      </c>
      <c r="X48" s="162" t="str">
        <v>obj_003cf</v>
      </c>
      <c r="Y48" s="162" t="str">
        <f>IFERROR(_xll.qlRateHelperQuoteName(X48,Trigger),"")</f>
        <v>EUR1MSW25Y_Shifted</v>
      </c>
      <c r="Z48" s="184">
        <f>IFERROR(_xll.qlRateHelperRate(X48,Trigger),"")</f>
        <v>1.119E-2</v>
      </c>
      <c r="AA48" s="185">
        <f>IF(ISERROR(_xll.qlSwapRateHelperSpread($X48)),IF(ISERROR(_xll.qlFuturesRateHelperConvexityAdjustment($X48)),"",_xll.qlFuturesRateHelperConvexityAdjustment($X48)),_xll.qlSwapRateHelperSpread($X48))</f>
        <v>0</v>
      </c>
      <c r="AB48" s="163">
        <f>IFERROR(_xll.qlRateHelperEarliestDate(X48,Trigger),"")</f>
        <v>42748</v>
      </c>
      <c r="AC48" s="163">
        <f>IFERROR(_xll.qlRateHelperPillarDate(X48,Trigger),"")</f>
        <v>51879</v>
      </c>
      <c r="AD48" s="184">
        <v>1.1581543254590107E-2</v>
      </c>
    </row>
    <row r="49" spans="1:30" ht="11.25" customHeight="1" x14ac:dyDescent="0.2">
      <c r="A49" s="62" t="str">
        <f>Quote!L70</f>
        <v>SW</v>
      </c>
      <c r="B49" s="63" t="str">
        <f>Quote!M70</f>
        <v>21M</v>
      </c>
      <c r="C49" s="64" t="s">
        <v>6</v>
      </c>
      <c r="D49" s="64" t="s">
        <v>8</v>
      </c>
      <c r="E49" s="64" t="s">
        <v>7</v>
      </c>
      <c r="F49" s="64" t="s">
        <v>132</v>
      </c>
      <c r="G49" s="64" t="str">
        <f t="shared" si="12"/>
        <v>Euribor1MMX#0006</v>
      </c>
      <c r="H49" s="62" t="str">
        <f>IF(ISBLANK(Quote!O70),"",Quote!O70)</f>
        <v>EUR1MSW21M=#0006</v>
      </c>
      <c r="I49" s="62" t="str">
        <f>_xll.qlCompositeQuote(Currency&amp;"1M"&amp;A49&amp;B49&amp;"_Shifted",H49,BumpValue,"+",Permanent,Trigger,ObjectOverwrite)</f>
        <v>EUR1MSW21M_Shifted#0006</v>
      </c>
      <c r="J49" s="128">
        <v>0</v>
      </c>
      <c r="K49" s="62" t="str">
        <f>_xll.qlSwapRateHelper2(,IF(Sensitivity,I49,H49),2,B49,Calendar,+D49,E49,F49,G49,J49,C49,Discounting,PillarDate,,Permanent,Trigger,ObjectOverwrite)</f>
        <v>obj_0034d#0006</v>
      </c>
      <c r="M49" s="10" t="str">
        <f t="shared" si="10"/>
        <v>SW</v>
      </c>
      <c r="N49" s="95" t="str">
        <f t="shared" si="11"/>
        <v>obj_003d5#0006</v>
      </c>
      <c r="O49" s="146" t="str">
        <f>IFERROR(_xll.qlRateHelperQuoteName(N49,Trigger),"--")</f>
        <v>EUR1MSW2Y3M_Shifted</v>
      </c>
      <c r="P49" s="99">
        <f>IFERROR(_xll.qlRateHelperQuoteValue($N49,Trigger),"--")</f>
        <v>-3.4724963099999999E-3</v>
      </c>
      <c r="Q49" s="98" t="b">
        <v>1</v>
      </c>
      <c r="R49" s="95">
        <v>50</v>
      </c>
      <c r="S49" s="95">
        <v>1</v>
      </c>
      <c r="T49" s="100">
        <f>IFERROR(_xll.qlRateHelperEarliestDate(N49,Trigger),"--")</f>
        <v>42748</v>
      </c>
      <c r="U49" s="100">
        <f>IFERROR(_xll.qlRateHelperPillarDate(N49,Trigger),"--")</f>
        <v>43570</v>
      </c>
      <c r="W49" s="162" t="str">
        <f t="shared" si="9"/>
        <v>SW</v>
      </c>
      <c r="X49" s="162" t="str">
        <v>obj_0032f</v>
      </c>
      <c r="Y49" s="162" t="str">
        <f>IFERROR(_xll.qlRateHelperQuoteName(X49,Trigger),"")</f>
        <v>EUR1MSW26Y_Shifted</v>
      </c>
      <c r="Z49" s="184">
        <f>IFERROR(_xll.qlRateHelperRate(X49,Trigger),"")</f>
        <v>1.127360656E-2</v>
      </c>
      <c r="AA49" s="185">
        <f>IF(ISERROR(_xll.qlSwapRateHelperSpread($X49)),IF(ISERROR(_xll.qlFuturesRateHelperConvexityAdjustment($X49)),"",_xll.qlFuturesRateHelperConvexityAdjustment($X49)),_xll.qlSwapRateHelperSpread($X49))</f>
        <v>0</v>
      </c>
      <c r="AB49" s="163">
        <f>IFERROR(_xll.qlRateHelperEarliestDate(X49,Trigger),"")</f>
        <v>42748</v>
      </c>
      <c r="AC49" s="163">
        <f>IFERROR(_xll.qlRateHelperPillarDate(X49,Trigger),"")</f>
        <v>52244</v>
      </c>
      <c r="AD49" s="184">
        <v>1.1663966069989875E-2</v>
      </c>
    </row>
    <row r="50" spans="1:30" ht="11.25" customHeight="1" x14ac:dyDescent="0.2">
      <c r="A50" s="216" t="str">
        <f>Quote!L71</f>
        <v>SW</v>
      </c>
      <c r="B50" s="284" t="str">
        <f>Quote!M71</f>
        <v>22M</v>
      </c>
      <c r="C50" s="218" t="s">
        <v>6</v>
      </c>
      <c r="D50" s="218" t="s">
        <v>8</v>
      </c>
      <c r="E50" s="218" t="s">
        <v>7</v>
      </c>
      <c r="F50" s="218" t="s">
        <v>132</v>
      </c>
      <c r="G50" s="218" t="str">
        <f t="shared" si="12"/>
        <v>Euribor1MMX#0006</v>
      </c>
      <c r="H50" s="216" t="str">
        <f>IF(ISBLANK(Quote!O71),"",Quote!O71)</f>
        <v/>
      </c>
      <c r="I50" s="275"/>
      <c r="J50" s="219">
        <v>0</v>
      </c>
      <c r="K50" s="275"/>
      <c r="M50" s="10" t="str">
        <f t="shared" si="10"/>
        <v>SW</v>
      </c>
      <c r="N50" s="95" t="str">
        <f t="shared" si="11"/>
        <v>obj_003a6#0006</v>
      </c>
      <c r="O50" s="146" t="str">
        <f>IFERROR(_xll.qlRateHelperQuoteName(N50,Trigger),"--")</f>
        <v>EUR1MSW2Y6M_Shifted</v>
      </c>
      <c r="P50" s="99">
        <f>IFERROR(_xll.qlRateHelperQuoteValue($N50,Trigger),"--")</f>
        <v>-3.3527301600000002E-3</v>
      </c>
      <c r="Q50" s="98" t="b">
        <v>1</v>
      </c>
      <c r="R50" s="95">
        <v>50</v>
      </c>
      <c r="S50" s="95">
        <v>1</v>
      </c>
      <c r="T50" s="100">
        <f>IFERROR(_xll.qlRateHelperEarliestDate(N50,Trigger),"--")</f>
        <v>42748</v>
      </c>
      <c r="U50" s="100">
        <f>IFERROR(_xll.qlRateHelperPillarDate(N50,Trigger),"--")</f>
        <v>43661</v>
      </c>
      <c r="W50" s="162" t="str">
        <f t="shared" si="9"/>
        <v>SW</v>
      </c>
      <c r="X50" s="162" t="str">
        <v>obj_00350</v>
      </c>
      <c r="Y50" s="162" t="str">
        <f>IFERROR(_xll.qlRateHelperQuoteName(X50,Trigger),"")</f>
        <v>EUR1MSW27Y_Shifted</v>
      </c>
      <c r="Z50" s="184">
        <f>IFERROR(_xll.qlRateHelperRate(X50,Trigger),"")</f>
        <v>1.1347977700000001E-2</v>
      </c>
      <c r="AA50" s="185">
        <f>IF(ISERROR(_xll.qlSwapRateHelperSpread($X50)),IF(ISERROR(_xll.qlFuturesRateHelperConvexityAdjustment($X50)),"",_xll.qlFuturesRateHelperConvexityAdjustment($X50)),_xll.qlSwapRateHelperSpread($X50))</f>
        <v>0</v>
      </c>
      <c r="AB50" s="163">
        <f>IFERROR(_xll.qlRateHelperEarliestDate(X50,Trigger),"")</f>
        <v>42748</v>
      </c>
      <c r="AC50" s="163">
        <f>IFERROR(_xll.qlRateHelperPillarDate(X50,Trigger),"")</f>
        <v>52609</v>
      </c>
      <c r="AD50" s="184">
        <v>1.1736604743947165E-2</v>
      </c>
    </row>
    <row r="51" spans="1:30" ht="11.25" customHeight="1" x14ac:dyDescent="0.2">
      <c r="A51" s="221" t="str">
        <f>Quote!L72</f>
        <v>SW</v>
      </c>
      <c r="B51" s="280" t="str">
        <f>Quote!M72</f>
        <v>23M</v>
      </c>
      <c r="C51" s="223" t="s">
        <v>6</v>
      </c>
      <c r="D51" s="223" t="s">
        <v>8</v>
      </c>
      <c r="E51" s="223" t="s">
        <v>7</v>
      </c>
      <c r="F51" s="223" t="s">
        <v>132</v>
      </c>
      <c r="G51" s="223" t="str">
        <f t="shared" si="12"/>
        <v>Euribor1MMX#0006</v>
      </c>
      <c r="H51" s="221" t="str">
        <f>IF(ISBLANK(Quote!O72),"",Quote!O72)</f>
        <v/>
      </c>
      <c r="I51" s="278"/>
      <c r="J51" s="224">
        <v>0</v>
      </c>
      <c r="K51" s="278"/>
      <c r="M51" s="10" t="str">
        <f t="shared" si="10"/>
        <v>SW</v>
      </c>
      <c r="N51" s="95" t="str">
        <f t="shared" si="11"/>
        <v>obj_00371#0006</v>
      </c>
      <c r="O51" s="146" t="str">
        <f>IFERROR(_xll.qlRateHelperQuoteName(N51,Trigger),"--")</f>
        <v>EUR1MSW2Y9M_Shifted</v>
      </c>
      <c r="P51" s="99">
        <f>IFERROR(_xll.qlRateHelperQuoteValue($N51,Trigger),"--")</f>
        <v>-3.2221697699999999E-3</v>
      </c>
      <c r="Q51" s="98" t="b">
        <v>1</v>
      </c>
      <c r="R51" s="95">
        <v>50</v>
      </c>
      <c r="S51" s="95">
        <v>1</v>
      </c>
      <c r="T51" s="100">
        <f>IFERROR(_xll.qlRateHelperEarliestDate(N51,Trigger),"--")</f>
        <v>42748</v>
      </c>
      <c r="U51" s="100">
        <f>IFERROR(_xll.qlRateHelperPillarDate(N51,Trigger),"--")</f>
        <v>43752</v>
      </c>
      <c r="W51" s="162" t="str">
        <f t="shared" si="9"/>
        <v>SW</v>
      </c>
      <c r="X51" s="162" t="str">
        <v>obj_0039e</v>
      </c>
      <c r="Y51" s="162" t="str">
        <f>IFERROR(_xll.qlRateHelperQuoteName(X51,Trigger),"")</f>
        <v>EUR1MSW28Y_Shifted</v>
      </c>
      <c r="Z51" s="184">
        <f>IFERROR(_xll.qlRateHelperRate(X51,Trigger),"")</f>
        <v>1.1415532050000001E-2</v>
      </c>
      <c r="AA51" s="185">
        <f>IF(ISERROR(_xll.qlSwapRateHelperSpread($X51)),IF(ISERROR(_xll.qlFuturesRateHelperConvexityAdjustment($X51)),"",_xll.qlFuturesRateHelperConvexityAdjustment($X51)),_xll.qlSwapRateHelperSpread($X51))</f>
        <v>0</v>
      </c>
      <c r="AB51" s="163">
        <f>IFERROR(_xll.qlRateHelperEarliestDate(X51,Trigger),"")</f>
        <v>42748</v>
      </c>
      <c r="AC51" s="163">
        <f>IFERROR(_xll.qlRateHelperPillarDate(X51,Trigger),"")</f>
        <v>52975</v>
      </c>
      <c r="AD51" s="184">
        <v>1.1801063319828203E-2</v>
      </c>
    </row>
    <row r="52" spans="1:30" ht="11.25" customHeight="1" x14ac:dyDescent="0.2">
      <c r="A52" s="62" t="str">
        <f>Quote!L73</f>
        <v>SW</v>
      </c>
      <c r="B52" s="63" t="str">
        <f>Quote!M73</f>
        <v>2Y</v>
      </c>
      <c r="C52" s="64" t="s">
        <v>6</v>
      </c>
      <c r="D52" s="64" t="s">
        <v>8</v>
      </c>
      <c r="E52" s="64" t="s">
        <v>7</v>
      </c>
      <c r="F52" s="64" t="s">
        <v>132</v>
      </c>
      <c r="G52" s="64" t="str">
        <f t="shared" si="12"/>
        <v>Euribor1MMX#0006</v>
      </c>
      <c r="H52" s="62" t="str">
        <f>IF(ISBLANK(Quote!O73),"",Quote!O73)</f>
        <v>EUR1MSW2Y=#0006</v>
      </c>
      <c r="I52" s="62" t="str">
        <f>_xll.qlCompositeQuote(Currency&amp;"1M"&amp;A52&amp;B52&amp;"_Shifted",H52,BumpValue,"+",Permanent,Trigger,ObjectOverwrite)</f>
        <v>EUR1MSW2Y_Shifted#0006</v>
      </c>
      <c r="J52" s="128">
        <v>0</v>
      </c>
      <c r="K52" s="67" t="str">
        <f>_xll.qlSwapRateHelper2(,IF(Sensitivity,I52,H52),2,B52,Calendar,+D52,E52,F52,G52,J52,C52,Discounting,PillarDate,,Permanent,Trigger,ObjectOverwrite)</f>
        <v>obj_0035a#0006</v>
      </c>
      <c r="M52" s="10" t="str">
        <f t="shared" si="10"/>
        <v>SW</v>
      </c>
      <c r="N52" s="95" t="str">
        <f t="shared" si="11"/>
        <v>obj_0032c#0006</v>
      </c>
      <c r="O52" s="146" t="str">
        <f>IFERROR(_xll.qlRateHelperQuoteName(N52,Trigger),"--")</f>
        <v>EUR1MSW3Y_Shifted</v>
      </c>
      <c r="P52" s="99">
        <f>IFERROR(_xll.qlRateHelperQuoteValue($N52,Trigger),"--")</f>
        <v>-3.0799999999999998E-3</v>
      </c>
      <c r="Q52" s="141" t="b">
        <v>1</v>
      </c>
      <c r="R52" s="95">
        <v>50</v>
      </c>
      <c r="S52" s="95">
        <v>1</v>
      </c>
      <c r="T52" s="100">
        <f>IFERROR(_xll.qlRateHelperEarliestDate(N52,Trigger),"--")</f>
        <v>42748</v>
      </c>
      <c r="U52" s="100">
        <f>IFERROR(_xll.qlRateHelperPillarDate(N52,Trigger),"--")</f>
        <v>43843</v>
      </c>
      <c r="W52" s="162" t="str">
        <f t="shared" si="9"/>
        <v>SW</v>
      </c>
      <c r="X52" s="162" t="str">
        <v>obj_003c9</v>
      </c>
      <c r="Y52" s="162" t="str">
        <f>IFERROR(_xll.qlRateHelperQuoteName(X52,Trigger),"")</f>
        <v>EUR1MSW29Y_Shifted</v>
      </c>
      <c r="Z52" s="184">
        <f>IFERROR(_xll.qlRateHelperRate(X52,Trigger),"")</f>
        <v>1.1475656339999999E-2</v>
      </c>
      <c r="AA52" s="185">
        <f>IF(ISERROR(_xll.qlSwapRateHelperSpread($X52)),IF(ISERROR(_xll.qlFuturesRateHelperConvexityAdjustment($X52)),"",_xll.qlFuturesRateHelperConvexityAdjustment($X52)),_xll.qlSwapRateHelperSpread($X52))</f>
        <v>0</v>
      </c>
      <c r="AB52" s="163">
        <f>IFERROR(_xll.qlRateHelperEarliestDate(X52,Trigger),"")</f>
        <v>42748</v>
      </c>
      <c r="AC52" s="163">
        <f>IFERROR(_xll.qlRateHelperPillarDate(X52,Trigger),"")</f>
        <v>53342</v>
      </c>
      <c r="AD52" s="184">
        <v>1.1858728699862691E-2</v>
      </c>
    </row>
    <row r="53" spans="1:30" ht="11.25" customHeight="1" x14ac:dyDescent="0.2">
      <c r="A53" s="62" t="str">
        <f>Quote!L74</f>
        <v>SW</v>
      </c>
      <c r="B53" s="63" t="str">
        <f>Quote!M74</f>
        <v>2Y3M</v>
      </c>
      <c r="C53" s="64" t="s">
        <v>6</v>
      </c>
      <c r="D53" s="64" t="s">
        <v>8</v>
      </c>
      <c r="E53" s="64" t="s">
        <v>7</v>
      </c>
      <c r="F53" s="64" t="s">
        <v>132</v>
      </c>
      <c r="G53" s="64" t="str">
        <f t="shared" si="12"/>
        <v>Euribor1MMX#0006</v>
      </c>
      <c r="H53" s="62" t="str">
        <f>IF(ISBLANK(Quote!O74),"",Quote!O74)</f>
        <v>EUR1MSW2Y3M=#0006</v>
      </c>
      <c r="I53" s="62" t="str">
        <f>_xll.qlCompositeQuote(Currency&amp;"1M"&amp;A53&amp;B53&amp;"_Shifted",H53,BumpValue,"+",Permanent,Trigger,ObjectOverwrite)</f>
        <v>EUR1MSW2Y3M_Shifted#0006</v>
      </c>
      <c r="J53" s="128">
        <v>0</v>
      </c>
      <c r="K53" s="67" t="str">
        <f>_xll.qlSwapRateHelper2(,IF(Sensitivity,I53,H53),2,B53,Calendar,+D53,E53,F53,G53,J53,C53,Discounting,PillarDate,,Permanent,Trigger,ObjectOverwrite)</f>
        <v>obj_003d5#0006</v>
      </c>
      <c r="M53" s="10" t="str">
        <f t="shared" si="10"/>
        <v>SW</v>
      </c>
      <c r="N53" s="95" t="str">
        <f t="shared" si="11"/>
        <v>obj_00332#0006</v>
      </c>
      <c r="O53" s="146" t="str">
        <f>IFERROR(_xll.qlRateHelperQuoteName(N53,Trigger),"--")</f>
        <v>EUR1MSW4Y_Shifted</v>
      </c>
      <c r="P53" s="99">
        <f>IFERROR(_xll.qlRateHelperQuoteValue($N53,Trigger),"--")</f>
        <v>-2.3999999999999998E-3</v>
      </c>
      <c r="Q53" s="141" t="b">
        <v>1</v>
      </c>
      <c r="R53" s="95">
        <v>50</v>
      </c>
      <c r="S53" s="95">
        <v>1</v>
      </c>
      <c r="T53" s="100">
        <f>IFERROR(_xll.qlRateHelperEarliestDate(N53,Trigger),"--")</f>
        <v>42748</v>
      </c>
      <c r="U53" s="100">
        <f>IFERROR(_xll.qlRateHelperPillarDate(N53,Trigger),"--")</f>
        <v>44209</v>
      </c>
      <c r="W53" s="162" t="str">
        <f t="shared" si="9"/>
        <v>SW</v>
      </c>
      <c r="X53" s="162" t="str">
        <v>obj_0037f</v>
      </c>
      <c r="Y53" s="162" t="str">
        <f>IFERROR(_xll.qlRateHelperQuoteName(X53,Trigger),"")</f>
        <v>EUR1MSW30Y_Shifted</v>
      </c>
      <c r="Z53" s="184">
        <f>IFERROR(_xll.qlRateHelperRate(X53,Trigger),"")</f>
        <v>1.153E-2</v>
      </c>
      <c r="AA53" s="185">
        <f>IF(ISERROR(_xll.qlSwapRateHelperSpread($X53)),IF(ISERROR(_xll.qlFuturesRateHelperConvexityAdjustment($X53)),"",_xll.qlFuturesRateHelperConvexityAdjustment($X53)),_xll.qlSwapRateHelperSpread($X53))</f>
        <v>0</v>
      </c>
      <c r="AB53" s="163">
        <f>IFERROR(_xll.qlRateHelperEarliestDate(X53,Trigger),"")</f>
        <v>42748</v>
      </c>
      <c r="AC53" s="163">
        <f>IFERROR(_xll.qlRateHelperPillarDate(X53,Trigger),"")</f>
        <v>53706</v>
      </c>
      <c r="AD53" s="184">
        <v>1.1910471523582345E-2</v>
      </c>
    </row>
    <row r="54" spans="1:30" ht="11.25" customHeight="1" x14ac:dyDescent="0.2">
      <c r="A54" s="62" t="str">
        <f>Quote!L75</f>
        <v>SW</v>
      </c>
      <c r="B54" s="63" t="str">
        <f>Quote!M75</f>
        <v>2Y6M</v>
      </c>
      <c r="C54" s="64" t="s">
        <v>6</v>
      </c>
      <c r="D54" s="64" t="s">
        <v>8</v>
      </c>
      <c r="E54" s="64" t="s">
        <v>7</v>
      </c>
      <c r="F54" s="64" t="s">
        <v>132</v>
      </c>
      <c r="G54" s="64" t="str">
        <f t="shared" si="12"/>
        <v>Euribor1MMX#0006</v>
      </c>
      <c r="H54" s="62" t="str">
        <f>IF(ISBLANK(Quote!O75),"",Quote!O75)</f>
        <v>EUR1MSW2Y6M=#0006</v>
      </c>
      <c r="I54" s="62" t="str">
        <f>_xll.qlCompositeQuote(Currency&amp;"1M"&amp;A54&amp;B54&amp;"_Shifted",H54,BumpValue,"+",Permanent,Trigger,ObjectOverwrite)</f>
        <v>EUR1MSW2Y6M_Shifted#0006</v>
      </c>
      <c r="J54" s="128">
        <v>0</v>
      </c>
      <c r="K54" s="67" t="str">
        <f>_xll.qlSwapRateHelper2(,IF(Sensitivity,I54,H54),2,B54,Calendar,+D54,E54,F54,G54,J54,C54,Discounting,PillarDate,,Permanent,Trigger,ObjectOverwrite)</f>
        <v>obj_003a6#0006</v>
      </c>
      <c r="M54" s="10" t="str">
        <f t="shared" si="10"/>
        <v>SW</v>
      </c>
      <c r="N54" s="95" t="str">
        <f t="shared" si="11"/>
        <v>obj_003a4#0006</v>
      </c>
      <c r="O54" s="146" t="str">
        <f>IFERROR(_xll.qlRateHelperQuoteName(N54,Trigger),"--")</f>
        <v>EUR1MSW5Y_Shifted</v>
      </c>
      <c r="P54" s="99">
        <f>IFERROR(_xll.qlRateHelperQuoteValue($N54,Trigger),"--")</f>
        <v>-1.49E-3</v>
      </c>
      <c r="Q54" s="141" t="b">
        <v>1</v>
      </c>
      <c r="R54" s="95">
        <v>50</v>
      </c>
      <c r="S54" s="95">
        <v>1</v>
      </c>
      <c r="T54" s="100">
        <f>IFERROR(_xll.qlRateHelperEarliestDate(N54,Trigger),"--")</f>
        <v>42748</v>
      </c>
      <c r="U54" s="100">
        <f>IFERROR(_xll.qlRateHelperPillarDate(N54,Trigger),"--")</f>
        <v>44574</v>
      </c>
      <c r="W54" s="162" t="str">
        <f t="shared" si="9"/>
        <v>SW</v>
      </c>
      <c r="X54" s="162" t="str">
        <v>obj_003b1</v>
      </c>
      <c r="Y54" s="162" t="str">
        <f>IFERROR(_xll.qlRateHelperQuoteName(X54,Trigger),"")</f>
        <v>EUR1MSW31Y_Shifted</v>
      </c>
      <c r="Z54" s="184">
        <f>IFERROR(_xll.qlRateHelperRate(X54,Trigger),"")</f>
        <v>1.1580017749999999E-2</v>
      </c>
      <c r="AA54" s="185">
        <f>IF(ISERROR(_xll.qlSwapRateHelperSpread($X54)),IF(ISERROR(_xll.qlFuturesRateHelperConvexityAdjustment($X54)),"",_xll.qlFuturesRateHelperConvexityAdjustment($X54)),_xll.qlSwapRateHelperSpread($X54))</f>
        <v>0</v>
      </c>
      <c r="AB54" s="163">
        <f>IFERROR(_xll.qlRateHelperEarliestDate(X54,Trigger),"")</f>
        <v>42748</v>
      </c>
      <c r="AC54" s="163">
        <f>IFERROR(_xll.qlRateHelperPillarDate(X54,Trigger),"")</f>
        <v>54070</v>
      </c>
      <c r="AD54" s="184">
        <v>1.1957840411067813E-2</v>
      </c>
    </row>
    <row r="55" spans="1:30" ht="11.25" customHeight="1" x14ac:dyDescent="0.2">
      <c r="A55" s="62" t="str">
        <f>Quote!L76</f>
        <v>SW</v>
      </c>
      <c r="B55" s="63" t="str">
        <f>Quote!M76</f>
        <v>2Y9M</v>
      </c>
      <c r="C55" s="64" t="s">
        <v>6</v>
      </c>
      <c r="D55" s="64" t="s">
        <v>8</v>
      </c>
      <c r="E55" s="64" t="s">
        <v>7</v>
      </c>
      <c r="F55" s="64" t="s">
        <v>132</v>
      </c>
      <c r="G55" s="64" t="str">
        <f t="shared" si="12"/>
        <v>Euribor1MMX#0006</v>
      </c>
      <c r="H55" s="62" t="str">
        <f>IF(ISBLANK(Quote!O76),"",Quote!O76)</f>
        <v>EUR1MSW2Y9M=#0006</v>
      </c>
      <c r="I55" s="62" t="str">
        <f>_xll.qlCompositeQuote(Currency&amp;"1M"&amp;A55&amp;B55&amp;"_Shifted",H55,BumpValue,"+",Permanent,Trigger,ObjectOverwrite)</f>
        <v>EUR1MSW2Y9M_Shifted#0006</v>
      </c>
      <c r="J55" s="128">
        <v>0</v>
      </c>
      <c r="K55" s="67" t="str">
        <f>_xll.qlSwapRateHelper2(,IF(Sensitivity,I55,H55),2,B55,Calendar,+D55,E55,F55,G55,J55,C55,Discounting,PillarDate,,Permanent,Trigger,ObjectOverwrite)</f>
        <v>obj_00371#0006</v>
      </c>
      <c r="M55" s="11" t="str">
        <f t="shared" si="10"/>
        <v>SW</v>
      </c>
      <c r="N55" s="96" t="str">
        <f t="shared" si="11"/>
        <v>obj_003a1#0006</v>
      </c>
      <c r="O55" s="147" t="str">
        <f>IFERROR(_xll.qlRateHelperQuoteName(N55,Trigger),"--")</f>
        <v>EUR1MSW6Y_Shifted</v>
      </c>
      <c r="P55" s="102">
        <f>IFERROR(_xll.qlRateHelperQuoteValue($N55,Trigger),"--")</f>
        <v>-3.7999999999999997E-4</v>
      </c>
      <c r="Q55" s="144" t="b">
        <v>1</v>
      </c>
      <c r="R55" s="96">
        <v>50</v>
      </c>
      <c r="S55" s="96">
        <v>1</v>
      </c>
      <c r="T55" s="103">
        <f>IFERROR(_xll.qlRateHelperEarliestDate(N55,Trigger),"--")</f>
        <v>42748</v>
      </c>
      <c r="U55" s="103">
        <f>IFERROR(_xll.qlRateHelperPillarDate(N55,Trigger),"--")</f>
        <v>44939</v>
      </c>
      <c r="W55" s="162" t="str">
        <f t="shared" si="9"/>
        <v>SW</v>
      </c>
      <c r="X55" s="162" t="str">
        <v>obj_00389</v>
      </c>
      <c r="Y55" s="162" t="str">
        <f>IFERROR(_xll.qlRateHelperQuoteName(X55,Trigger),"")</f>
        <v>EUR1MSW32Y_Shifted</v>
      </c>
      <c r="Z55" s="184">
        <f>IFERROR(_xll.qlRateHelperRate(X55,Trigger),"")</f>
        <v>1.1626530820000001E-2</v>
      </c>
      <c r="AA55" s="185">
        <f>IF(ISERROR(_xll.qlSwapRateHelperSpread($X55)),IF(ISERROR(_xll.qlFuturesRateHelperConvexityAdjustment($X55)),"",_xll.qlFuturesRateHelperConvexityAdjustment($X55)),_xll.qlSwapRateHelperSpread($X55))</f>
        <v>0</v>
      </c>
      <c r="AB55" s="163">
        <f>IFERROR(_xll.qlRateHelperEarliestDate(X55,Trigger),"")</f>
        <v>42748</v>
      </c>
      <c r="AC55" s="163">
        <f>IFERROR(_xll.qlRateHelperPillarDate(X55,Trigger),"")</f>
        <v>54436</v>
      </c>
      <c r="AD55" s="184">
        <v>1.2000705537022203E-2</v>
      </c>
    </row>
    <row r="56" spans="1:30" ht="11.25" customHeight="1" x14ac:dyDescent="0.2">
      <c r="A56" s="62" t="str">
        <f>Quote!L77</f>
        <v>SW</v>
      </c>
      <c r="B56" s="63" t="str">
        <f>Quote!M77</f>
        <v>3Y</v>
      </c>
      <c r="C56" s="64" t="s">
        <v>6</v>
      </c>
      <c r="D56" s="64" t="s">
        <v>8</v>
      </c>
      <c r="E56" s="64" t="s">
        <v>7</v>
      </c>
      <c r="F56" s="64" t="s">
        <v>132</v>
      </c>
      <c r="G56" s="64" t="str">
        <f t="shared" si="12"/>
        <v>Euribor1MMX#0006</v>
      </c>
      <c r="H56" s="62" t="str">
        <f>IF(ISBLANK(Quote!O77),"",Quote!O77)</f>
        <v>EUR1MSW3Y=#0006</v>
      </c>
      <c r="I56" s="62" t="str">
        <f>_xll.qlCompositeQuote(Currency&amp;"1M"&amp;A56&amp;B56&amp;"_Shifted",H56,BumpValue,"+",Permanent,Trigger,ObjectOverwrite)</f>
        <v>EUR1MSW3Y_Shifted#0006</v>
      </c>
      <c r="J56" s="128">
        <v>0</v>
      </c>
      <c r="K56" s="67" t="str">
        <f>_xll.qlSwapRateHelper2(,IF(Sensitivity,I56,H56),2,B56,Calendar,+D56,E56,F56,G56,J56,C56,Discounting,PillarDate,,Permanent,Trigger,ObjectOverwrite)</f>
        <v>obj_0032c#0006</v>
      </c>
      <c r="M56" s="159" t="str">
        <f t="shared" si="10"/>
        <v>SW</v>
      </c>
      <c r="N56" s="131" t="str">
        <f t="shared" si="11"/>
        <v>obj_0035b#0006</v>
      </c>
      <c r="O56" s="137" t="str">
        <f>IFERROR(_xll.qlRateHelperQuoteName(N56,Trigger),"--")</f>
        <v>EUR1MSW7Y_Shifted</v>
      </c>
      <c r="P56" s="99">
        <f>IFERROR(_xll.qlRateHelperQuoteValue($N56,Trigger),"--")</f>
        <v>8.6000000000000009E-4</v>
      </c>
      <c r="Q56" s="137" t="b">
        <v>1</v>
      </c>
      <c r="R56" s="137">
        <v>40</v>
      </c>
      <c r="S56" s="137">
        <v>1</v>
      </c>
      <c r="T56" s="134">
        <f>IFERROR(_xll.qlRateHelperEarliestDate(N56,Trigger),"--")</f>
        <v>42748</v>
      </c>
      <c r="U56" s="134">
        <f>IFERROR(_xll.qlRateHelperPillarDate(N56,Trigger),"--")</f>
        <v>45306</v>
      </c>
      <c r="W56" s="162" t="str">
        <f t="shared" si="9"/>
        <v>SW</v>
      </c>
      <c r="X56" s="162" t="str">
        <v>obj_00351</v>
      </c>
      <c r="Y56" s="162" t="str">
        <f>IFERROR(_xll.qlRateHelperQuoteName(X56,Trigger),"")</f>
        <v>EUR1MSW33Y_Shifted</v>
      </c>
      <c r="Z56" s="184">
        <f>IFERROR(_xll.qlRateHelperRate(X56,Trigger),"")</f>
        <v>1.1667050680000002E-2</v>
      </c>
      <c r="AA56" s="185">
        <f>IF(ISERROR(_xll.qlSwapRateHelperSpread($X56)),IF(ISERROR(_xll.qlFuturesRateHelperConvexityAdjustment($X56)),"",_xll.qlFuturesRateHelperConvexityAdjustment($X56)),_xll.qlSwapRateHelperSpread($X56))</f>
        <v>0</v>
      </c>
      <c r="AB56" s="163">
        <f>IFERROR(_xll.qlRateHelperEarliestDate(X56,Trigger),"")</f>
        <v>42748</v>
      </c>
      <c r="AC56" s="163">
        <f>IFERROR(_xll.qlRateHelperPillarDate(X56,Trigger),"")</f>
        <v>54801</v>
      </c>
      <c r="AD56" s="184">
        <v>1.2038012354552007E-2</v>
      </c>
    </row>
    <row r="57" spans="1:30" ht="11.25" customHeight="1" x14ac:dyDescent="0.2">
      <c r="A57" s="62" t="str">
        <f>Quote!L78</f>
        <v>SW</v>
      </c>
      <c r="B57" s="63" t="str">
        <f>Quote!M78</f>
        <v>4Y</v>
      </c>
      <c r="C57" s="64" t="s">
        <v>6</v>
      </c>
      <c r="D57" s="64" t="s">
        <v>8</v>
      </c>
      <c r="E57" s="64" t="s">
        <v>7</v>
      </c>
      <c r="F57" s="64" t="s">
        <v>132</v>
      </c>
      <c r="G57" s="64" t="str">
        <f t="shared" si="12"/>
        <v>Euribor1MMX#0006</v>
      </c>
      <c r="H57" s="62" t="str">
        <f>IF(ISBLANK(Quote!O78),"",Quote!O78)</f>
        <v>EUR1MSW4Y=#0006</v>
      </c>
      <c r="I57" s="62" t="str">
        <f>_xll.qlCompositeQuote(Currency&amp;"1M"&amp;A57&amp;B57&amp;"_Shifted",H57,BumpValue,"+",Permanent,Trigger,ObjectOverwrite)</f>
        <v>EUR1MSW4Y_Shifted#0006</v>
      </c>
      <c r="J57" s="128">
        <v>0</v>
      </c>
      <c r="K57" s="67" t="str">
        <f>_xll.qlSwapRateHelper2(,IF(Sensitivity,I57,H57),2,B57,Calendar,+D57,E57,F57,G57,J57,C57,Discounting,PillarDate,,Permanent,Trigger,ObjectOverwrite)</f>
        <v>obj_00332#0006</v>
      </c>
      <c r="M57" s="162" t="str">
        <f t="shared" si="10"/>
        <v>SW</v>
      </c>
      <c r="N57" s="141" t="str">
        <f t="shared" si="11"/>
        <v>obj_0036d#0006</v>
      </c>
      <c r="O57" s="141" t="str">
        <f>IFERROR(_xll.qlRateHelperQuoteName(N57,Trigger),"--")</f>
        <v>EUR1MSW8Y_Shifted</v>
      </c>
      <c r="P57" s="99">
        <f>IFERROR(_xll.qlRateHelperQuoteValue($N57,Trigger),"--")</f>
        <v>2.15E-3</v>
      </c>
      <c r="Q57" s="141" t="b">
        <v>1</v>
      </c>
      <c r="R57" s="141">
        <v>40</v>
      </c>
      <c r="S57" s="141">
        <v>1</v>
      </c>
      <c r="T57" s="100">
        <f>IFERROR(_xll.qlRateHelperEarliestDate(N57,Trigger),"--")</f>
        <v>42748</v>
      </c>
      <c r="U57" s="100">
        <f>IFERROR(_xll.qlRateHelperPillarDate(N57,Trigger),"--")</f>
        <v>45670</v>
      </c>
      <c r="W57" s="162" t="str">
        <f t="shared" si="9"/>
        <v>SW</v>
      </c>
      <c r="X57" s="162" t="str">
        <v>obj_00338</v>
      </c>
      <c r="Y57" s="162" t="str">
        <f>IFERROR(_xll.qlRateHelperQuoteName(X57,Trigger),"")</f>
        <v>EUR1MSW34Y_Shifted</v>
      </c>
      <c r="Z57" s="184">
        <f>IFERROR(_xll.qlRateHelperRate(X57,Trigger),"")</f>
        <v>1.170203394E-2</v>
      </c>
      <c r="AA57" s="185">
        <f>IF(ISERROR(_xll.qlSwapRateHelperSpread($X57)),IF(ISERROR(_xll.qlFuturesRateHelperConvexityAdjustment($X57)),"",_xll.qlFuturesRateHelperConvexityAdjustment($X57)),_xll.qlSwapRateHelperSpread($X57))</f>
        <v>0</v>
      </c>
      <c r="AB57" s="163">
        <f>IFERROR(_xll.qlRateHelperEarliestDate(X57,Trigger),"")</f>
        <v>42748</v>
      </c>
      <c r="AC57" s="163">
        <f>IFERROR(_xll.qlRateHelperPillarDate(X57,Trigger),"")</f>
        <v>55166</v>
      </c>
      <c r="AD57" s="184">
        <v>1.2069193678012782E-2</v>
      </c>
    </row>
    <row r="58" spans="1:30" ht="11.25" customHeight="1" x14ac:dyDescent="0.2">
      <c r="A58" s="62" t="str">
        <f>Quote!L79</f>
        <v>SW</v>
      </c>
      <c r="B58" s="63" t="str">
        <f>Quote!M79</f>
        <v>5Y</v>
      </c>
      <c r="C58" s="64" t="s">
        <v>6</v>
      </c>
      <c r="D58" s="64" t="s">
        <v>8</v>
      </c>
      <c r="E58" s="64" t="s">
        <v>7</v>
      </c>
      <c r="F58" s="64" t="s">
        <v>132</v>
      </c>
      <c r="G58" s="64" t="str">
        <f t="shared" si="12"/>
        <v>Euribor1MMX#0006</v>
      </c>
      <c r="H58" s="62" t="str">
        <f>IF(ISBLANK(Quote!O79),"",Quote!O79)</f>
        <v>EUR1MSW5Y=#0006</v>
      </c>
      <c r="I58" s="62" t="str">
        <f>_xll.qlCompositeQuote(Currency&amp;"1M"&amp;A58&amp;B58&amp;"_Shifted",H58,BumpValue,"+",Permanent,Trigger,ObjectOverwrite)</f>
        <v>EUR1MSW5Y_Shifted#0006</v>
      </c>
      <c r="J58" s="128">
        <v>0</v>
      </c>
      <c r="K58" s="67" t="str">
        <f>_xll.qlSwapRateHelper2(,IF(Sensitivity,I58,H58),2,B58,Calendar,+D58,E58,F58,G58,J58,C58,Discounting,PillarDate,,Permanent,Trigger,ObjectOverwrite)</f>
        <v>obj_003a4#0006</v>
      </c>
      <c r="M58" s="162" t="str">
        <f t="shared" si="10"/>
        <v>SW</v>
      </c>
      <c r="N58" s="141" t="str">
        <f t="shared" si="11"/>
        <v>obj_003bf#0006</v>
      </c>
      <c r="O58" s="141" t="str">
        <f>IFERROR(_xll.qlRateHelperQuoteName(N58,Trigger),"--")</f>
        <v>EUR1MSW9Y_Shifted</v>
      </c>
      <c r="P58" s="99">
        <f>IFERROR(_xll.qlRateHelperQuoteValue($N58,Trigger),"--")</f>
        <v>3.4200000000000003E-3</v>
      </c>
      <c r="Q58" s="141" t="b">
        <v>1</v>
      </c>
      <c r="R58" s="141">
        <v>40</v>
      </c>
      <c r="S58" s="141">
        <v>1</v>
      </c>
      <c r="T58" s="100">
        <f>IFERROR(_xll.qlRateHelperEarliestDate(N58,Trigger),"--")</f>
        <v>42748</v>
      </c>
      <c r="U58" s="100">
        <f>IFERROR(_xll.qlRateHelperPillarDate(N58,Trigger),"--")</f>
        <v>46035</v>
      </c>
      <c r="W58" s="162" t="str">
        <f t="shared" si="9"/>
        <v>SW</v>
      </c>
      <c r="X58" s="162" t="str">
        <v>obj_0038b</v>
      </c>
      <c r="Y58" s="162" t="str">
        <f>IFERROR(_xll.qlRateHelperQuoteName(X58,Trigger),"")</f>
        <v>EUR1MSW35Y_Shifted</v>
      </c>
      <c r="Z58" s="184">
        <f>IFERROR(_xll.qlRateHelperRate(X58,Trigger),"")</f>
        <v>1.1731128950000001E-2</v>
      </c>
      <c r="AA58" s="185">
        <f>IF(ISERROR(_xll.qlSwapRateHelperSpread($X58)),IF(ISERROR(_xll.qlFuturesRateHelperConvexityAdjustment($X58)),"",_xll.qlFuturesRateHelperConvexityAdjustment($X58)),_xll.qlSwapRateHelperSpread($X58))</f>
        <v>0</v>
      </c>
      <c r="AB58" s="163">
        <f>IFERROR(_xll.qlRateHelperEarliestDate(X58,Trigger),"")</f>
        <v>42748</v>
      </c>
      <c r="AC58" s="163">
        <f>IFERROR(_xll.qlRateHelperPillarDate(X58,Trigger),"")</f>
        <v>55533</v>
      </c>
      <c r="AD58" s="184">
        <v>1.2093667412427102E-2</v>
      </c>
    </row>
    <row r="59" spans="1:30" ht="11.25" customHeight="1" x14ac:dyDescent="0.2">
      <c r="A59" s="62" t="str">
        <f>Quote!L80</f>
        <v>SW</v>
      </c>
      <c r="B59" s="63" t="str">
        <f>Quote!M80</f>
        <v>6Y</v>
      </c>
      <c r="C59" s="64" t="s">
        <v>6</v>
      </c>
      <c r="D59" s="64" t="s">
        <v>8</v>
      </c>
      <c r="E59" s="64" t="s">
        <v>7</v>
      </c>
      <c r="F59" s="64" t="s">
        <v>132</v>
      </c>
      <c r="G59" s="64" t="str">
        <f t="shared" si="12"/>
        <v>Euribor1MMX#0006</v>
      </c>
      <c r="H59" s="62" t="str">
        <f>IF(ISBLANK(Quote!O80),"",Quote!O80)</f>
        <v>EUR1MSW6Y=#0006</v>
      </c>
      <c r="I59" s="62" t="str">
        <f>_xll.qlCompositeQuote(Currency&amp;"1M"&amp;A59&amp;B59&amp;"_Shifted",H59,BumpValue,"+",Permanent,Trigger,ObjectOverwrite)</f>
        <v>EUR1MSW6Y_Shifted#0006</v>
      </c>
      <c r="J59" s="128">
        <v>0</v>
      </c>
      <c r="K59" s="67" t="str">
        <f>_xll.qlSwapRateHelper2(,IF(Sensitivity,I59,H59),2,B59,Calendar,+D59,E59,F59,G59,J59,C59,Discounting,PillarDate,,Permanent,Trigger,ObjectOverwrite)</f>
        <v>obj_003a1#0006</v>
      </c>
      <c r="M59" s="162" t="str">
        <f t="shared" si="10"/>
        <v>SW</v>
      </c>
      <c r="N59" s="141" t="str">
        <f t="shared" si="11"/>
        <v>obj_0032b#0006</v>
      </c>
      <c r="O59" s="141" t="str">
        <f>IFERROR(_xll.qlRateHelperQuoteName(N59,Trigger),"--")</f>
        <v>EUR1MSW10Y_Shifted</v>
      </c>
      <c r="P59" s="99">
        <f>IFERROR(_xll.qlRateHelperQuoteValue($N59,Trigger),"--")</f>
        <v>4.5999999999999999E-3</v>
      </c>
      <c r="Q59" s="141" t="b">
        <v>1</v>
      </c>
      <c r="R59" s="141">
        <v>40</v>
      </c>
      <c r="S59" s="141">
        <v>1</v>
      </c>
      <c r="T59" s="100">
        <f>IFERROR(_xll.qlRateHelperEarliestDate(N59,Trigger),"--")</f>
        <v>42748</v>
      </c>
      <c r="U59" s="100">
        <f>IFERROR(_xll.qlRateHelperPillarDate(N59,Trigger),"--")</f>
        <v>46400</v>
      </c>
      <c r="W59" s="162" t="str">
        <f t="shared" si="9"/>
        <v>SW</v>
      </c>
      <c r="X59" s="162" t="str">
        <v>obj_00353</v>
      </c>
      <c r="Y59" s="162" t="str">
        <f>IFERROR(_xll.qlRateHelperQuoteName(X59,Trigger),"")</f>
        <v>EUR1MSW36Y_Shifted</v>
      </c>
      <c r="Z59" s="184">
        <f>IFERROR(_xll.qlRateHelperRate(X59,Trigger),"")</f>
        <v>1.1754213810000001E-2</v>
      </c>
      <c r="AA59" s="185">
        <f>IF(ISERROR(_xll.qlSwapRateHelperSpread($X59)),IF(ISERROR(_xll.qlFuturesRateHelperConvexityAdjustment($X59)),"",_xll.qlFuturesRateHelperConvexityAdjustment($X59)),_xll.qlSwapRateHelperSpread($X59))</f>
        <v>0</v>
      </c>
      <c r="AB59" s="163">
        <f>IFERROR(_xll.qlRateHelperEarliestDate(X59,Trigger),"")</f>
        <v>42748</v>
      </c>
      <c r="AC59" s="163">
        <f>IFERROR(_xll.qlRateHelperPillarDate(X59,Trigger),"")</f>
        <v>55897</v>
      </c>
      <c r="AD59" s="184">
        <v>1.2110345039751858E-2</v>
      </c>
    </row>
    <row r="60" spans="1:30" ht="11.25" customHeight="1" x14ac:dyDescent="0.2">
      <c r="A60" s="62" t="str">
        <f>Quote!L81</f>
        <v>SW</v>
      </c>
      <c r="B60" s="63" t="str">
        <f>Quote!M81</f>
        <v>7Y</v>
      </c>
      <c r="C60" s="64" t="s">
        <v>6</v>
      </c>
      <c r="D60" s="64" t="s">
        <v>8</v>
      </c>
      <c r="E60" s="64" t="s">
        <v>7</v>
      </c>
      <c r="F60" s="64" t="s">
        <v>132</v>
      </c>
      <c r="G60" s="64" t="str">
        <f t="shared" si="12"/>
        <v>Euribor1MMX#0006</v>
      </c>
      <c r="H60" s="62" t="str">
        <f>IF(ISBLANK(Quote!O81),"",Quote!O81)</f>
        <v>EUR1MSW7Y=#0006</v>
      </c>
      <c r="I60" s="62" t="str">
        <f>_xll.qlCompositeQuote(Currency&amp;"1M"&amp;A60&amp;B60&amp;"_Shifted",H60,BumpValue,"+",Permanent,Trigger,ObjectOverwrite)</f>
        <v>EUR1MSW7Y_Shifted#0006</v>
      </c>
      <c r="J60" s="128">
        <v>0</v>
      </c>
      <c r="K60" s="67" t="str">
        <f>_xll.qlSwapRateHelper2(,IF(Sensitivity,I60,H60),2,B60,Calendar,+D60,E60,F60,G60,J60,C60,Discounting,PillarDate,,Permanent,Trigger,ObjectOverwrite)</f>
        <v>obj_0035b#0006</v>
      </c>
      <c r="M60" s="162" t="str">
        <f t="shared" si="10"/>
        <v>SW</v>
      </c>
      <c r="N60" s="141" t="str">
        <f t="shared" si="11"/>
        <v>obj_003c8#0006</v>
      </c>
      <c r="O60" s="141" t="str">
        <f>IFERROR(_xll.qlRateHelperQuoteName(N60,Trigger),"--")</f>
        <v>EUR1MSW11Y_Shifted</v>
      </c>
      <c r="P60" s="99">
        <f>IFERROR(_xll.qlRateHelperQuoteValue($N60,Trigger),"--")</f>
        <v>5.6499510500000009E-3</v>
      </c>
      <c r="Q60" s="141" t="b">
        <v>1</v>
      </c>
      <c r="R60" s="141">
        <v>40</v>
      </c>
      <c r="S60" s="141">
        <v>1</v>
      </c>
      <c r="T60" s="100">
        <f>IFERROR(_xll.qlRateHelperEarliestDate(N60,Trigger),"--")</f>
        <v>42748</v>
      </c>
      <c r="U60" s="100">
        <f>IFERROR(_xll.qlRateHelperPillarDate(N60,Trigger),"--")</f>
        <v>46765</v>
      </c>
      <c r="W60" s="162" t="str">
        <f t="shared" si="9"/>
        <v>SW</v>
      </c>
      <c r="X60" s="162" t="str">
        <v>obj_00345</v>
      </c>
      <c r="Y60" s="162" t="str">
        <f>IFERROR(_xll.qlRateHelperQuoteName(X60,Trigger),"")</f>
        <v>EUR1MSW37Y_Shifted</v>
      </c>
      <c r="Z60" s="184">
        <f>IFERROR(_xll.qlRateHelperRate(X60,Trigger),"")</f>
        <v>1.1769676330000001E-2</v>
      </c>
      <c r="AA60" s="185">
        <f>IF(ISERROR(_xll.qlSwapRateHelperSpread($X60)),IF(ISERROR(_xll.qlFuturesRateHelperConvexityAdjustment($X60)),"",_xll.qlFuturesRateHelperConvexityAdjustment($X60)),_xll.qlSwapRateHelperSpread($X60))</f>
        <v>0</v>
      </c>
      <c r="AB60" s="163">
        <f>IFERROR(_xll.qlRateHelperEarliestDate(X60,Trigger),"")</f>
        <v>42748</v>
      </c>
      <c r="AC60" s="163">
        <f>IFERROR(_xll.qlRateHelperPillarDate(X60,Trigger),"")</f>
        <v>56262</v>
      </c>
      <c r="AD60" s="184">
        <v>1.2118730336425545E-2</v>
      </c>
    </row>
    <row r="61" spans="1:30" ht="11.25" customHeight="1" x14ac:dyDescent="0.2">
      <c r="A61" s="62" t="str">
        <f>Quote!L82</f>
        <v>SW</v>
      </c>
      <c r="B61" s="63" t="str">
        <f>Quote!M82</f>
        <v>8Y</v>
      </c>
      <c r="C61" s="64" t="s">
        <v>6</v>
      </c>
      <c r="D61" s="64" t="s">
        <v>8</v>
      </c>
      <c r="E61" s="64" t="s">
        <v>7</v>
      </c>
      <c r="F61" s="64" t="s">
        <v>132</v>
      </c>
      <c r="G61" s="64" t="str">
        <f t="shared" si="12"/>
        <v>Euribor1MMX#0006</v>
      </c>
      <c r="H61" s="62" t="str">
        <f>IF(ISBLANK(Quote!O82),"",Quote!O82)</f>
        <v>EUR1MSW8Y=#0006</v>
      </c>
      <c r="I61" s="62" t="str">
        <f>_xll.qlCompositeQuote(Currency&amp;"1M"&amp;A61&amp;B61&amp;"_Shifted",H61,BumpValue,"+",Permanent,Trigger,ObjectOverwrite)</f>
        <v>EUR1MSW8Y_Shifted#0006</v>
      </c>
      <c r="J61" s="128">
        <v>0</v>
      </c>
      <c r="K61" s="67" t="str">
        <f>_xll.qlSwapRateHelper2(,IF(Sensitivity,I61,H61),2,B61,Calendar,+D61,E61,F61,G61,J61,C61,Discounting,PillarDate,,Permanent,Trigger,ObjectOverwrite)</f>
        <v>obj_0036d#0006</v>
      </c>
      <c r="M61" s="162" t="str">
        <f t="shared" si="10"/>
        <v>SW</v>
      </c>
      <c r="N61" s="141" t="str">
        <f t="shared" si="11"/>
        <v>obj_00376#0006</v>
      </c>
      <c r="O61" s="141" t="str">
        <f>IFERROR(_xll.qlRateHelperQuoteName(N61,Trigger),"--")</f>
        <v>EUR1MSW12Y_Shifted</v>
      </c>
      <c r="P61" s="99">
        <f>IFERROR(_xll.qlRateHelperQuoteValue($N61,Trigger),"--")</f>
        <v>6.5799999999999999E-3</v>
      </c>
      <c r="Q61" s="141" t="b">
        <v>1</v>
      </c>
      <c r="R61" s="141">
        <v>40</v>
      </c>
      <c r="S61" s="141">
        <v>1</v>
      </c>
      <c r="T61" s="100">
        <f>IFERROR(_xll.qlRateHelperEarliestDate(N61,Trigger),"--")</f>
        <v>42748</v>
      </c>
      <c r="U61" s="100">
        <f>IFERROR(_xll.qlRateHelperPillarDate(N61,Trigger),"--")</f>
        <v>47133</v>
      </c>
      <c r="W61" s="162" t="str">
        <f t="shared" si="9"/>
        <v>SW</v>
      </c>
      <c r="X61" s="162" t="str">
        <v>obj_003be</v>
      </c>
      <c r="Y61" s="162" t="str">
        <f>IFERROR(_xll.qlRateHelperQuoteName(X61,Trigger),"")</f>
        <v>EUR1MSW38Y_Shifted</v>
      </c>
      <c r="Z61" s="184">
        <f>IFERROR(_xll.qlRateHelperRate(X61,Trigger),"")</f>
        <v>1.177769388E-2</v>
      </c>
      <c r="AA61" s="185">
        <f>IF(ISERROR(_xll.qlSwapRateHelperSpread($X61)),IF(ISERROR(_xll.qlFuturesRateHelperConvexityAdjustment($X61)),"",_xll.qlFuturesRateHelperConvexityAdjustment($X61)),_xll.qlSwapRateHelperSpread($X61))</f>
        <v>0</v>
      </c>
      <c r="AB61" s="163">
        <f>IFERROR(_xll.qlRateHelperEarliestDate(X61,Trigger),"")</f>
        <v>42748</v>
      </c>
      <c r="AC61" s="163">
        <f>IFERROR(_xll.qlRateHelperPillarDate(X61,Trigger),"")</f>
        <v>56627</v>
      </c>
      <c r="AD61" s="184">
        <v>1.2118071802143892E-2</v>
      </c>
    </row>
    <row r="62" spans="1:30" ht="11.25" customHeight="1" x14ac:dyDescent="0.2">
      <c r="A62" s="62" t="str">
        <f>Quote!L83</f>
        <v>SW</v>
      </c>
      <c r="B62" s="63" t="str">
        <f>Quote!M83</f>
        <v>9Y</v>
      </c>
      <c r="C62" s="64" t="s">
        <v>6</v>
      </c>
      <c r="D62" s="64" t="s">
        <v>8</v>
      </c>
      <c r="E62" s="64" t="s">
        <v>7</v>
      </c>
      <c r="F62" s="64" t="s">
        <v>132</v>
      </c>
      <c r="G62" s="64" t="str">
        <f t="shared" si="12"/>
        <v>Euribor1MMX#0006</v>
      </c>
      <c r="H62" s="62" t="str">
        <f>IF(ISBLANK(Quote!O83),"",Quote!O83)</f>
        <v>EUR1MSW9Y=#0006</v>
      </c>
      <c r="I62" s="62" t="str">
        <f>_xll.qlCompositeQuote(Currency&amp;"1M"&amp;A62&amp;B62&amp;"_Shifted",H62,BumpValue,"+",Permanent,Trigger,ObjectOverwrite)</f>
        <v>EUR1MSW9Y_Shifted#0006</v>
      </c>
      <c r="J62" s="128">
        <v>0</v>
      </c>
      <c r="K62" s="67" t="str">
        <f>_xll.qlSwapRateHelper2(,IF(Sensitivity,I62,H62),2,B62,Calendar,+D62,E62,F62,G62,J62,C62,Discounting,PillarDate,,Permanent,Trigger,ObjectOverwrite)</f>
        <v>obj_003bf#0006</v>
      </c>
      <c r="L62" s="49" t="s">
        <v>34</v>
      </c>
      <c r="M62" s="162" t="str">
        <f t="shared" si="10"/>
        <v>SW</v>
      </c>
      <c r="N62" s="141" t="str">
        <f t="shared" si="11"/>
        <v>obj_00339#0006</v>
      </c>
      <c r="O62" s="141" t="str">
        <f>IFERROR(_xll.qlRateHelperQuoteName(N62,Trigger),"--")</f>
        <v>EUR1MSW13Y_Shifted</v>
      </c>
      <c r="P62" s="99">
        <f>IFERROR(_xll.qlRateHelperQuoteValue($N62,Trigger),"--")</f>
        <v>7.3837159200000006E-3</v>
      </c>
      <c r="Q62" s="141" t="b">
        <v>1</v>
      </c>
      <c r="R62" s="141">
        <v>40</v>
      </c>
      <c r="S62" s="141">
        <v>1</v>
      </c>
      <c r="T62" s="100">
        <f>IFERROR(_xll.qlRateHelperEarliestDate(N62,Trigger),"--")</f>
        <v>42748</v>
      </c>
      <c r="U62" s="100">
        <f>IFERROR(_xll.qlRateHelperPillarDate(N62,Trigger),"--")</f>
        <v>47497</v>
      </c>
      <c r="W62" s="162" t="str">
        <f t="shared" si="9"/>
        <v>SW</v>
      </c>
      <c r="X62" s="162" t="str">
        <v>obj_003ca</v>
      </c>
      <c r="Y62" s="162" t="str">
        <f>IFERROR(_xll.qlRateHelperQuoteName(X62,Trigger),"")</f>
        <v>EUR1MSW39Y_Shifted</v>
      </c>
      <c r="Z62" s="184">
        <f>IFERROR(_xll.qlRateHelperRate(X62,Trigger),"")</f>
        <v>1.1777793940000001E-2</v>
      </c>
      <c r="AA62" s="185">
        <f>IF(ISERROR(_xll.qlSwapRateHelperSpread($X62)),IF(ISERROR(_xll.qlFuturesRateHelperConvexityAdjustment($X62)),"",_xll.qlFuturesRateHelperConvexityAdjustment($X62)),_xll.qlSwapRateHelperSpread($X62))</f>
        <v>0</v>
      </c>
      <c r="AB62" s="163">
        <f>IFERROR(_xll.qlRateHelperEarliestDate(X62,Trigger),"")</f>
        <v>42748</v>
      </c>
      <c r="AC62" s="163">
        <f>IFERROR(_xll.qlRateHelperPillarDate(X62,Trigger),"")</f>
        <v>56992</v>
      </c>
      <c r="AD62" s="184">
        <v>1.2107633573837094E-2</v>
      </c>
    </row>
    <row r="63" spans="1:30" ht="11.25" customHeight="1" x14ac:dyDescent="0.2">
      <c r="A63" s="62" t="str">
        <f>Quote!L84</f>
        <v>SW</v>
      </c>
      <c r="B63" s="63" t="str">
        <f>Quote!M84</f>
        <v>10Y</v>
      </c>
      <c r="C63" s="64" t="s">
        <v>6</v>
      </c>
      <c r="D63" s="64" t="s">
        <v>8</v>
      </c>
      <c r="E63" s="64" t="s">
        <v>7</v>
      </c>
      <c r="F63" s="64" t="s">
        <v>132</v>
      </c>
      <c r="G63" s="64" t="str">
        <f t="shared" si="12"/>
        <v>Euribor1MMX#0006</v>
      </c>
      <c r="H63" s="62" t="str">
        <f>IF(ISBLANK(Quote!O84),"",Quote!O84)</f>
        <v>EUR1MSW10Y=#0006</v>
      </c>
      <c r="I63" s="62" t="str">
        <f>_xll.qlCompositeQuote(Currency&amp;"1M"&amp;A63&amp;B63&amp;"_Shifted",H63,BumpValue,"+",Permanent,Trigger,ObjectOverwrite)</f>
        <v>EUR1MSW10Y_Shifted#0006</v>
      </c>
      <c r="J63" s="128">
        <v>0</v>
      </c>
      <c r="K63" s="67" t="str">
        <f>_xll.qlSwapRateHelper2(,IF(Sensitivity,I63,H63),2,B63,Calendar,+D63,E63,F63,G63,J63,C63,Discounting,PillarDate,,Permanent,Trigger,ObjectOverwrite)</f>
        <v>obj_0032b#0006</v>
      </c>
      <c r="M63" s="162" t="str">
        <f t="shared" si="10"/>
        <v>SW</v>
      </c>
      <c r="N63" s="141" t="str">
        <f t="shared" si="11"/>
        <v>obj_003cd#0006</v>
      </c>
      <c r="O63" s="141" t="str">
        <f>IFERROR(_xll.qlRateHelperQuoteName(N63,Trigger),"--")</f>
        <v>EUR1MSW14Y_Shifted</v>
      </c>
      <c r="P63" s="99">
        <f>IFERROR(_xll.qlRateHelperQuoteValue($N63,Trigger),"--")</f>
        <v>8.0810838700000002E-3</v>
      </c>
      <c r="Q63" s="141" t="b">
        <v>1</v>
      </c>
      <c r="R63" s="141">
        <v>40</v>
      </c>
      <c r="S63" s="141">
        <v>1</v>
      </c>
      <c r="T63" s="100">
        <f>IFERROR(_xll.qlRateHelperEarliestDate(N63,Trigger),"--")</f>
        <v>42748</v>
      </c>
      <c r="U63" s="100">
        <f>IFERROR(_xll.qlRateHelperPillarDate(N63,Trigger),"--")</f>
        <v>47861</v>
      </c>
      <c r="W63" s="162" t="str">
        <f t="shared" si="9"/>
        <v>SW</v>
      </c>
      <c r="X63" s="162" t="str">
        <v>obj_0033b</v>
      </c>
      <c r="Y63" s="162" t="str">
        <f>IFERROR(_xll.qlRateHelperQuoteName(X63,Trigger),"")</f>
        <v>EUR1MSW40Y_Shifted</v>
      </c>
      <c r="Z63" s="184">
        <f>IFERROR(_xll.qlRateHelperRate(X63,Trigger),"")</f>
        <v>1.1770000000000001E-2</v>
      </c>
      <c r="AA63" s="185">
        <f>IF(ISERROR(_xll.qlSwapRateHelperSpread($X63)),IF(ISERROR(_xll.qlFuturesRateHelperConvexityAdjustment($X63)),"",_xll.qlFuturesRateHelperConvexityAdjustment($X63)),_xll.qlSwapRateHelperSpread($X63))</f>
        <v>0</v>
      </c>
      <c r="AB63" s="163">
        <f>IFERROR(_xll.qlRateHelperEarliestDate(X63,Trigger),"")</f>
        <v>42748</v>
      </c>
      <c r="AC63" s="163">
        <f>IFERROR(_xll.qlRateHelperPillarDate(X63,Trigger),"")</f>
        <v>57360</v>
      </c>
      <c r="AD63" s="184">
        <v>1.2086483997019008E-2</v>
      </c>
    </row>
    <row r="64" spans="1:30" ht="11.25" customHeight="1" x14ac:dyDescent="0.2">
      <c r="A64" s="62" t="str">
        <f>Quote!L85</f>
        <v>SW</v>
      </c>
      <c r="B64" s="63" t="str">
        <f>Quote!M85</f>
        <v>11Y</v>
      </c>
      <c r="C64" s="64" t="s">
        <v>6</v>
      </c>
      <c r="D64" s="64" t="s">
        <v>8</v>
      </c>
      <c r="E64" s="64" t="s">
        <v>7</v>
      </c>
      <c r="F64" s="64" t="s">
        <v>132</v>
      </c>
      <c r="G64" s="64" t="str">
        <f t="shared" si="12"/>
        <v>Euribor1MMX#0006</v>
      </c>
      <c r="H64" s="62" t="str">
        <f>IF(ISBLANK(Quote!O85),"",Quote!O85)</f>
        <v>EUR1MSW11Y=#0006</v>
      </c>
      <c r="I64" s="62" t="str">
        <f>_xll.qlCompositeQuote(Currency&amp;"1M"&amp;A64&amp;B64&amp;"_Shifted",H64,BumpValue,"+",Permanent,Trigger,ObjectOverwrite)</f>
        <v>EUR1MSW11Y_Shifted#0006</v>
      </c>
      <c r="J64" s="128">
        <v>0</v>
      </c>
      <c r="K64" s="67" t="str">
        <f>_xll.qlSwapRateHelper2(,IF(Sensitivity,I64,H64),2,B64,Calendar,+D64,E64,F64,G64,J64,C64,Discounting,PillarDate,,Permanent,Trigger,ObjectOverwrite)</f>
        <v>obj_003c8#0006</v>
      </c>
      <c r="M64" s="162" t="str">
        <f t="shared" si="10"/>
        <v>SW</v>
      </c>
      <c r="N64" s="141" t="str">
        <f t="shared" si="11"/>
        <v>obj_003a0#0006</v>
      </c>
      <c r="O64" s="141" t="str">
        <f>IFERROR(_xll.qlRateHelperQuoteName(N64,Trigger),"--")</f>
        <v>EUR1MSW15Y_Shifted</v>
      </c>
      <c r="P64" s="99">
        <f>IFERROR(_xll.qlRateHelperQuoteValue($N64,Trigger),"--")</f>
        <v>8.6800000000000002E-3</v>
      </c>
      <c r="Q64" s="141" t="b">
        <v>1</v>
      </c>
      <c r="R64" s="141">
        <v>40</v>
      </c>
      <c r="S64" s="141">
        <v>1</v>
      </c>
      <c r="T64" s="100">
        <f>IFERROR(_xll.qlRateHelperEarliestDate(N64,Trigger),"--")</f>
        <v>42748</v>
      </c>
      <c r="U64" s="100">
        <f>IFERROR(_xll.qlRateHelperPillarDate(N64,Trigger),"--")</f>
        <v>48226</v>
      </c>
      <c r="W64" s="162" t="str">
        <f t="shared" si="9"/>
        <v>SW</v>
      </c>
      <c r="X64" s="162" t="str">
        <v>obj_003b7</v>
      </c>
      <c r="Y64" s="162" t="str">
        <f>IFERROR(_xll.qlRateHelperQuoteName(X64,Trigger),"")</f>
        <v>EUR1MSW50Y_Shifted</v>
      </c>
      <c r="Z64" s="184">
        <f>IFERROR(_xll.qlRateHelperRate(X64,Trigger),"")</f>
        <v>1.141E-2</v>
      </c>
      <c r="AA64" s="185">
        <f>IF(ISERROR(_xll.qlSwapRateHelperSpread($X64)),IF(ISERROR(_xll.qlFuturesRateHelperConvexityAdjustment($X64)),"",_xll.qlFuturesRateHelperConvexityAdjustment($X64)),_xll.qlSwapRateHelperSpread($X64))</f>
        <v>0</v>
      </c>
      <c r="AB64" s="163">
        <f>IFERROR(_xll.qlRateHelperEarliestDate(X64,Trigger),"")</f>
        <v>42748</v>
      </c>
      <c r="AC64" s="163">
        <f>IFERROR(_xll.qlRateHelperPillarDate(X64,Trigger),"")</f>
        <v>61010</v>
      </c>
      <c r="AD64" s="184">
        <v>1.1536077456203336E-2</v>
      </c>
    </row>
    <row r="65" spans="1:30" ht="11.25" customHeight="1" x14ac:dyDescent="0.2">
      <c r="A65" s="62" t="str">
        <f>Quote!L86</f>
        <v>SW</v>
      </c>
      <c r="B65" s="63" t="str">
        <f>Quote!M86</f>
        <v>12Y</v>
      </c>
      <c r="C65" s="64" t="s">
        <v>6</v>
      </c>
      <c r="D65" s="64" t="s">
        <v>8</v>
      </c>
      <c r="E65" s="64" t="s">
        <v>7</v>
      </c>
      <c r="F65" s="64" t="s">
        <v>132</v>
      </c>
      <c r="G65" s="64" t="str">
        <f t="shared" si="12"/>
        <v>Euribor1MMX#0006</v>
      </c>
      <c r="H65" s="62" t="str">
        <f>IF(ISBLANK(Quote!O86),"",Quote!O86)</f>
        <v>EUR1MSW12Y=#0006</v>
      </c>
      <c r="I65" s="62" t="str">
        <f>_xll.qlCompositeQuote(Currency&amp;"1M"&amp;A65&amp;B65&amp;"_Shifted",H65,BumpValue,"+",Permanent,Trigger,ObjectOverwrite)</f>
        <v>EUR1MSW12Y_Shifted#0006</v>
      </c>
      <c r="J65" s="128">
        <v>0</v>
      </c>
      <c r="K65" s="67" t="str">
        <f>_xll.qlSwapRateHelper2(,IF(Sensitivity,I65,H65),2,B65,Calendar,+D65,E65,F65,G65,J65,C65,Discounting,PillarDate,,Permanent,Trigger,ObjectOverwrite)</f>
        <v>obj_00376#0006</v>
      </c>
      <c r="M65" s="162" t="str">
        <f t="shared" si="10"/>
        <v>SW</v>
      </c>
      <c r="N65" s="141" t="str">
        <f t="shared" si="11"/>
        <v>obj_003da#0006</v>
      </c>
      <c r="O65" s="141" t="str">
        <f>IFERROR(_xll.qlRateHelperQuoteName(N65,Trigger),"--")</f>
        <v>EUR1MSW16Y_Shifted</v>
      </c>
      <c r="P65" s="99">
        <f>IFERROR(_xll.qlRateHelperQuoteValue($N65,Trigger),"--")</f>
        <v>9.1882162900000005E-3</v>
      </c>
      <c r="Q65" s="141" t="b">
        <v>1</v>
      </c>
      <c r="R65" s="141">
        <v>40</v>
      </c>
      <c r="S65" s="141">
        <v>1</v>
      </c>
      <c r="T65" s="100">
        <f>IFERROR(_xll.qlRateHelperEarliestDate(N65,Trigger),"--")</f>
        <v>42748</v>
      </c>
      <c r="U65" s="100">
        <f>IFERROR(_xll.qlRateHelperPillarDate(N65,Trigger),"--")</f>
        <v>48592</v>
      </c>
      <c r="W65" s="162" t="str">
        <f t="shared" si="9"/>
        <v>SW</v>
      </c>
      <c r="X65" s="162" t="str">
        <v>obj_00378</v>
      </c>
      <c r="Y65" s="162" t="str">
        <f>IFERROR(_xll.qlRateHelperQuoteName(X65,Trigger),"")</f>
        <v>EUR1MSW60Y_Shifted</v>
      </c>
      <c r="Z65" s="184">
        <f>IFERROR(_xll.qlRateHelperRate(X65,Trigger),"")</f>
        <v>1.1140000000000001E-2</v>
      </c>
      <c r="AA65" s="185">
        <f>IF(ISERROR(_xll.qlSwapRateHelperSpread($X65)),IF(ISERROR(_xll.qlFuturesRateHelperConvexityAdjustment($X65)),"",_xll.qlFuturesRateHelperConvexityAdjustment($X65)),_xll.qlSwapRateHelperSpread($X65))</f>
        <v>0</v>
      </c>
      <c r="AB65" s="163">
        <f>IFERROR(_xll.qlRateHelperEarliestDate(X65,Trigger),"")</f>
        <v>42748</v>
      </c>
      <c r="AC65" s="163">
        <f>IFERROR(_xll.qlRateHelperPillarDate(X65,Trigger),"")</f>
        <v>64663</v>
      </c>
      <c r="AD65" s="184">
        <v>1.1136793375453041E-2</v>
      </c>
    </row>
    <row r="66" spans="1:30" ht="11.25" customHeight="1" x14ac:dyDescent="0.2">
      <c r="A66" s="62" t="str">
        <f>Quote!L87</f>
        <v>SW</v>
      </c>
      <c r="B66" s="63" t="str">
        <f>Quote!M87</f>
        <v>13Y</v>
      </c>
      <c r="C66" s="64" t="s">
        <v>6</v>
      </c>
      <c r="D66" s="64" t="s">
        <v>8</v>
      </c>
      <c r="E66" s="64" t="s">
        <v>7</v>
      </c>
      <c r="F66" s="64" t="s">
        <v>132</v>
      </c>
      <c r="G66" s="64" t="str">
        <f t="shared" si="12"/>
        <v>Euribor1MMX#0006</v>
      </c>
      <c r="H66" s="62" t="str">
        <f>IF(ISBLANK(Quote!O87),"",Quote!O87)</f>
        <v>EUR1MSW13Y=#0006</v>
      </c>
      <c r="I66" s="62" t="str">
        <f>_xll.qlCompositeQuote(Currency&amp;"1M"&amp;A66&amp;B66&amp;"_Shifted",H66,BumpValue,"+",Permanent,Trigger,ObjectOverwrite)</f>
        <v>EUR1MSW13Y_Shifted#0006</v>
      </c>
      <c r="J66" s="128">
        <v>0</v>
      </c>
      <c r="K66" s="67" t="str">
        <f>_xll.qlSwapRateHelper2(,IF(Sensitivity,I66,H66),2,B66,Calendar,+D66,E66,F66,G66,J66,C66,Discounting,PillarDate,,Permanent,Trigger,ObjectOverwrite)</f>
        <v>obj_00339#0006</v>
      </c>
      <c r="M66" s="162" t="str">
        <f t="shared" si="10"/>
        <v>SW</v>
      </c>
      <c r="N66" s="141" t="str">
        <f t="shared" si="11"/>
        <v>obj_00348#0006</v>
      </c>
      <c r="O66" s="141" t="str">
        <f>IFERROR(_xll.qlRateHelperQuoteName(N66,Trigger),"--")</f>
        <v>EUR1MSW17Y_Shifted</v>
      </c>
      <c r="P66" s="99">
        <f>IFERROR(_xll.qlRateHelperQuoteValue($N66,Trigger),"--")</f>
        <v>9.6105547100000018E-3</v>
      </c>
      <c r="Q66" s="141" t="b">
        <v>1</v>
      </c>
      <c r="R66" s="141">
        <v>40</v>
      </c>
      <c r="S66" s="141">
        <v>1</v>
      </c>
      <c r="T66" s="100">
        <f>IFERROR(_xll.qlRateHelperEarliestDate(N66,Trigger),"--")</f>
        <v>42748</v>
      </c>
      <c r="U66" s="100">
        <f>IFERROR(_xll.qlRateHelperPillarDate(N66,Trigger),"--")</f>
        <v>48957</v>
      </c>
      <c r="W66" s="162" t="str">
        <f t="shared" si="9"/>
        <v/>
      </c>
      <c r="X66" s="162" t="e">
        <v>#N/A</v>
      </c>
      <c r="Y66" s="162" t="str">
        <f>IFERROR(_xll.qlRateHelperQuoteName(X66,Trigger),"")</f>
        <v/>
      </c>
      <c r="Z66" s="184" t="str">
        <f>IFERROR(_xll.qlRateHelperRate(X66,Trigger),"")</f>
        <v/>
      </c>
      <c r="AA66" s="185" t="str">
        <f>IF(ISERROR(_xll.qlSwapRateHelperSpread($X66)),IF(ISERROR(_xll.qlFuturesRateHelperConvexityAdjustment($X66)),"",_xll.qlFuturesRateHelperConvexityAdjustment($X66)),_xll.qlSwapRateHelperSpread($X66))</f>
        <v/>
      </c>
      <c r="AB66" s="163" t="str">
        <f>IFERROR(_xll.qlRateHelperEarliestDate(X66,Trigger),"")</f>
        <v/>
      </c>
      <c r="AC66" s="163" t="str">
        <f>IFERROR(_xll.qlRateHelperPillarDate(X66,Trigger),"")</f>
        <v/>
      </c>
      <c r="AD66" s="184" t="e">
        <v>#N/A</v>
      </c>
    </row>
    <row r="67" spans="1:30" ht="11.25" customHeight="1" x14ac:dyDescent="0.2">
      <c r="A67" s="62" t="str">
        <f>Quote!L88</f>
        <v>SW</v>
      </c>
      <c r="B67" s="63" t="str">
        <f>Quote!M88</f>
        <v>14Y</v>
      </c>
      <c r="C67" s="64" t="s">
        <v>6</v>
      </c>
      <c r="D67" s="64" t="s">
        <v>8</v>
      </c>
      <c r="E67" s="64" t="s">
        <v>7</v>
      </c>
      <c r="F67" s="64" t="s">
        <v>132</v>
      </c>
      <c r="G67" s="64" t="str">
        <f t="shared" si="12"/>
        <v>Euribor1MMX#0006</v>
      </c>
      <c r="H67" s="62" t="str">
        <f>IF(ISBLANK(Quote!O88),"",Quote!O88)</f>
        <v>EUR1MSW14Y=#0006</v>
      </c>
      <c r="I67" s="62" t="str">
        <f>_xll.qlCompositeQuote(Currency&amp;"1M"&amp;A67&amp;B67&amp;"_Shifted",H67,BumpValue,"+",Permanent,Trigger,ObjectOverwrite)</f>
        <v>EUR1MSW14Y_Shifted#0006</v>
      </c>
      <c r="J67" s="128">
        <v>0</v>
      </c>
      <c r="K67" s="67" t="str">
        <f>_xll.qlSwapRateHelper2(,IF(Sensitivity,I67,H67),2,B67,Calendar,+D67,E67,F67,G67,J67,C67,Discounting,PillarDate,,Permanent,Trigger,ObjectOverwrite)</f>
        <v>obj_003cd#0006</v>
      </c>
      <c r="M67" s="162" t="str">
        <f t="shared" si="10"/>
        <v>SW</v>
      </c>
      <c r="N67" s="141" t="str">
        <f t="shared" si="11"/>
        <v>obj_0034f#0006</v>
      </c>
      <c r="O67" s="141" t="str">
        <f>IFERROR(_xll.qlRateHelperQuoteName(N67,Trigger),"--")</f>
        <v>EUR1MSW18Y_Shifted</v>
      </c>
      <c r="P67" s="99">
        <f>IFERROR(_xll.qlRateHelperQuoteValue($N67,Trigger),"--")</f>
        <v>9.9626621600000017E-3</v>
      </c>
      <c r="Q67" s="141" t="b">
        <v>1</v>
      </c>
      <c r="R67" s="141">
        <v>40</v>
      </c>
      <c r="S67" s="141">
        <v>1</v>
      </c>
      <c r="T67" s="100">
        <f>IFERROR(_xll.qlRateHelperEarliestDate(N67,Trigger),"--")</f>
        <v>42748</v>
      </c>
      <c r="U67" s="100">
        <f>IFERROR(_xll.qlRateHelperPillarDate(N67,Trigger),"--")</f>
        <v>49324</v>
      </c>
      <c r="W67" s="162" t="str">
        <f t="shared" ref="W67:W91" si="13">IFERROR(INDEX($M$3:$M$91,MATCH(Y67,$O$3:$O$91,0),1),"")</f>
        <v/>
      </c>
      <c r="X67" s="162" t="e">
        <v>#N/A</v>
      </c>
      <c r="Y67" s="162" t="str">
        <f>IFERROR(_xll.qlRateHelperQuoteName(X67,Trigger),"")</f>
        <v/>
      </c>
      <c r="Z67" s="184" t="str">
        <f>IFERROR(_xll.qlRateHelperRate(X67,Trigger),"")</f>
        <v/>
      </c>
      <c r="AA67" s="185" t="str">
        <f>IF(ISERROR(_xll.qlSwapRateHelperSpread($X67)),IF(ISERROR(_xll.qlFuturesRateHelperConvexityAdjustment($X67)),"",_xll.qlFuturesRateHelperConvexityAdjustment($X67)),_xll.qlSwapRateHelperSpread($X67))</f>
        <v/>
      </c>
      <c r="AB67" s="163" t="str">
        <f>IFERROR(_xll.qlRateHelperEarliestDate(X67,Trigger),"")</f>
        <v/>
      </c>
      <c r="AC67" s="163" t="str">
        <f>IFERROR(_xll.qlRateHelperPillarDate(X67,Trigger),"")</f>
        <v/>
      </c>
      <c r="AD67" s="184" t="e">
        <v>#N/A</v>
      </c>
    </row>
    <row r="68" spans="1:30" ht="11.25" customHeight="1" x14ac:dyDescent="0.2">
      <c r="A68" s="62" t="str">
        <f>Quote!L89</f>
        <v>SW</v>
      </c>
      <c r="B68" s="63" t="str">
        <f>Quote!M89</f>
        <v>15Y</v>
      </c>
      <c r="C68" s="64" t="s">
        <v>6</v>
      </c>
      <c r="D68" s="64" t="s">
        <v>8</v>
      </c>
      <c r="E68" s="64" t="s">
        <v>7</v>
      </c>
      <c r="F68" s="64" t="s">
        <v>132</v>
      </c>
      <c r="G68" s="64" t="str">
        <f t="shared" si="12"/>
        <v>Euribor1MMX#0006</v>
      </c>
      <c r="H68" s="62" t="str">
        <f>IF(ISBLANK(Quote!O89),"",Quote!O89)</f>
        <v>EUR1MSW15Y=#0006</v>
      </c>
      <c r="I68" s="62" t="str">
        <f>_xll.qlCompositeQuote(Currency&amp;"1M"&amp;A68&amp;B68&amp;"_Shifted",H68,BumpValue,"+",Permanent,Trigger,ObjectOverwrite)</f>
        <v>EUR1MSW15Y_Shifted#0006</v>
      </c>
      <c r="J68" s="128">
        <v>0</v>
      </c>
      <c r="K68" s="67" t="str">
        <f>_xll.qlSwapRateHelper2(,IF(Sensitivity,I68,H68),2,B68,Calendar,+D68,E68,F68,G68,J68,C68,Discounting,PillarDate,,Permanent,Trigger,ObjectOverwrite)</f>
        <v>obj_003a0#0006</v>
      </c>
      <c r="M68" s="162" t="str">
        <f t="shared" si="10"/>
        <v>SW</v>
      </c>
      <c r="N68" s="141" t="str">
        <f t="shared" si="11"/>
        <v>obj_00392#0006</v>
      </c>
      <c r="O68" s="141" t="str">
        <f>IFERROR(_xll.qlRateHelperQuoteName(N68,Trigger),"--")</f>
        <v>EUR1MSW19Y_Shifted</v>
      </c>
      <c r="P68" s="99">
        <f>IFERROR(_xll.qlRateHelperQuoteValue($N68,Trigger),"--")</f>
        <v>1.0250728660000001E-2</v>
      </c>
      <c r="Q68" s="141" t="b">
        <v>1</v>
      </c>
      <c r="R68" s="141">
        <v>40</v>
      </c>
      <c r="S68" s="141">
        <v>1</v>
      </c>
      <c r="T68" s="100">
        <f>IFERROR(_xll.qlRateHelperEarliestDate(N68,Trigger),"--")</f>
        <v>42748</v>
      </c>
      <c r="U68" s="100">
        <f>IFERROR(_xll.qlRateHelperPillarDate(N68,Trigger),"--")</f>
        <v>49688</v>
      </c>
      <c r="W68" s="162" t="str">
        <f t="shared" si="13"/>
        <v/>
      </c>
      <c r="X68" s="162" t="e">
        <v>#N/A</v>
      </c>
      <c r="Y68" s="162" t="str">
        <f>IFERROR(_xll.qlRateHelperQuoteName(X68,Trigger),"")</f>
        <v/>
      </c>
      <c r="Z68" s="184" t="str">
        <f>IFERROR(_xll.qlRateHelperRate(X68,Trigger),"")</f>
        <v/>
      </c>
      <c r="AA68" s="185" t="str">
        <f>IF(ISERROR(_xll.qlSwapRateHelperSpread($X68)),IF(ISERROR(_xll.qlFuturesRateHelperConvexityAdjustment($X68)),"",_xll.qlFuturesRateHelperConvexityAdjustment($X68)),_xll.qlSwapRateHelperSpread($X68))</f>
        <v/>
      </c>
      <c r="AB68" s="163" t="str">
        <f>IFERROR(_xll.qlRateHelperEarliestDate(X68,Trigger),"")</f>
        <v/>
      </c>
      <c r="AC68" s="163" t="str">
        <f>IFERROR(_xll.qlRateHelperPillarDate(X68,Trigger),"")</f>
        <v/>
      </c>
      <c r="AD68" s="184" t="e">
        <v>#N/A</v>
      </c>
    </row>
    <row r="69" spans="1:30" ht="11.25" customHeight="1" x14ac:dyDescent="0.2">
      <c r="A69" s="62" t="str">
        <f>Quote!L90</f>
        <v>SW</v>
      </c>
      <c r="B69" s="63" t="str">
        <f>Quote!M90</f>
        <v>16Y</v>
      </c>
      <c r="C69" s="64" t="s">
        <v>6</v>
      </c>
      <c r="D69" s="64" t="s">
        <v>8</v>
      </c>
      <c r="E69" s="64" t="s">
        <v>7</v>
      </c>
      <c r="F69" s="64" t="s">
        <v>132</v>
      </c>
      <c r="G69" s="64" t="str">
        <f t="shared" si="12"/>
        <v>Euribor1MMX#0006</v>
      </c>
      <c r="H69" s="62" t="str">
        <f>IF(ISBLANK(Quote!O90),"",Quote!O90)</f>
        <v>EUR1MSW16Y=#0006</v>
      </c>
      <c r="I69" s="62" t="str">
        <f>_xll.qlCompositeQuote(Currency&amp;"1M"&amp;A69&amp;B69&amp;"_Shifted",H69,BumpValue,"+",Permanent,Trigger,ObjectOverwrite)</f>
        <v>EUR1MSW16Y_Shifted#0006</v>
      </c>
      <c r="J69" s="128">
        <v>0</v>
      </c>
      <c r="K69" s="67" t="str">
        <f>_xll.qlSwapRateHelper2(,IF(Sensitivity,I69,H69),2,B69,Calendar,+D69,E69,F69,G69,J69,C69,Discounting,PillarDate,,Permanent,Trigger,ObjectOverwrite)</f>
        <v>obj_003da#0006</v>
      </c>
      <c r="M69" s="162" t="str">
        <f t="shared" si="10"/>
        <v>SW</v>
      </c>
      <c r="N69" s="141" t="str">
        <f t="shared" si="11"/>
        <v>obj_0037a#0006</v>
      </c>
      <c r="O69" s="141" t="str">
        <f>IFERROR(_xll.qlRateHelperQuoteName(N69,Trigger),"--")</f>
        <v>EUR1MSW20Y_Shifted</v>
      </c>
      <c r="P69" s="99">
        <f>IFERROR(_xll.qlRateHelperQuoteValue($N69,Trigger),"--")</f>
        <v>1.0489999999999999E-2</v>
      </c>
      <c r="Q69" s="141" t="b">
        <v>1</v>
      </c>
      <c r="R69" s="141">
        <v>40</v>
      </c>
      <c r="S69" s="141">
        <v>1</v>
      </c>
      <c r="T69" s="100">
        <f>IFERROR(_xll.qlRateHelperEarliestDate(N69,Trigger),"--")</f>
        <v>42748</v>
      </c>
      <c r="U69" s="100">
        <f>IFERROR(_xll.qlRateHelperPillarDate(N69,Trigger),"--")</f>
        <v>50053</v>
      </c>
      <c r="W69" s="162" t="str">
        <f t="shared" si="13"/>
        <v/>
      </c>
      <c r="X69" s="162" t="e">
        <v>#N/A</v>
      </c>
      <c r="Y69" s="162" t="str">
        <f>IFERROR(_xll.qlRateHelperQuoteName(X69,Trigger),"")</f>
        <v/>
      </c>
      <c r="Z69" s="184" t="str">
        <f>IFERROR(_xll.qlRateHelperRate(X69,Trigger),"")</f>
        <v/>
      </c>
      <c r="AA69" s="185" t="str">
        <f>IF(ISERROR(_xll.qlSwapRateHelperSpread($X69)),IF(ISERROR(_xll.qlFuturesRateHelperConvexityAdjustment($X69)),"",_xll.qlFuturesRateHelperConvexityAdjustment($X69)),_xll.qlSwapRateHelperSpread($X69))</f>
        <v/>
      </c>
      <c r="AB69" s="163" t="str">
        <f>IFERROR(_xll.qlRateHelperEarliestDate(X69,Trigger),"")</f>
        <v/>
      </c>
      <c r="AC69" s="163" t="str">
        <f>IFERROR(_xll.qlRateHelperPillarDate(X69,Trigger),"")</f>
        <v/>
      </c>
      <c r="AD69" s="184" t="e">
        <v>#N/A</v>
      </c>
    </row>
    <row r="70" spans="1:30" ht="11.25" customHeight="1" x14ac:dyDescent="0.2">
      <c r="A70" s="62" t="str">
        <f>Quote!L91</f>
        <v>SW</v>
      </c>
      <c r="B70" s="63" t="str">
        <f>Quote!M91</f>
        <v>17Y</v>
      </c>
      <c r="C70" s="64" t="s">
        <v>6</v>
      </c>
      <c r="D70" s="64" t="s">
        <v>8</v>
      </c>
      <c r="E70" s="64" t="s">
        <v>7</v>
      </c>
      <c r="F70" s="64" t="s">
        <v>132</v>
      </c>
      <c r="G70" s="64" t="str">
        <f t="shared" si="12"/>
        <v>Euribor1MMX#0006</v>
      </c>
      <c r="H70" s="62" t="str">
        <f>IF(ISBLANK(Quote!O91),"",Quote!O91)</f>
        <v>EUR1MSW17Y=#0006</v>
      </c>
      <c r="I70" s="62" t="str">
        <f>_xll.qlCompositeQuote(Currency&amp;"1M"&amp;A70&amp;B70&amp;"_Shifted",H70,BumpValue,"+",Permanent,Trigger,ObjectOverwrite)</f>
        <v>EUR1MSW17Y_Shifted#0006</v>
      </c>
      <c r="J70" s="128">
        <v>0</v>
      </c>
      <c r="K70" s="67" t="str">
        <f>_xll.qlSwapRateHelper2(,IF(Sensitivity,I70,H70),2,B70,Calendar,+D70,E70,F70,G70,J70,C70,Discounting,PillarDate,,Permanent,Trigger,ObjectOverwrite)</f>
        <v>obj_00348#0006</v>
      </c>
      <c r="M70" s="162" t="str">
        <f t="shared" si="10"/>
        <v>SW</v>
      </c>
      <c r="N70" s="141" t="str">
        <f t="shared" si="11"/>
        <v>obj_00363#0006</v>
      </c>
      <c r="O70" s="141" t="str">
        <f>IFERROR(_xll.qlRateHelperQuoteName(N70,Trigger),"--")</f>
        <v>EUR1MSW21Y_Shifted</v>
      </c>
      <c r="P70" s="99">
        <f>IFERROR(_xll.qlRateHelperQuoteValue($N70,Trigger),"--")</f>
        <v>1.068656053E-2</v>
      </c>
      <c r="Q70" s="141" t="b">
        <v>1</v>
      </c>
      <c r="R70" s="141">
        <v>40</v>
      </c>
      <c r="S70" s="141">
        <v>1</v>
      </c>
      <c r="T70" s="100">
        <f>IFERROR(_xll.qlRateHelperEarliestDate(N70,Trigger),"--")</f>
        <v>42748</v>
      </c>
      <c r="U70" s="100">
        <f>IFERROR(_xll.qlRateHelperPillarDate(N70,Trigger),"--")</f>
        <v>50418</v>
      </c>
      <c r="W70" s="162" t="str">
        <f t="shared" si="13"/>
        <v/>
      </c>
      <c r="X70" s="162" t="e">
        <v>#N/A</v>
      </c>
      <c r="Y70" s="162" t="str">
        <f>IFERROR(_xll.qlRateHelperQuoteName(X70,Trigger),"")</f>
        <v/>
      </c>
      <c r="Z70" s="184" t="str">
        <f>IFERROR(_xll.qlRateHelperRate(X70,Trigger),"")</f>
        <v/>
      </c>
      <c r="AA70" s="185" t="str">
        <f>IF(ISERROR(_xll.qlSwapRateHelperSpread($X70)),IF(ISERROR(_xll.qlFuturesRateHelperConvexityAdjustment($X70)),"",_xll.qlFuturesRateHelperConvexityAdjustment($X70)),_xll.qlSwapRateHelperSpread($X70))</f>
        <v/>
      </c>
      <c r="AB70" s="163" t="str">
        <f>IFERROR(_xll.qlRateHelperEarliestDate(X70,Trigger),"")</f>
        <v/>
      </c>
      <c r="AC70" s="163" t="str">
        <f>IFERROR(_xll.qlRateHelperPillarDate(X70,Trigger),"")</f>
        <v/>
      </c>
      <c r="AD70" s="184" t="e">
        <v>#N/A</v>
      </c>
    </row>
    <row r="71" spans="1:30" ht="11.25" customHeight="1" x14ac:dyDescent="0.2">
      <c r="A71" s="62" t="str">
        <f>Quote!L92</f>
        <v>SW</v>
      </c>
      <c r="B71" s="63" t="str">
        <f>Quote!M92</f>
        <v>18Y</v>
      </c>
      <c r="C71" s="64" t="s">
        <v>6</v>
      </c>
      <c r="D71" s="64" t="s">
        <v>8</v>
      </c>
      <c r="E71" s="64" t="s">
        <v>7</v>
      </c>
      <c r="F71" s="64" t="s">
        <v>132</v>
      </c>
      <c r="G71" s="64" t="str">
        <f t="shared" si="12"/>
        <v>Euribor1MMX#0006</v>
      </c>
      <c r="H71" s="62" t="str">
        <f>IF(ISBLANK(Quote!O92),"",Quote!O92)</f>
        <v>EUR1MSW18Y=#0006</v>
      </c>
      <c r="I71" s="62" t="str">
        <f>_xll.qlCompositeQuote(Currency&amp;"1M"&amp;A71&amp;B71&amp;"_Shifted",H71,BumpValue,"+",Permanent,Trigger,ObjectOverwrite)</f>
        <v>EUR1MSW18Y_Shifted#0006</v>
      </c>
      <c r="J71" s="128">
        <v>0</v>
      </c>
      <c r="K71" s="67" t="str">
        <f>_xll.qlSwapRateHelper2(,IF(Sensitivity,I71,H71),2,B71,Calendar,+D71,E71,F71,G71,J71,C71,Discounting,PillarDate,,Permanent,Trigger,ObjectOverwrite)</f>
        <v>obj_0034f#0006</v>
      </c>
      <c r="M71" s="162" t="str">
        <f t="shared" si="10"/>
        <v>SW</v>
      </c>
      <c r="N71" s="141" t="str">
        <f t="shared" si="11"/>
        <v>obj_00367#0006</v>
      </c>
      <c r="O71" s="141" t="str">
        <f>IFERROR(_xll.qlRateHelperQuoteName(N71,Trigger),"--")</f>
        <v>EUR1MSW22Y_Shifted</v>
      </c>
      <c r="P71" s="99">
        <f>IFERROR(_xll.qlRateHelperQuoteValue($N71,Trigger),"--")</f>
        <v>1.0848613220000001E-2</v>
      </c>
      <c r="Q71" s="141" t="b">
        <v>1</v>
      </c>
      <c r="R71" s="141">
        <v>40</v>
      </c>
      <c r="S71" s="141">
        <v>1</v>
      </c>
      <c r="T71" s="100">
        <f>IFERROR(_xll.qlRateHelperEarliestDate(N71,Trigger),"--")</f>
        <v>42748</v>
      </c>
      <c r="U71" s="100">
        <f>IFERROR(_xll.qlRateHelperPillarDate(N71,Trigger),"--")</f>
        <v>50783</v>
      </c>
      <c r="W71" s="162" t="str">
        <f t="shared" si="13"/>
        <v/>
      </c>
      <c r="X71" s="162" t="e">
        <v>#N/A</v>
      </c>
      <c r="Y71" s="162" t="str">
        <f>IFERROR(_xll.qlRateHelperQuoteName(X71,Trigger),"")</f>
        <v/>
      </c>
      <c r="Z71" s="184" t="str">
        <f>IFERROR(_xll.qlRateHelperRate(X71,Trigger),"")</f>
        <v/>
      </c>
      <c r="AA71" s="185" t="str">
        <f>IF(ISERROR(_xll.qlSwapRateHelperSpread($X71)),IF(ISERROR(_xll.qlFuturesRateHelperConvexityAdjustment($X71)),"",_xll.qlFuturesRateHelperConvexityAdjustment($X71)),_xll.qlSwapRateHelperSpread($X71))</f>
        <v/>
      </c>
      <c r="AB71" s="163" t="str">
        <f>IFERROR(_xll.qlRateHelperEarliestDate(X71,Trigger),"")</f>
        <v/>
      </c>
      <c r="AC71" s="163" t="str">
        <f>IFERROR(_xll.qlRateHelperPillarDate(X71,Trigger),"")</f>
        <v/>
      </c>
      <c r="AD71" s="184" t="e">
        <v>#N/A</v>
      </c>
    </row>
    <row r="72" spans="1:30" ht="11.25" customHeight="1" x14ac:dyDescent="0.2">
      <c r="A72" s="62" t="str">
        <f>Quote!L93</f>
        <v>SW</v>
      </c>
      <c r="B72" s="63" t="str">
        <f>Quote!M93</f>
        <v>19Y</v>
      </c>
      <c r="C72" s="64" t="s">
        <v>6</v>
      </c>
      <c r="D72" s="64" t="s">
        <v>8</v>
      </c>
      <c r="E72" s="64" t="s">
        <v>7</v>
      </c>
      <c r="F72" s="64" t="s">
        <v>132</v>
      </c>
      <c r="G72" s="64" t="str">
        <f t="shared" si="12"/>
        <v>Euribor1MMX#0006</v>
      </c>
      <c r="H72" s="62" t="str">
        <f>IF(ISBLANK(Quote!O93),"",Quote!O93)</f>
        <v>EUR1MSW19Y=#0006</v>
      </c>
      <c r="I72" s="62" t="str">
        <f>_xll.qlCompositeQuote(Currency&amp;"1M"&amp;A72&amp;B72&amp;"_Shifted",H72,BumpValue,"+",Permanent,Trigger,ObjectOverwrite)</f>
        <v>EUR1MSW19Y_Shifted#0006</v>
      </c>
      <c r="J72" s="128">
        <v>0</v>
      </c>
      <c r="K72" s="67" t="str">
        <f>_xll.qlSwapRateHelper2(,IF(Sensitivity,I72,H72),2,B72,Calendar,+D72,E72,F72,G72,J72,C72,Discounting,PillarDate,,Permanent,Trigger,ObjectOverwrite)</f>
        <v>obj_00392#0006</v>
      </c>
      <c r="M72" s="162" t="str">
        <f t="shared" si="10"/>
        <v>SW</v>
      </c>
      <c r="N72" s="141" t="str">
        <f t="shared" si="11"/>
        <v>obj_003d6#0006</v>
      </c>
      <c r="O72" s="141" t="str">
        <f>IFERROR(_xll.qlRateHelperQuoteName(N72,Trigger),"--")</f>
        <v>EUR1MSW23Y_Shifted</v>
      </c>
      <c r="P72" s="99">
        <f>IFERROR(_xll.qlRateHelperQuoteValue($N72,Trigger),"--")</f>
        <v>1.0982325189999999E-2</v>
      </c>
      <c r="Q72" s="141" t="b">
        <v>1</v>
      </c>
      <c r="R72" s="141">
        <v>40</v>
      </c>
      <c r="S72" s="141">
        <v>1</v>
      </c>
      <c r="T72" s="100">
        <f>IFERROR(_xll.qlRateHelperEarliestDate(N72,Trigger),"--")</f>
        <v>42748</v>
      </c>
      <c r="U72" s="100">
        <f>IFERROR(_xll.qlRateHelperPillarDate(N72,Trigger),"--")</f>
        <v>51148</v>
      </c>
      <c r="W72" s="162" t="str">
        <f t="shared" si="13"/>
        <v/>
      </c>
      <c r="X72" s="162" t="e">
        <v>#N/A</v>
      </c>
      <c r="Y72" s="162" t="str">
        <f>IFERROR(_xll.qlRateHelperQuoteName(X72,Trigger),"")</f>
        <v/>
      </c>
      <c r="Z72" s="184" t="str">
        <f>IFERROR(_xll.qlRateHelperRate(X72,Trigger),"")</f>
        <v/>
      </c>
      <c r="AA72" s="185" t="str">
        <f>IF(ISERROR(_xll.qlSwapRateHelperSpread($X72)),IF(ISERROR(_xll.qlFuturesRateHelperConvexityAdjustment($X72)),"",_xll.qlFuturesRateHelperConvexityAdjustment($X72)),_xll.qlSwapRateHelperSpread($X72))</f>
        <v/>
      </c>
      <c r="AB72" s="163" t="str">
        <f>IFERROR(_xll.qlRateHelperEarliestDate(X72,Trigger),"")</f>
        <v/>
      </c>
      <c r="AC72" s="163" t="str">
        <f>IFERROR(_xll.qlRateHelperPillarDate(X72,Trigger),"")</f>
        <v/>
      </c>
      <c r="AD72" s="184" t="e">
        <v>#N/A</v>
      </c>
    </row>
    <row r="73" spans="1:30" ht="11.25" customHeight="1" x14ac:dyDescent="0.2">
      <c r="A73" s="62" t="str">
        <f>Quote!L94</f>
        <v>SW</v>
      </c>
      <c r="B73" s="63" t="str">
        <f>Quote!M94</f>
        <v>20Y</v>
      </c>
      <c r="C73" s="64" t="s">
        <v>6</v>
      </c>
      <c r="D73" s="64" t="s">
        <v>8</v>
      </c>
      <c r="E73" s="64" t="s">
        <v>7</v>
      </c>
      <c r="F73" s="64" t="s">
        <v>132</v>
      </c>
      <c r="G73" s="64" t="str">
        <f t="shared" si="12"/>
        <v>Euribor1MMX#0006</v>
      </c>
      <c r="H73" s="62" t="str">
        <f>IF(ISBLANK(Quote!O94),"",Quote!O94)</f>
        <v>EUR1MSW20Y=#0006</v>
      </c>
      <c r="I73" s="62" t="str">
        <f>_xll.qlCompositeQuote(Currency&amp;"1M"&amp;A73&amp;B73&amp;"_Shifted",H73,BumpValue,"+",Permanent,Trigger,ObjectOverwrite)</f>
        <v>EUR1MSW20Y_Shifted#0006</v>
      </c>
      <c r="J73" s="128">
        <v>0</v>
      </c>
      <c r="K73" s="67" t="str">
        <f>_xll.qlSwapRateHelper2(,IF(Sensitivity,I73,H73),2,B73,Calendar,+D73,E73,F73,G73,J73,C73,Discounting,PillarDate,,Permanent,Trigger,ObjectOverwrite)</f>
        <v>obj_0037a#0006</v>
      </c>
      <c r="M73" s="162" t="str">
        <f t="shared" si="10"/>
        <v>SW</v>
      </c>
      <c r="N73" s="141" t="str">
        <f t="shared" si="11"/>
        <v>obj_003b5#0006</v>
      </c>
      <c r="O73" s="141" t="str">
        <f>IFERROR(_xll.qlRateHelperQuoteName(N73,Trigger),"--")</f>
        <v>EUR1MSW24Y_Shifted</v>
      </c>
      <c r="P73" s="99">
        <f>IFERROR(_xll.qlRateHelperQuoteValue($N73,Trigger),"--")</f>
        <v>1.109534459E-2</v>
      </c>
      <c r="Q73" s="141" t="b">
        <v>1</v>
      </c>
      <c r="R73" s="141">
        <v>40</v>
      </c>
      <c r="S73" s="141">
        <v>1</v>
      </c>
      <c r="T73" s="100">
        <f>IFERROR(_xll.qlRateHelperEarliestDate(N73,Trigger),"--")</f>
        <v>42748</v>
      </c>
      <c r="U73" s="100">
        <f>IFERROR(_xll.qlRateHelperPillarDate(N73,Trigger),"--")</f>
        <v>51515</v>
      </c>
      <c r="W73" s="162" t="str">
        <f t="shared" si="13"/>
        <v/>
      </c>
      <c r="X73" s="162" t="e">
        <v>#N/A</v>
      </c>
      <c r="Y73" s="162" t="str">
        <f>IFERROR(_xll.qlRateHelperQuoteName(X73,Trigger),"")</f>
        <v/>
      </c>
      <c r="Z73" s="184" t="str">
        <f>IFERROR(_xll.qlRateHelperRate(X73,Trigger),"")</f>
        <v/>
      </c>
      <c r="AA73" s="185" t="str">
        <f>IF(ISERROR(_xll.qlSwapRateHelperSpread($X73)),IF(ISERROR(_xll.qlFuturesRateHelperConvexityAdjustment($X73)),"",_xll.qlFuturesRateHelperConvexityAdjustment($X73)),_xll.qlSwapRateHelperSpread($X73))</f>
        <v/>
      </c>
      <c r="AB73" s="163" t="str">
        <f>IFERROR(_xll.qlRateHelperEarliestDate(X73,Trigger),"")</f>
        <v/>
      </c>
      <c r="AC73" s="163" t="str">
        <f>IFERROR(_xll.qlRateHelperPillarDate(X73,Trigger),"")</f>
        <v/>
      </c>
      <c r="AD73" s="184" t="e">
        <v>#N/A</v>
      </c>
    </row>
    <row r="74" spans="1:30" ht="11.25" customHeight="1" x14ac:dyDescent="0.2">
      <c r="A74" s="62" t="str">
        <f>Quote!L95</f>
        <v>SW</v>
      </c>
      <c r="B74" s="63" t="str">
        <f>Quote!M95</f>
        <v>21Y</v>
      </c>
      <c r="C74" s="64" t="s">
        <v>6</v>
      </c>
      <c r="D74" s="64" t="s">
        <v>8</v>
      </c>
      <c r="E74" s="64" t="s">
        <v>7</v>
      </c>
      <c r="F74" s="64" t="s">
        <v>132</v>
      </c>
      <c r="G74" s="64" t="str">
        <f t="shared" si="12"/>
        <v>Euribor1MMX#0006</v>
      </c>
      <c r="H74" s="62" t="str">
        <f>IF(ISBLANK(Quote!O95),"",Quote!O95)</f>
        <v>EUR1MSW21Y=#0006</v>
      </c>
      <c r="I74" s="62" t="str">
        <f>_xll.qlCompositeQuote(Currency&amp;"1M"&amp;A74&amp;B74&amp;"_Shifted",H74,BumpValue,"+",Permanent,Trigger,ObjectOverwrite)</f>
        <v>EUR1MSW21Y_Shifted#0006</v>
      </c>
      <c r="J74" s="128">
        <v>0</v>
      </c>
      <c r="K74" s="67" t="str">
        <f>_xll.qlSwapRateHelper2(,IF(Sensitivity,I74,H74),2,B74,Calendar,+D74,E74,F74,G74,J74,C74,Discounting,PillarDate,,Permanent,Trigger,ObjectOverwrite)</f>
        <v>obj_00363#0006</v>
      </c>
      <c r="M74" s="162" t="str">
        <f t="shared" si="10"/>
        <v>SW</v>
      </c>
      <c r="N74" s="141" t="str">
        <f t="shared" si="11"/>
        <v>obj_003cf#0006</v>
      </c>
      <c r="O74" s="141" t="str">
        <f>IFERROR(_xll.qlRateHelperQuoteName(N74,Trigger),"--")</f>
        <v>EUR1MSW25Y_Shifted</v>
      </c>
      <c r="P74" s="99">
        <f>IFERROR(_xll.qlRateHelperQuoteValue($N74,Trigger),"--")</f>
        <v>1.119E-2</v>
      </c>
      <c r="Q74" s="141" t="b">
        <v>1</v>
      </c>
      <c r="R74" s="141">
        <v>40</v>
      </c>
      <c r="S74" s="141">
        <v>1</v>
      </c>
      <c r="T74" s="100">
        <f>IFERROR(_xll.qlRateHelperEarliestDate(N74,Trigger),"--")</f>
        <v>42748</v>
      </c>
      <c r="U74" s="100">
        <f>IFERROR(_xll.qlRateHelperPillarDate(N74,Trigger),"--")</f>
        <v>51879</v>
      </c>
      <c r="W74" s="162" t="str">
        <f t="shared" si="13"/>
        <v/>
      </c>
      <c r="X74" s="162" t="e">
        <v>#N/A</v>
      </c>
      <c r="Y74" s="162" t="str">
        <f>IFERROR(_xll.qlRateHelperQuoteName(X74,Trigger),"")</f>
        <v/>
      </c>
      <c r="Z74" s="184" t="str">
        <f>IFERROR(_xll.qlRateHelperRate(X74,Trigger),"")</f>
        <v/>
      </c>
      <c r="AA74" s="185" t="str">
        <f>IF(ISERROR(_xll.qlSwapRateHelperSpread($X74)),IF(ISERROR(_xll.qlFuturesRateHelperConvexityAdjustment($X74)),"",_xll.qlFuturesRateHelperConvexityAdjustment($X74)),_xll.qlSwapRateHelperSpread($X74))</f>
        <v/>
      </c>
      <c r="AB74" s="163" t="str">
        <f>IFERROR(_xll.qlRateHelperEarliestDate(X74,Trigger),"")</f>
        <v/>
      </c>
      <c r="AC74" s="163" t="str">
        <f>IFERROR(_xll.qlRateHelperPillarDate(X74,Trigger),"")</f>
        <v/>
      </c>
      <c r="AD74" s="184" t="e">
        <v>#N/A</v>
      </c>
    </row>
    <row r="75" spans="1:30" ht="11.25" customHeight="1" x14ac:dyDescent="0.2">
      <c r="A75" s="62" t="str">
        <f>Quote!L96</f>
        <v>SW</v>
      </c>
      <c r="B75" s="63" t="str">
        <f>Quote!M96</f>
        <v>22Y</v>
      </c>
      <c r="C75" s="64" t="s">
        <v>6</v>
      </c>
      <c r="D75" s="64" t="s">
        <v>8</v>
      </c>
      <c r="E75" s="64" t="s">
        <v>7</v>
      </c>
      <c r="F75" s="64" t="s">
        <v>132</v>
      </c>
      <c r="G75" s="64" t="str">
        <f t="shared" si="12"/>
        <v>Euribor1MMX#0006</v>
      </c>
      <c r="H75" s="62" t="str">
        <f>IF(ISBLANK(Quote!O96),"",Quote!O96)</f>
        <v>EUR1MSW22Y=#0006</v>
      </c>
      <c r="I75" s="62" t="str">
        <f>_xll.qlCompositeQuote(Currency&amp;"1M"&amp;A75&amp;B75&amp;"_Shifted",H75,BumpValue,"+",Permanent,Trigger,ObjectOverwrite)</f>
        <v>EUR1MSW22Y_Shifted#0006</v>
      </c>
      <c r="J75" s="128">
        <v>0</v>
      </c>
      <c r="K75" s="67" t="str">
        <f>_xll.qlSwapRateHelper2(,IF(Sensitivity,I75,H75),2,B75,Calendar,+D75,E75,F75,G75,J75,C75,Discounting,PillarDate,,Permanent,Trigger,ObjectOverwrite)</f>
        <v>obj_00367#0006</v>
      </c>
      <c r="M75" s="162" t="str">
        <f t="shared" si="10"/>
        <v>SW</v>
      </c>
      <c r="N75" s="141" t="str">
        <f t="shared" si="11"/>
        <v>obj_0032f#0006</v>
      </c>
      <c r="O75" s="141" t="str">
        <f>IFERROR(_xll.qlRateHelperQuoteName(N75,Trigger),"--")</f>
        <v>EUR1MSW26Y_Shifted</v>
      </c>
      <c r="P75" s="99">
        <f>IFERROR(_xll.qlRateHelperQuoteValue($N75,Trigger),"--")</f>
        <v>1.127360656E-2</v>
      </c>
      <c r="Q75" s="141" t="b">
        <v>1</v>
      </c>
      <c r="R75" s="141">
        <v>40</v>
      </c>
      <c r="S75" s="141">
        <v>1</v>
      </c>
      <c r="T75" s="100">
        <f>IFERROR(_xll.qlRateHelperEarliestDate(N75,Trigger),"--")</f>
        <v>42748</v>
      </c>
      <c r="U75" s="100">
        <f>IFERROR(_xll.qlRateHelperPillarDate(N75,Trigger),"--")</f>
        <v>52244</v>
      </c>
      <c r="W75" s="162" t="str">
        <f t="shared" si="13"/>
        <v/>
      </c>
      <c r="X75" s="162" t="e">
        <v>#N/A</v>
      </c>
      <c r="Y75" s="162" t="str">
        <f>IFERROR(_xll.qlRateHelperQuoteName(X75,Trigger),"")</f>
        <v/>
      </c>
      <c r="Z75" s="184" t="str">
        <f>IFERROR(_xll.qlRateHelperRate(X75,Trigger),"")</f>
        <v/>
      </c>
      <c r="AA75" s="185" t="str">
        <f>IF(ISERROR(_xll.qlSwapRateHelperSpread($X75)),IF(ISERROR(_xll.qlFuturesRateHelperConvexityAdjustment($X75)),"",_xll.qlFuturesRateHelperConvexityAdjustment($X75)),_xll.qlSwapRateHelperSpread($X75))</f>
        <v/>
      </c>
      <c r="AB75" s="163" t="str">
        <f>IFERROR(_xll.qlRateHelperEarliestDate(X75,Trigger),"")</f>
        <v/>
      </c>
      <c r="AC75" s="163" t="str">
        <f>IFERROR(_xll.qlRateHelperPillarDate(X75,Trigger),"")</f>
        <v/>
      </c>
      <c r="AD75" s="184" t="e">
        <v>#N/A</v>
      </c>
    </row>
    <row r="76" spans="1:30" ht="11.25" customHeight="1" x14ac:dyDescent="0.2">
      <c r="A76" s="62" t="str">
        <f>Quote!L97</f>
        <v>SW</v>
      </c>
      <c r="B76" s="63" t="str">
        <f>Quote!M97</f>
        <v>23Y</v>
      </c>
      <c r="C76" s="64" t="s">
        <v>6</v>
      </c>
      <c r="D76" s="64" t="s">
        <v>8</v>
      </c>
      <c r="E76" s="64" t="s">
        <v>7</v>
      </c>
      <c r="F76" s="64" t="s">
        <v>132</v>
      </c>
      <c r="G76" s="64" t="str">
        <f t="shared" si="12"/>
        <v>Euribor1MMX#0006</v>
      </c>
      <c r="H76" s="62" t="str">
        <f>IF(ISBLANK(Quote!O97),"",Quote!O97)</f>
        <v>EUR1MSW23Y=#0006</v>
      </c>
      <c r="I76" s="62" t="str">
        <f>_xll.qlCompositeQuote(Currency&amp;"1M"&amp;A76&amp;B76&amp;"_Shifted",H76,BumpValue,"+",Permanent,Trigger,ObjectOverwrite)</f>
        <v>EUR1MSW23Y_Shifted#0006</v>
      </c>
      <c r="J76" s="128">
        <v>0</v>
      </c>
      <c r="K76" s="67" t="str">
        <f>_xll.qlSwapRateHelper2(,IF(Sensitivity,I76,H76),2,B76,Calendar,+D76,E76,F76,G76,J76,C76,Discounting,PillarDate,,Permanent,Trigger,ObjectOverwrite)</f>
        <v>obj_003d6#0006</v>
      </c>
      <c r="M76" s="162" t="str">
        <f t="shared" si="10"/>
        <v>SW</v>
      </c>
      <c r="N76" s="141" t="str">
        <f t="shared" si="11"/>
        <v>obj_00350#0006</v>
      </c>
      <c r="O76" s="141" t="str">
        <f>IFERROR(_xll.qlRateHelperQuoteName(N76,Trigger),"--")</f>
        <v>EUR1MSW27Y_Shifted</v>
      </c>
      <c r="P76" s="99">
        <f>IFERROR(_xll.qlRateHelperQuoteValue($N76,Trigger),"--")</f>
        <v>1.1347977700000001E-2</v>
      </c>
      <c r="Q76" s="141" t="b">
        <v>1</v>
      </c>
      <c r="R76" s="141">
        <v>40</v>
      </c>
      <c r="S76" s="141">
        <v>1</v>
      </c>
      <c r="T76" s="100">
        <f>IFERROR(_xll.qlRateHelperEarliestDate(N76,Trigger),"--")</f>
        <v>42748</v>
      </c>
      <c r="U76" s="100">
        <f>IFERROR(_xll.qlRateHelperPillarDate(N76,Trigger),"--")</f>
        <v>52609</v>
      </c>
      <c r="W76" s="162" t="str">
        <f t="shared" si="13"/>
        <v/>
      </c>
      <c r="X76" s="162" t="e">
        <v>#N/A</v>
      </c>
      <c r="Y76" s="162" t="str">
        <f>IFERROR(_xll.qlRateHelperQuoteName(X76,Trigger),"")</f>
        <v/>
      </c>
      <c r="Z76" s="184" t="str">
        <f>IFERROR(_xll.qlRateHelperRate(X76,Trigger),"")</f>
        <v/>
      </c>
      <c r="AA76" s="185" t="str">
        <f>IF(ISERROR(_xll.qlSwapRateHelperSpread($X76)),IF(ISERROR(_xll.qlFuturesRateHelperConvexityAdjustment($X76)),"",_xll.qlFuturesRateHelperConvexityAdjustment($X76)),_xll.qlSwapRateHelperSpread($X76))</f>
        <v/>
      </c>
      <c r="AB76" s="163" t="str">
        <f>IFERROR(_xll.qlRateHelperEarliestDate(X76,Trigger),"")</f>
        <v/>
      </c>
      <c r="AC76" s="163" t="str">
        <f>IFERROR(_xll.qlRateHelperPillarDate(X76,Trigger),"")</f>
        <v/>
      </c>
      <c r="AD76" s="184" t="e">
        <v>#N/A</v>
      </c>
    </row>
    <row r="77" spans="1:30" ht="11.25" customHeight="1" x14ac:dyDescent="0.2">
      <c r="A77" s="62" t="str">
        <f>Quote!L98</f>
        <v>SW</v>
      </c>
      <c r="B77" s="63" t="str">
        <f>Quote!M98</f>
        <v>24Y</v>
      </c>
      <c r="C77" s="64" t="s">
        <v>6</v>
      </c>
      <c r="D77" s="64" t="s">
        <v>8</v>
      </c>
      <c r="E77" s="64" t="s">
        <v>7</v>
      </c>
      <c r="F77" s="64" t="s">
        <v>132</v>
      </c>
      <c r="G77" s="64" t="str">
        <f t="shared" si="12"/>
        <v>Euribor1MMX#0006</v>
      </c>
      <c r="H77" s="62" t="str">
        <f>IF(ISBLANK(Quote!O98),"",Quote!O98)</f>
        <v>EUR1MSW24Y=#0006</v>
      </c>
      <c r="I77" s="62" t="str">
        <f>_xll.qlCompositeQuote(Currency&amp;"1M"&amp;A77&amp;B77&amp;"_Shifted",H77,BumpValue,"+",Permanent,Trigger,ObjectOverwrite)</f>
        <v>EUR1MSW24Y_Shifted#0006</v>
      </c>
      <c r="J77" s="128">
        <v>0</v>
      </c>
      <c r="K77" s="67" t="str">
        <f>_xll.qlSwapRateHelper2(,IF(Sensitivity,I77,H77),2,B77,Calendar,+D77,E77,F77,G77,J77,C77,Discounting,PillarDate,,Permanent,Trigger,ObjectOverwrite)</f>
        <v>obj_003b5#0006</v>
      </c>
      <c r="M77" s="162" t="str">
        <f t="shared" si="10"/>
        <v>SW</v>
      </c>
      <c r="N77" s="141" t="str">
        <f t="shared" si="11"/>
        <v>obj_0039e#0006</v>
      </c>
      <c r="O77" s="141" t="str">
        <f>IFERROR(_xll.qlRateHelperQuoteName(N77,Trigger),"--")</f>
        <v>EUR1MSW28Y_Shifted</v>
      </c>
      <c r="P77" s="99">
        <f>IFERROR(_xll.qlRateHelperQuoteValue($N77,Trigger),"--")</f>
        <v>1.1415532050000001E-2</v>
      </c>
      <c r="Q77" s="141" t="b">
        <v>1</v>
      </c>
      <c r="R77" s="141">
        <v>40</v>
      </c>
      <c r="S77" s="141">
        <v>1</v>
      </c>
      <c r="T77" s="100">
        <f>IFERROR(_xll.qlRateHelperEarliestDate(N77,Trigger),"--")</f>
        <v>42748</v>
      </c>
      <c r="U77" s="100">
        <f>IFERROR(_xll.qlRateHelperPillarDate(N77,Trigger),"--")</f>
        <v>52975</v>
      </c>
      <c r="W77" s="162" t="str">
        <f t="shared" si="13"/>
        <v/>
      </c>
      <c r="X77" s="162" t="e">
        <v>#N/A</v>
      </c>
      <c r="Y77" s="162" t="str">
        <f>IFERROR(_xll.qlRateHelperQuoteName(X77,Trigger),"")</f>
        <v/>
      </c>
      <c r="Z77" s="184" t="str">
        <f>IFERROR(_xll.qlRateHelperRate(X77,Trigger),"")</f>
        <v/>
      </c>
      <c r="AA77" s="185" t="str">
        <f>IF(ISERROR(_xll.qlSwapRateHelperSpread($X77)),IF(ISERROR(_xll.qlFuturesRateHelperConvexityAdjustment($X77)),"",_xll.qlFuturesRateHelperConvexityAdjustment($X77)),_xll.qlSwapRateHelperSpread($X77))</f>
        <v/>
      </c>
      <c r="AB77" s="163" t="str">
        <f>IFERROR(_xll.qlRateHelperEarliestDate(X77,Trigger),"")</f>
        <v/>
      </c>
      <c r="AC77" s="163" t="str">
        <f>IFERROR(_xll.qlRateHelperPillarDate(X77,Trigger),"")</f>
        <v/>
      </c>
      <c r="AD77" s="184" t="e">
        <v>#N/A</v>
      </c>
    </row>
    <row r="78" spans="1:30" ht="11.25" customHeight="1" x14ac:dyDescent="0.2">
      <c r="A78" s="62" t="str">
        <f>Quote!L99</f>
        <v>SW</v>
      </c>
      <c r="B78" s="63" t="str">
        <f>Quote!M99</f>
        <v>25Y</v>
      </c>
      <c r="C78" s="64" t="s">
        <v>6</v>
      </c>
      <c r="D78" s="64" t="s">
        <v>8</v>
      </c>
      <c r="E78" s="64" t="s">
        <v>7</v>
      </c>
      <c r="F78" s="64" t="s">
        <v>132</v>
      </c>
      <c r="G78" s="64" t="str">
        <f t="shared" si="12"/>
        <v>Euribor1MMX#0006</v>
      </c>
      <c r="H78" s="62" t="str">
        <f>IF(ISBLANK(Quote!O99),"",Quote!O99)</f>
        <v>EUR1MSW25Y=#0006</v>
      </c>
      <c r="I78" s="62" t="str">
        <f>_xll.qlCompositeQuote(Currency&amp;"1M"&amp;A78&amp;B78&amp;"_Shifted",H78,BumpValue,"+",Permanent,Trigger,ObjectOverwrite)</f>
        <v>EUR1MSW25Y_Shifted#0006</v>
      </c>
      <c r="J78" s="128">
        <v>0</v>
      </c>
      <c r="K78" s="67" t="str">
        <f>_xll.qlSwapRateHelper2(,IF(Sensitivity,I78,H78),2,B78,Calendar,+D78,E78,F78,G78,J78,C78,Discounting,PillarDate,,Permanent,Trigger,ObjectOverwrite)</f>
        <v>obj_003cf#0006</v>
      </c>
      <c r="M78" s="162" t="str">
        <f t="shared" si="10"/>
        <v>SW</v>
      </c>
      <c r="N78" s="141" t="str">
        <f t="shared" si="11"/>
        <v>obj_003c9#0006</v>
      </c>
      <c r="O78" s="141" t="str">
        <f>IFERROR(_xll.qlRateHelperQuoteName(N78,Trigger),"--")</f>
        <v>EUR1MSW29Y_Shifted</v>
      </c>
      <c r="P78" s="99">
        <f>IFERROR(_xll.qlRateHelperQuoteValue($N78,Trigger),"--")</f>
        <v>1.1475656339999999E-2</v>
      </c>
      <c r="Q78" s="141" t="b">
        <v>1</v>
      </c>
      <c r="R78" s="141">
        <v>40</v>
      </c>
      <c r="S78" s="141">
        <v>1</v>
      </c>
      <c r="T78" s="100">
        <f>IFERROR(_xll.qlRateHelperEarliestDate(N78,Trigger),"--")</f>
        <v>42748</v>
      </c>
      <c r="U78" s="100">
        <f>IFERROR(_xll.qlRateHelperPillarDate(N78,Trigger),"--")</f>
        <v>53342</v>
      </c>
      <c r="W78" s="162" t="str">
        <f t="shared" si="13"/>
        <v/>
      </c>
      <c r="X78" s="162" t="e">
        <v>#N/A</v>
      </c>
      <c r="Y78" s="162" t="str">
        <f>IFERROR(_xll.qlRateHelperQuoteName(X78,Trigger),"")</f>
        <v/>
      </c>
      <c r="Z78" s="184" t="str">
        <f>IFERROR(_xll.qlRateHelperRate(X78,Trigger),"")</f>
        <v/>
      </c>
      <c r="AA78" s="185" t="str">
        <f>IF(ISERROR(_xll.qlSwapRateHelperSpread($X78)),IF(ISERROR(_xll.qlFuturesRateHelperConvexityAdjustment($X78)),"",_xll.qlFuturesRateHelperConvexityAdjustment($X78)),_xll.qlSwapRateHelperSpread($X78))</f>
        <v/>
      </c>
      <c r="AB78" s="163" t="str">
        <f>IFERROR(_xll.qlRateHelperEarliestDate(X78,Trigger),"")</f>
        <v/>
      </c>
      <c r="AC78" s="163" t="str">
        <f>IFERROR(_xll.qlRateHelperPillarDate(X78,Trigger),"")</f>
        <v/>
      </c>
      <c r="AD78" s="184" t="e">
        <v>#N/A</v>
      </c>
    </row>
    <row r="79" spans="1:30" ht="11.25" customHeight="1" x14ac:dyDescent="0.2">
      <c r="A79" s="62" t="str">
        <f>Quote!L100</f>
        <v>SW</v>
      </c>
      <c r="B79" s="63" t="str">
        <f>Quote!M100</f>
        <v>26Y</v>
      </c>
      <c r="C79" s="64" t="s">
        <v>6</v>
      </c>
      <c r="D79" s="64" t="s">
        <v>8</v>
      </c>
      <c r="E79" s="64" t="s">
        <v>7</v>
      </c>
      <c r="F79" s="64" t="s">
        <v>132</v>
      </c>
      <c r="G79" s="64" t="str">
        <f t="shared" si="12"/>
        <v>Euribor1MMX#0006</v>
      </c>
      <c r="H79" s="62" t="str">
        <f>IF(ISBLANK(Quote!O100),"",Quote!O100)</f>
        <v>EUR1MSW26Y=#0006</v>
      </c>
      <c r="I79" s="62" t="str">
        <f>_xll.qlCompositeQuote(Currency&amp;"1M"&amp;A79&amp;B79&amp;"_Shifted",H79,BumpValue,"+",Permanent,Trigger,ObjectOverwrite)</f>
        <v>EUR1MSW26Y_Shifted#0006</v>
      </c>
      <c r="J79" s="128">
        <v>0</v>
      </c>
      <c r="K79" s="67" t="str">
        <f>_xll.qlSwapRateHelper2(,IF(Sensitivity,I79,H79),2,B79,Calendar,+D79,E79,F79,G79,J79,C79,Discounting,PillarDate,,Permanent,Trigger,ObjectOverwrite)</f>
        <v>obj_0032f#0006</v>
      </c>
      <c r="M79" s="162" t="str">
        <f t="shared" si="10"/>
        <v>SW</v>
      </c>
      <c r="N79" s="141" t="str">
        <f t="shared" si="11"/>
        <v>obj_0037f#0006</v>
      </c>
      <c r="O79" s="141" t="str">
        <f>IFERROR(_xll.qlRateHelperQuoteName(N79,Trigger),"--")</f>
        <v>EUR1MSW30Y_Shifted</v>
      </c>
      <c r="P79" s="99">
        <f>IFERROR(_xll.qlRateHelperQuoteValue($N79,Trigger),"--")</f>
        <v>1.153E-2</v>
      </c>
      <c r="Q79" s="141" t="b">
        <v>1</v>
      </c>
      <c r="R79" s="141">
        <v>40</v>
      </c>
      <c r="S79" s="141">
        <v>1</v>
      </c>
      <c r="T79" s="100">
        <f>IFERROR(_xll.qlRateHelperEarliestDate(N79,Trigger),"--")</f>
        <v>42748</v>
      </c>
      <c r="U79" s="100">
        <f>IFERROR(_xll.qlRateHelperPillarDate(N79,Trigger),"--")</f>
        <v>53706</v>
      </c>
      <c r="W79" s="162" t="str">
        <f t="shared" si="13"/>
        <v/>
      </c>
      <c r="X79" s="162" t="e">
        <v>#N/A</v>
      </c>
      <c r="Y79" s="162" t="str">
        <f>IFERROR(_xll.qlRateHelperQuoteName(X79,Trigger),"")</f>
        <v/>
      </c>
      <c r="Z79" s="184" t="str">
        <f>IFERROR(_xll.qlRateHelperRate(X79,Trigger),"")</f>
        <v/>
      </c>
      <c r="AA79" s="185" t="str">
        <f>IF(ISERROR(_xll.qlSwapRateHelperSpread($X79)),IF(ISERROR(_xll.qlFuturesRateHelperConvexityAdjustment($X79)),"",_xll.qlFuturesRateHelperConvexityAdjustment($X79)),_xll.qlSwapRateHelperSpread($X79))</f>
        <v/>
      </c>
      <c r="AB79" s="163" t="str">
        <f>IFERROR(_xll.qlRateHelperEarliestDate(X79,Trigger),"")</f>
        <v/>
      </c>
      <c r="AC79" s="163" t="str">
        <f>IFERROR(_xll.qlRateHelperPillarDate(X79,Trigger),"")</f>
        <v/>
      </c>
      <c r="AD79" s="184" t="e">
        <v>#N/A</v>
      </c>
    </row>
    <row r="80" spans="1:30" ht="11.25" customHeight="1" x14ac:dyDescent="0.2">
      <c r="A80" s="62" t="str">
        <f>Quote!L101</f>
        <v>SW</v>
      </c>
      <c r="B80" s="63" t="str">
        <f>Quote!M101</f>
        <v>27Y</v>
      </c>
      <c r="C80" s="64" t="s">
        <v>6</v>
      </c>
      <c r="D80" s="64" t="s">
        <v>8</v>
      </c>
      <c r="E80" s="64" t="s">
        <v>7</v>
      </c>
      <c r="F80" s="64" t="s">
        <v>132</v>
      </c>
      <c r="G80" s="64" t="str">
        <f t="shared" si="12"/>
        <v>Euribor1MMX#0006</v>
      </c>
      <c r="H80" s="62" t="str">
        <f>IF(ISBLANK(Quote!O101),"",Quote!O101)</f>
        <v>EUR1MSW27Y=#0006</v>
      </c>
      <c r="I80" s="62" t="str">
        <f>_xll.qlCompositeQuote(Currency&amp;"1M"&amp;A80&amp;B80&amp;"_Shifted",H80,BumpValue,"+",Permanent,Trigger,ObjectOverwrite)</f>
        <v>EUR1MSW27Y_Shifted#0006</v>
      </c>
      <c r="J80" s="128">
        <v>0</v>
      </c>
      <c r="K80" s="67" t="str">
        <f>_xll.qlSwapRateHelper2(,IF(Sensitivity,I80,H80),2,B80,Calendar,+D80,E80,F80,G80,J80,C80,Discounting,PillarDate,,Permanent,Trigger,ObjectOverwrite)</f>
        <v>obj_00350#0006</v>
      </c>
      <c r="M80" s="162" t="str">
        <f t="shared" si="10"/>
        <v>SW</v>
      </c>
      <c r="N80" s="141" t="str">
        <f t="shared" si="11"/>
        <v>obj_003b1#0006</v>
      </c>
      <c r="O80" s="141" t="str">
        <f>IFERROR(_xll.qlRateHelperQuoteName(N80,Trigger),"--")</f>
        <v>EUR1MSW31Y_Shifted</v>
      </c>
      <c r="P80" s="99">
        <f>IFERROR(_xll.qlRateHelperQuoteValue($N80,Trigger),"--")</f>
        <v>1.1580017749999999E-2</v>
      </c>
      <c r="Q80" s="141" t="b">
        <v>1</v>
      </c>
      <c r="R80" s="141">
        <v>40</v>
      </c>
      <c r="S80" s="141">
        <v>1</v>
      </c>
      <c r="T80" s="100">
        <f>IFERROR(_xll.qlRateHelperEarliestDate(N80,Trigger),"--")</f>
        <v>42748</v>
      </c>
      <c r="U80" s="100">
        <f>IFERROR(_xll.qlRateHelperPillarDate(N80,Trigger),"--")</f>
        <v>54070</v>
      </c>
      <c r="W80" s="162" t="str">
        <f t="shared" si="13"/>
        <v/>
      </c>
      <c r="X80" s="162" t="e">
        <v>#N/A</v>
      </c>
      <c r="Y80" s="162" t="str">
        <f>IFERROR(_xll.qlRateHelperQuoteName(X80,Trigger),"")</f>
        <v/>
      </c>
      <c r="Z80" s="184" t="str">
        <f>IFERROR(_xll.qlRateHelperRate(X80,Trigger),"")</f>
        <v/>
      </c>
      <c r="AA80" s="185" t="str">
        <f>IF(ISERROR(_xll.qlSwapRateHelperSpread($X80)),IF(ISERROR(_xll.qlFuturesRateHelperConvexityAdjustment($X80)),"",_xll.qlFuturesRateHelperConvexityAdjustment($X80)),_xll.qlSwapRateHelperSpread($X80))</f>
        <v/>
      </c>
      <c r="AB80" s="163" t="str">
        <f>IFERROR(_xll.qlRateHelperEarliestDate(X80,Trigger),"")</f>
        <v/>
      </c>
      <c r="AC80" s="163" t="str">
        <f>IFERROR(_xll.qlRateHelperPillarDate(X80,Trigger),"")</f>
        <v/>
      </c>
      <c r="AD80" s="184" t="e">
        <v>#N/A</v>
      </c>
    </row>
    <row r="81" spans="1:30" x14ac:dyDescent="0.2">
      <c r="A81" s="62" t="str">
        <f>Quote!L102</f>
        <v>SW</v>
      </c>
      <c r="B81" s="63" t="str">
        <f>Quote!M102</f>
        <v>28Y</v>
      </c>
      <c r="C81" s="64" t="s">
        <v>6</v>
      </c>
      <c r="D81" s="64" t="s">
        <v>8</v>
      </c>
      <c r="E81" s="64" t="s">
        <v>7</v>
      </c>
      <c r="F81" s="64" t="s">
        <v>132</v>
      </c>
      <c r="G81" s="64" t="str">
        <f t="shared" si="12"/>
        <v>Euribor1MMX#0006</v>
      </c>
      <c r="H81" s="62" t="str">
        <f>IF(ISBLANK(Quote!O102),"",Quote!O102)</f>
        <v>EUR1MSW28Y=#0006</v>
      </c>
      <c r="I81" s="62" t="str">
        <f>_xll.qlCompositeQuote(Currency&amp;"1M"&amp;A81&amp;B81&amp;"_Shifted",H81,BumpValue,"+",Permanent,Trigger,ObjectOverwrite)</f>
        <v>EUR1MSW28Y_Shifted#0006</v>
      </c>
      <c r="J81" s="128">
        <v>0</v>
      </c>
      <c r="K81" s="67" t="str">
        <f>_xll.qlSwapRateHelper2(,IF(Sensitivity,I81,H81),2,B81,Calendar,+D81,E81,F81,G81,J81,C81,Discounting,PillarDate,,Permanent,Trigger,ObjectOverwrite)</f>
        <v>obj_0039e#0006</v>
      </c>
      <c r="M81" s="162" t="str">
        <f t="shared" si="10"/>
        <v>SW</v>
      </c>
      <c r="N81" s="141" t="str">
        <f t="shared" si="11"/>
        <v>obj_00389#0006</v>
      </c>
      <c r="O81" s="141" t="str">
        <f>IFERROR(_xll.qlRateHelperQuoteName(N81,Trigger),"--")</f>
        <v>EUR1MSW32Y_Shifted</v>
      </c>
      <c r="P81" s="99">
        <f>IFERROR(_xll.qlRateHelperQuoteValue($N81,Trigger),"--")</f>
        <v>1.1626530820000001E-2</v>
      </c>
      <c r="Q81" s="141" t="b">
        <v>1</v>
      </c>
      <c r="R81" s="141">
        <v>40</v>
      </c>
      <c r="S81" s="141">
        <v>1</v>
      </c>
      <c r="T81" s="100">
        <f>IFERROR(_xll.qlRateHelperEarliestDate(N81,Trigger),"--")</f>
        <v>42748</v>
      </c>
      <c r="U81" s="100">
        <f>IFERROR(_xll.qlRateHelperPillarDate(N81,Trigger),"--")</f>
        <v>54436</v>
      </c>
      <c r="W81" s="162" t="str">
        <f t="shared" si="13"/>
        <v/>
      </c>
      <c r="X81" s="162" t="e">
        <v>#N/A</v>
      </c>
      <c r="Y81" s="162" t="str">
        <f>IFERROR(_xll.qlRateHelperQuoteName(X81,Trigger),"")</f>
        <v/>
      </c>
      <c r="Z81" s="184" t="str">
        <f>IFERROR(_xll.qlRateHelperRate(X81,Trigger),"")</f>
        <v/>
      </c>
      <c r="AA81" s="185" t="str">
        <f>IF(ISERROR(_xll.qlSwapRateHelperSpread($X81)),IF(ISERROR(_xll.qlFuturesRateHelperConvexityAdjustment($X81)),"",_xll.qlFuturesRateHelperConvexityAdjustment($X81)),_xll.qlSwapRateHelperSpread($X81))</f>
        <v/>
      </c>
      <c r="AB81" s="163" t="str">
        <f>IFERROR(_xll.qlRateHelperEarliestDate(X81,Trigger),"")</f>
        <v/>
      </c>
      <c r="AC81" s="163" t="str">
        <f>IFERROR(_xll.qlRateHelperPillarDate(X81,Trigger),"")</f>
        <v/>
      </c>
      <c r="AD81" s="184" t="e">
        <v>#N/A</v>
      </c>
    </row>
    <row r="82" spans="1:30" x14ac:dyDescent="0.2">
      <c r="A82" s="62" t="str">
        <f>Quote!L103</f>
        <v>SW</v>
      </c>
      <c r="B82" s="63" t="str">
        <f>Quote!M103</f>
        <v>29Y</v>
      </c>
      <c r="C82" s="64" t="s">
        <v>6</v>
      </c>
      <c r="D82" s="64" t="s">
        <v>8</v>
      </c>
      <c r="E82" s="64" t="s">
        <v>7</v>
      </c>
      <c r="F82" s="64" t="s">
        <v>132</v>
      </c>
      <c r="G82" s="64" t="str">
        <f t="shared" si="12"/>
        <v>Euribor1MMX#0006</v>
      </c>
      <c r="H82" s="62" t="str">
        <f>IF(ISBLANK(Quote!O103),"",Quote!O103)</f>
        <v>EUR1MSW29Y=#0006</v>
      </c>
      <c r="I82" s="62" t="str">
        <f>_xll.qlCompositeQuote(Currency&amp;"1M"&amp;A82&amp;B82&amp;"_Shifted",H82,BumpValue,"+",Permanent,Trigger,ObjectOverwrite)</f>
        <v>EUR1MSW29Y_Shifted#0006</v>
      </c>
      <c r="J82" s="128">
        <v>0</v>
      </c>
      <c r="K82" s="67" t="str">
        <f>_xll.qlSwapRateHelper2(,IF(Sensitivity,I82,H82),2,B82,Calendar,+D82,E82,F82,G82,J82,C82,Discounting,PillarDate,,Permanent,Trigger,ObjectOverwrite)</f>
        <v>obj_003c9#0006</v>
      </c>
      <c r="M82" s="162" t="str">
        <f t="shared" si="10"/>
        <v>SW</v>
      </c>
      <c r="N82" s="141" t="str">
        <f t="shared" si="11"/>
        <v>obj_00351#0006</v>
      </c>
      <c r="O82" s="141" t="str">
        <f>IFERROR(_xll.qlRateHelperQuoteName(N82,Trigger),"--")</f>
        <v>EUR1MSW33Y_Shifted</v>
      </c>
      <c r="P82" s="99">
        <f>IFERROR(_xll.qlRateHelperQuoteValue($N82,Trigger),"--")</f>
        <v>1.1667050680000002E-2</v>
      </c>
      <c r="Q82" s="141" t="b">
        <v>1</v>
      </c>
      <c r="R82" s="141">
        <v>40</v>
      </c>
      <c r="S82" s="141">
        <v>1</v>
      </c>
      <c r="T82" s="100">
        <f>IFERROR(_xll.qlRateHelperEarliestDate(N82,Trigger),"--")</f>
        <v>42748</v>
      </c>
      <c r="U82" s="100">
        <f>IFERROR(_xll.qlRateHelperPillarDate(N82,Trigger),"--")</f>
        <v>54801</v>
      </c>
      <c r="W82" s="162" t="str">
        <f t="shared" si="13"/>
        <v/>
      </c>
      <c r="X82" s="162" t="e">
        <v>#N/A</v>
      </c>
      <c r="Y82" s="162" t="str">
        <f>IFERROR(_xll.qlRateHelperQuoteName(X82,Trigger),"")</f>
        <v/>
      </c>
      <c r="Z82" s="184" t="str">
        <f>IFERROR(_xll.qlRateHelperRate(X82,Trigger),"")</f>
        <v/>
      </c>
      <c r="AA82" s="185" t="str">
        <f>IF(ISERROR(_xll.qlSwapRateHelperSpread($X82)),IF(ISERROR(_xll.qlFuturesRateHelperConvexityAdjustment($X82)),"",_xll.qlFuturesRateHelperConvexityAdjustment($X82)),_xll.qlSwapRateHelperSpread($X82))</f>
        <v/>
      </c>
      <c r="AB82" s="163" t="str">
        <f>IFERROR(_xll.qlRateHelperEarliestDate(X82,Trigger),"")</f>
        <v/>
      </c>
      <c r="AC82" s="163" t="str">
        <f>IFERROR(_xll.qlRateHelperPillarDate(X82,Trigger),"")</f>
        <v/>
      </c>
      <c r="AD82" s="184" t="e">
        <v>#N/A</v>
      </c>
    </row>
    <row r="83" spans="1:30" x14ac:dyDescent="0.2">
      <c r="A83" s="62" t="str">
        <f>Quote!L104</f>
        <v>SW</v>
      </c>
      <c r="B83" s="63" t="str">
        <f>Quote!M104</f>
        <v>30Y</v>
      </c>
      <c r="C83" s="64" t="s">
        <v>6</v>
      </c>
      <c r="D83" s="64" t="s">
        <v>8</v>
      </c>
      <c r="E83" s="64" t="s">
        <v>7</v>
      </c>
      <c r="F83" s="64" t="s">
        <v>132</v>
      </c>
      <c r="G83" s="64" t="str">
        <f t="shared" si="12"/>
        <v>Euribor1MMX#0006</v>
      </c>
      <c r="H83" s="62" t="str">
        <f>IF(ISBLANK(Quote!O104),"",Quote!O104)</f>
        <v>EUR1MSW30Y=#0006</v>
      </c>
      <c r="I83" s="62" t="str">
        <f>_xll.qlCompositeQuote(Currency&amp;"1M"&amp;A83&amp;B83&amp;"_Shifted",H83,BumpValue,"+",Permanent,Trigger,ObjectOverwrite)</f>
        <v>EUR1MSW30Y_Shifted#0006</v>
      </c>
      <c r="J83" s="128">
        <v>0</v>
      </c>
      <c r="K83" s="67" t="str">
        <f>_xll.qlSwapRateHelper2(,IF(Sensitivity,I83,H83),2,B83,Calendar,+D83,E83,F83,G83,J83,C83,Discounting,PillarDate,,Permanent,Trigger,ObjectOverwrite)</f>
        <v>obj_0037f#0006</v>
      </c>
      <c r="M83" s="162" t="str">
        <f t="shared" si="10"/>
        <v>SW</v>
      </c>
      <c r="N83" s="141" t="str">
        <f t="shared" si="11"/>
        <v>obj_00338#0006</v>
      </c>
      <c r="O83" s="141" t="str">
        <f>IFERROR(_xll.qlRateHelperQuoteName(N83,Trigger),"--")</f>
        <v>EUR1MSW34Y_Shifted</v>
      </c>
      <c r="P83" s="99">
        <f>IFERROR(_xll.qlRateHelperQuoteValue($N83,Trigger),"--")</f>
        <v>1.170203394E-2</v>
      </c>
      <c r="Q83" s="141" t="b">
        <v>1</v>
      </c>
      <c r="R83" s="141">
        <v>40</v>
      </c>
      <c r="S83" s="141">
        <v>1</v>
      </c>
      <c r="T83" s="100">
        <f>IFERROR(_xll.qlRateHelperEarliestDate(N83,Trigger),"--")</f>
        <v>42748</v>
      </c>
      <c r="U83" s="100">
        <f>IFERROR(_xll.qlRateHelperPillarDate(N83,Trigger),"--")</f>
        <v>55166</v>
      </c>
      <c r="W83" s="162" t="str">
        <f t="shared" si="13"/>
        <v/>
      </c>
      <c r="X83" s="162" t="e">
        <v>#N/A</v>
      </c>
      <c r="Y83" s="162" t="str">
        <f>IFERROR(_xll.qlRateHelperQuoteName(X83,Trigger),"")</f>
        <v/>
      </c>
      <c r="Z83" s="184" t="str">
        <f>IFERROR(_xll.qlRateHelperRate(X83,Trigger),"")</f>
        <v/>
      </c>
      <c r="AA83" s="185" t="str">
        <f>IF(ISERROR(_xll.qlSwapRateHelperSpread($X83)),IF(ISERROR(_xll.qlFuturesRateHelperConvexityAdjustment($X83)),"",_xll.qlFuturesRateHelperConvexityAdjustment($X83)),_xll.qlSwapRateHelperSpread($X83))</f>
        <v/>
      </c>
      <c r="AB83" s="163" t="str">
        <f>IFERROR(_xll.qlRateHelperEarliestDate(X83,Trigger),"")</f>
        <v/>
      </c>
      <c r="AC83" s="163" t="str">
        <f>IFERROR(_xll.qlRateHelperPillarDate(X83,Trigger),"")</f>
        <v/>
      </c>
      <c r="AD83" s="184" t="e">
        <v>#N/A</v>
      </c>
    </row>
    <row r="84" spans="1:30" x14ac:dyDescent="0.2">
      <c r="A84" s="62" t="str">
        <f>Quote!L105</f>
        <v>SW</v>
      </c>
      <c r="B84" s="63" t="str">
        <f>Quote!M105</f>
        <v>31Y</v>
      </c>
      <c r="C84" s="64" t="s">
        <v>6</v>
      </c>
      <c r="D84" s="64" t="s">
        <v>8</v>
      </c>
      <c r="E84" s="64" t="s">
        <v>7</v>
      </c>
      <c r="F84" s="64" t="s">
        <v>132</v>
      </c>
      <c r="G84" s="64" t="str">
        <f t="shared" si="12"/>
        <v>Euribor1MMX#0006</v>
      </c>
      <c r="H84" s="62" t="str">
        <f>IF(ISBLANK(Quote!O105),"",Quote!O105)</f>
        <v>EUR1MSW31Y=#0006</v>
      </c>
      <c r="I84" s="62" t="str">
        <f>_xll.qlCompositeQuote(Currency&amp;"1M"&amp;A84&amp;B84&amp;"_Shifted",H84,BumpValue,"+",Permanent,Trigger,ObjectOverwrite)</f>
        <v>EUR1MSW31Y_Shifted#0006</v>
      </c>
      <c r="J84" s="128">
        <v>0</v>
      </c>
      <c r="K84" s="67" t="str">
        <f>_xll.qlSwapRateHelper2(,IF(Sensitivity,I84,H84),2,B84,Calendar,+D84,E84,F84,G84,J84,C84,Discounting,PillarDate,,Permanent,Trigger,ObjectOverwrite)</f>
        <v>obj_003b1#0006</v>
      </c>
      <c r="M84" s="162" t="str">
        <f t="shared" si="10"/>
        <v>SW</v>
      </c>
      <c r="N84" s="141" t="str">
        <f t="shared" si="11"/>
        <v>obj_0038b#0006</v>
      </c>
      <c r="O84" s="141" t="str">
        <f>IFERROR(_xll.qlRateHelperQuoteName(N84,Trigger),"--")</f>
        <v>EUR1MSW35Y_Shifted</v>
      </c>
      <c r="P84" s="99">
        <f>IFERROR(_xll.qlRateHelperQuoteValue($N84,Trigger),"--")</f>
        <v>1.1731128950000001E-2</v>
      </c>
      <c r="Q84" s="141" t="b">
        <v>1</v>
      </c>
      <c r="R84" s="141">
        <v>40</v>
      </c>
      <c r="S84" s="141">
        <v>1</v>
      </c>
      <c r="T84" s="100">
        <f>IFERROR(_xll.qlRateHelperEarliestDate(N84,Trigger),"--")</f>
        <v>42748</v>
      </c>
      <c r="U84" s="100">
        <f>IFERROR(_xll.qlRateHelperPillarDate(N84,Trigger),"--")</f>
        <v>55533</v>
      </c>
      <c r="W84" s="162" t="str">
        <f t="shared" si="13"/>
        <v/>
      </c>
      <c r="X84" s="162" t="e">
        <v>#N/A</v>
      </c>
      <c r="Y84" s="162" t="str">
        <f>IFERROR(_xll.qlRateHelperQuoteName(X84,Trigger),"")</f>
        <v/>
      </c>
      <c r="Z84" s="184" t="str">
        <f>IFERROR(_xll.qlRateHelperRate(X84,Trigger),"")</f>
        <v/>
      </c>
      <c r="AA84" s="185" t="str">
        <f>IF(ISERROR(_xll.qlSwapRateHelperSpread($X84)),IF(ISERROR(_xll.qlFuturesRateHelperConvexityAdjustment($X84)),"",_xll.qlFuturesRateHelperConvexityAdjustment($X84)),_xll.qlSwapRateHelperSpread($X84))</f>
        <v/>
      </c>
      <c r="AB84" s="163" t="str">
        <f>IFERROR(_xll.qlRateHelperEarliestDate(X84,Trigger),"")</f>
        <v/>
      </c>
      <c r="AC84" s="163" t="str">
        <f>IFERROR(_xll.qlRateHelperPillarDate(X84,Trigger),"")</f>
        <v/>
      </c>
      <c r="AD84" s="184" t="e">
        <v>#N/A</v>
      </c>
    </row>
    <row r="85" spans="1:30" x14ac:dyDescent="0.2">
      <c r="A85" s="62" t="str">
        <f>Quote!L106</f>
        <v>SW</v>
      </c>
      <c r="B85" s="63" t="str">
        <f>Quote!M106</f>
        <v>32Y</v>
      </c>
      <c r="C85" s="64" t="s">
        <v>6</v>
      </c>
      <c r="D85" s="64" t="s">
        <v>8</v>
      </c>
      <c r="E85" s="64" t="s">
        <v>7</v>
      </c>
      <c r="F85" s="64" t="s">
        <v>132</v>
      </c>
      <c r="G85" s="64" t="str">
        <f t="shared" si="12"/>
        <v>Euribor1MMX#0006</v>
      </c>
      <c r="H85" s="62" t="str">
        <f>IF(ISBLANK(Quote!O106),"",Quote!O106)</f>
        <v>EUR1MSW32Y=#0006</v>
      </c>
      <c r="I85" s="62" t="str">
        <f>_xll.qlCompositeQuote(Currency&amp;"1M"&amp;A85&amp;B85&amp;"_Shifted",H85,BumpValue,"+",Permanent,Trigger,ObjectOverwrite)</f>
        <v>EUR1MSW32Y_Shifted#0006</v>
      </c>
      <c r="J85" s="128">
        <v>0</v>
      </c>
      <c r="K85" s="67" t="str">
        <f>_xll.qlSwapRateHelper2(,IF(Sensitivity,I85,H85),2,B85,Calendar,+D85,E85,F85,G85,J85,C85,Discounting,PillarDate,,Permanent,Trigger,ObjectOverwrite)</f>
        <v>obj_00389#0006</v>
      </c>
      <c r="M85" s="162" t="str">
        <f t="shared" si="10"/>
        <v>SW</v>
      </c>
      <c r="N85" s="141" t="str">
        <f t="shared" si="11"/>
        <v>obj_00353#0006</v>
      </c>
      <c r="O85" s="141" t="str">
        <f>IFERROR(_xll.qlRateHelperQuoteName(N85,Trigger),"--")</f>
        <v>EUR1MSW36Y_Shifted</v>
      </c>
      <c r="P85" s="99">
        <f>IFERROR(_xll.qlRateHelperQuoteValue($N85,Trigger),"--")</f>
        <v>1.1754213810000001E-2</v>
      </c>
      <c r="Q85" s="141" t="b">
        <v>1</v>
      </c>
      <c r="R85" s="141">
        <v>40</v>
      </c>
      <c r="S85" s="141">
        <v>1</v>
      </c>
      <c r="T85" s="100">
        <f>IFERROR(_xll.qlRateHelperEarliestDate(N85,Trigger),"--")</f>
        <v>42748</v>
      </c>
      <c r="U85" s="100">
        <f>IFERROR(_xll.qlRateHelperPillarDate(N85,Trigger),"--")</f>
        <v>55897</v>
      </c>
      <c r="W85" s="162" t="str">
        <f t="shared" si="13"/>
        <v/>
      </c>
      <c r="X85" s="162" t="e">
        <v>#N/A</v>
      </c>
      <c r="Y85" s="162" t="str">
        <f>IFERROR(_xll.qlRateHelperQuoteName(X85,Trigger),"")</f>
        <v/>
      </c>
      <c r="Z85" s="184" t="str">
        <f>IFERROR(_xll.qlRateHelperRate(X85,Trigger),"")</f>
        <v/>
      </c>
      <c r="AA85" s="185" t="str">
        <f>IF(ISERROR(_xll.qlSwapRateHelperSpread($X85)),IF(ISERROR(_xll.qlFuturesRateHelperConvexityAdjustment($X85)),"",_xll.qlFuturesRateHelperConvexityAdjustment($X85)),_xll.qlSwapRateHelperSpread($X85))</f>
        <v/>
      </c>
      <c r="AB85" s="163" t="str">
        <f>IFERROR(_xll.qlRateHelperEarliestDate(X85,Trigger),"")</f>
        <v/>
      </c>
      <c r="AC85" s="163" t="str">
        <f>IFERROR(_xll.qlRateHelperPillarDate(X85,Trigger),"")</f>
        <v/>
      </c>
      <c r="AD85" s="184" t="e">
        <v>#N/A</v>
      </c>
    </row>
    <row r="86" spans="1:30" x14ac:dyDescent="0.2">
      <c r="A86" s="62" t="str">
        <f>Quote!L107</f>
        <v>SW</v>
      </c>
      <c r="B86" s="63" t="str">
        <f>Quote!M107</f>
        <v>33Y</v>
      </c>
      <c r="C86" s="64" t="s">
        <v>6</v>
      </c>
      <c r="D86" s="64" t="s">
        <v>8</v>
      </c>
      <c r="E86" s="64" t="s">
        <v>7</v>
      </c>
      <c r="F86" s="64" t="s">
        <v>132</v>
      </c>
      <c r="G86" s="64" t="str">
        <f t="shared" si="12"/>
        <v>Euribor1MMX#0006</v>
      </c>
      <c r="H86" s="62" t="str">
        <f>IF(ISBLANK(Quote!O107),"",Quote!O107)</f>
        <v>EUR1MSW33Y=#0006</v>
      </c>
      <c r="I86" s="62" t="str">
        <f>_xll.qlCompositeQuote(Currency&amp;"1M"&amp;A86&amp;B86&amp;"_Shifted",H86,BumpValue,"+",Permanent,Trigger,ObjectOverwrite)</f>
        <v>EUR1MSW33Y_Shifted#0006</v>
      </c>
      <c r="J86" s="128">
        <v>0</v>
      </c>
      <c r="K86" s="67" t="str">
        <f>_xll.qlSwapRateHelper2(,IF(Sensitivity,I86,H86),2,B86,Calendar,+D86,E86,F86,G86,J86,C86,Discounting,PillarDate,,Permanent,Trigger,ObjectOverwrite)</f>
        <v>obj_00351#0006</v>
      </c>
      <c r="M86" s="162" t="str">
        <f t="shared" si="10"/>
        <v>SW</v>
      </c>
      <c r="N86" s="141" t="str">
        <f t="shared" si="11"/>
        <v>obj_00345#0006</v>
      </c>
      <c r="O86" s="141" t="str">
        <f>IFERROR(_xll.qlRateHelperQuoteName(N86,Trigger),"--")</f>
        <v>EUR1MSW37Y_Shifted</v>
      </c>
      <c r="P86" s="99">
        <f>IFERROR(_xll.qlRateHelperQuoteValue($N86,Trigger),"--")</f>
        <v>1.1769676330000001E-2</v>
      </c>
      <c r="Q86" s="141" t="b">
        <v>1</v>
      </c>
      <c r="R86" s="141">
        <v>40</v>
      </c>
      <c r="S86" s="141">
        <v>1</v>
      </c>
      <c r="T86" s="100">
        <f>IFERROR(_xll.qlRateHelperEarliestDate(N86,Trigger),"--")</f>
        <v>42748</v>
      </c>
      <c r="U86" s="100">
        <f>IFERROR(_xll.qlRateHelperPillarDate(N86,Trigger),"--")</f>
        <v>56262</v>
      </c>
      <c r="W86" s="162" t="str">
        <f t="shared" si="13"/>
        <v/>
      </c>
      <c r="X86" s="162" t="e">
        <v>#N/A</v>
      </c>
      <c r="Y86" s="162" t="str">
        <f>IFERROR(_xll.qlRateHelperQuoteName(X86,Trigger),"")</f>
        <v/>
      </c>
      <c r="Z86" s="184" t="str">
        <f>IFERROR(_xll.qlRateHelperRate(X86,Trigger),"")</f>
        <v/>
      </c>
      <c r="AA86" s="185" t="str">
        <f>IF(ISERROR(_xll.qlSwapRateHelperSpread($X86)),IF(ISERROR(_xll.qlFuturesRateHelperConvexityAdjustment($X86)),"",_xll.qlFuturesRateHelperConvexityAdjustment($X86)),_xll.qlSwapRateHelperSpread($X86))</f>
        <v/>
      </c>
      <c r="AB86" s="163" t="str">
        <f>IFERROR(_xll.qlRateHelperEarliestDate(X86,Trigger),"")</f>
        <v/>
      </c>
      <c r="AC86" s="163" t="str">
        <f>IFERROR(_xll.qlRateHelperPillarDate(X86,Trigger),"")</f>
        <v/>
      </c>
      <c r="AD86" s="184" t="e">
        <v>#N/A</v>
      </c>
    </row>
    <row r="87" spans="1:30" x14ac:dyDescent="0.2">
      <c r="A87" s="62" t="str">
        <f>Quote!L108</f>
        <v>SW</v>
      </c>
      <c r="B87" s="63" t="str">
        <f>Quote!M108</f>
        <v>34Y</v>
      </c>
      <c r="C87" s="64" t="s">
        <v>6</v>
      </c>
      <c r="D87" s="64" t="s">
        <v>8</v>
      </c>
      <c r="E87" s="64" t="s">
        <v>7</v>
      </c>
      <c r="F87" s="64" t="s">
        <v>132</v>
      </c>
      <c r="G87" s="64" t="str">
        <f t="shared" si="12"/>
        <v>Euribor1MMX#0006</v>
      </c>
      <c r="H87" s="62" t="str">
        <f>IF(ISBLANK(Quote!O108),"",Quote!O108)</f>
        <v>EUR1MSW34Y=#0006</v>
      </c>
      <c r="I87" s="62" t="str">
        <f>_xll.qlCompositeQuote(Currency&amp;"1M"&amp;A87&amp;B87&amp;"_Shifted",H87,BumpValue,"+",Permanent,Trigger,ObjectOverwrite)</f>
        <v>EUR1MSW34Y_Shifted#0006</v>
      </c>
      <c r="J87" s="128">
        <v>0</v>
      </c>
      <c r="K87" s="67" t="str">
        <f>_xll.qlSwapRateHelper2(,IF(Sensitivity,I87,H87),2,B87,Calendar,+D87,E87,F87,G87,J87,C87,Discounting,PillarDate,,Permanent,Trigger,ObjectOverwrite)</f>
        <v>obj_00338#0006</v>
      </c>
      <c r="M87" s="162" t="str">
        <f t="shared" si="10"/>
        <v>SW</v>
      </c>
      <c r="N87" s="141" t="str">
        <f t="shared" si="11"/>
        <v>obj_003be#0006</v>
      </c>
      <c r="O87" s="141" t="str">
        <f>IFERROR(_xll.qlRateHelperQuoteName(N87,Trigger),"--")</f>
        <v>EUR1MSW38Y_Shifted</v>
      </c>
      <c r="P87" s="99">
        <f>IFERROR(_xll.qlRateHelperQuoteValue($N87,Trigger),"--")</f>
        <v>1.177769388E-2</v>
      </c>
      <c r="Q87" s="141" t="b">
        <v>1</v>
      </c>
      <c r="R87" s="141">
        <v>40</v>
      </c>
      <c r="S87" s="141">
        <v>1</v>
      </c>
      <c r="T87" s="100">
        <f>IFERROR(_xll.qlRateHelperEarliestDate(N87,Trigger),"--")</f>
        <v>42748</v>
      </c>
      <c r="U87" s="100">
        <f>IFERROR(_xll.qlRateHelperPillarDate(N87,Trigger),"--")</f>
        <v>56627</v>
      </c>
      <c r="W87" s="162" t="str">
        <f t="shared" si="13"/>
        <v/>
      </c>
      <c r="X87" s="162" t="e">
        <v>#N/A</v>
      </c>
      <c r="Y87" s="162" t="str">
        <f>IFERROR(_xll.qlRateHelperQuoteName(X87,Trigger),"")</f>
        <v/>
      </c>
      <c r="Z87" s="184" t="str">
        <f>IFERROR(_xll.qlRateHelperRate(X87,Trigger),"")</f>
        <v/>
      </c>
      <c r="AA87" s="185" t="str">
        <f>IF(ISERROR(_xll.qlSwapRateHelperSpread($X87)),IF(ISERROR(_xll.qlFuturesRateHelperConvexityAdjustment($X87)),"",_xll.qlFuturesRateHelperConvexityAdjustment($X87)),_xll.qlSwapRateHelperSpread($X87))</f>
        <v/>
      </c>
      <c r="AB87" s="163" t="str">
        <f>IFERROR(_xll.qlRateHelperEarliestDate(X87,Trigger),"")</f>
        <v/>
      </c>
      <c r="AC87" s="163" t="str">
        <f>IFERROR(_xll.qlRateHelperPillarDate(X87,Trigger),"")</f>
        <v/>
      </c>
      <c r="AD87" s="184" t="e">
        <v>#N/A</v>
      </c>
    </row>
    <row r="88" spans="1:30" x14ac:dyDescent="0.2">
      <c r="A88" s="62" t="str">
        <f>Quote!L109</f>
        <v>SW</v>
      </c>
      <c r="B88" s="63" t="str">
        <f>Quote!M109</f>
        <v>35Y</v>
      </c>
      <c r="C88" s="64" t="s">
        <v>6</v>
      </c>
      <c r="D88" s="64" t="s">
        <v>8</v>
      </c>
      <c r="E88" s="64" t="s">
        <v>7</v>
      </c>
      <c r="F88" s="64" t="s">
        <v>132</v>
      </c>
      <c r="G88" s="64" t="str">
        <f t="shared" si="12"/>
        <v>Euribor1MMX#0006</v>
      </c>
      <c r="H88" s="62" t="str">
        <f>IF(ISBLANK(Quote!O109),"",Quote!O109)</f>
        <v>EUR1MSW35Y=#0006</v>
      </c>
      <c r="I88" s="62" t="str">
        <f>_xll.qlCompositeQuote(Currency&amp;"1M"&amp;A88&amp;B88&amp;"_Shifted",H88,BumpValue,"+",Permanent,Trigger,ObjectOverwrite)</f>
        <v>EUR1MSW35Y_Shifted#0006</v>
      </c>
      <c r="J88" s="128">
        <v>0</v>
      </c>
      <c r="K88" s="67" t="str">
        <f>_xll.qlSwapRateHelper2(,IF(Sensitivity,I88,H88),2,B88,Calendar,+D88,E88,F88,G88,J88,C88,Discounting,PillarDate,,Permanent,Trigger,ObjectOverwrite)</f>
        <v>obj_0038b#0006</v>
      </c>
      <c r="M88" s="162" t="str">
        <f t="shared" si="10"/>
        <v>SW</v>
      </c>
      <c r="N88" s="141" t="str">
        <f t="shared" si="11"/>
        <v>obj_003ca#0006</v>
      </c>
      <c r="O88" s="141" t="str">
        <f>IFERROR(_xll.qlRateHelperQuoteName(N88,Trigger),"--")</f>
        <v>EUR1MSW39Y_Shifted</v>
      </c>
      <c r="P88" s="99">
        <f>IFERROR(_xll.qlRateHelperQuoteValue($N88,Trigger),"--")</f>
        <v>1.1777793940000001E-2</v>
      </c>
      <c r="Q88" s="141" t="b">
        <v>1</v>
      </c>
      <c r="R88" s="141">
        <v>40</v>
      </c>
      <c r="S88" s="141">
        <v>1</v>
      </c>
      <c r="T88" s="100">
        <f>IFERROR(_xll.qlRateHelperEarliestDate(N88,Trigger),"--")</f>
        <v>42748</v>
      </c>
      <c r="U88" s="100">
        <f>IFERROR(_xll.qlRateHelperPillarDate(N88,Trigger),"--")</f>
        <v>56992</v>
      </c>
      <c r="W88" s="162" t="str">
        <f t="shared" si="13"/>
        <v/>
      </c>
      <c r="X88" s="162" t="e">
        <v>#N/A</v>
      </c>
      <c r="Y88" s="162" t="str">
        <f>IFERROR(_xll.qlRateHelperQuoteName(X88,Trigger),"")</f>
        <v/>
      </c>
      <c r="Z88" s="184" t="str">
        <f>IFERROR(_xll.qlRateHelperRate(X88,Trigger),"")</f>
        <v/>
      </c>
      <c r="AA88" s="185" t="str">
        <f>IF(ISERROR(_xll.qlSwapRateHelperSpread($X88)),IF(ISERROR(_xll.qlFuturesRateHelperConvexityAdjustment($X88)),"",_xll.qlFuturesRateHelperConvexityAdjustment($X88)),_xll.qlSwapRateHelperSpread($X88))</f>
        <v/>
      </c>
      <c r="AB88" s="163" t="str">
        <f>IFERROR(_xll.qlRateHelperEarliestDate(X88,Trigger),"")</f>
        <v/>
      </c>
      <c r="AC88" s="163" t="str">
        <f>IFERROR(_xll.qlRateHelperPillarDate(X88,Trigger),"")</f>
        <v/>
      </c>
      <c r="AD88" s="184" t="e">
        <v>#N/A</v>
      </c>
    </row>
    <row r="89" spans="1:30" x14ac:dyDescent="0.2">
      <c r="A89" s="62" t="str">
        <f>Quote!L110</f>
        <v>SW</v>
      </c>
      <c r="B89" s="63" t="str">
        <f>Quote!M110</f>
        <v>36Y</v>
      </c>
      <c r="C89" s="64" t="s">
        <v>6</v>
      </c>
      <c r="D89" s="64" t="s">
        <v>8</v>
      </c>
      <c r="E89" s="64" t="s">
        <v>7</v>
      </c>
      <c r="F89" s="64" t="s">
        <v>132</v>
      </c>
      <c r="G89" s="64" t="str">
        <f t="shared" si="12"/>
        <v>Euribor1MMX#0006</v>
      </c>
      <c r="H89" s="62" t="str">
        <f>IF(ISBLANK(Quote!O110),"",Quote!O110)</f>
        <v>EUR1MSW36Y=#0006</v>
      </c>
      <c r="I89" s="62" t="str">
        <f>_xll.qlCompositeQuote(Currency&amp;"1M"&amp;A89&amp;B89&amp;"_Shifted",H89,BumpValue,"+",Permanent,Trigger,ObjectOverwrite)</f>
        <v>EUR1MSW36Y_Shifted#0006</v>
      </c>
      <c r="J89" s="128">
        <v>0</v>
      </c>
      <c r="K89" s="67" t="str">
        <f>_xll.qlSwapRateHelper2(,IF(Sensitivity,I89,H89),2,B89,Calendar,+D89,E89,F89,G89,J89,C89,Discounting,PillarDate,,Permanent,Trigger,ObjectOverwrite)</f>
        <v>obj_00353#0006</v>
      </c>
      <c r="M89" s="162" t="str">
        <f t="shared" si="10"/>
        <v>SW</v>
      </c>
      <c r="N89" s="141" t="str">
        <f t="shared" si="11"/>
        <v>obj_0033b#0006</v>
      </c>
      <c r="O89" s="141" t="str">
        <f>IFERROR(_xll.qlRateHelperQuoteName(N89,Trigger),"--")</f>
        <v>EUR1MSW40Y_Shifted</v>
      </c>
      <c r="P89" s="99">
        <f>IFERROR(_xll.qlRateHelperQuoteValue($N89,Trigger),"--")</f>
        <v>1.1770000000000001E-2</v>
      </c>
      <c r="Q89" s="141" t="b">
        <v>1</v>
      </c>
      <c r="R89" s="141">
        <v>40</v>
      </c>
      <c r="S89" s="141">
        <v>1</v>
      </c>
      <c r="T89" s="100">
        <f>IFERROR(_xll.qlRateHelperEarliestDate(N89,Trigger),"--")</f>
        <v>42748</v>
      </c>
      <c r="U89" s="100">
        <f>IFERROR(_xll.qlRateHelperPillarDate(N89,Trigger),"--")</f>
        <v>57360</v>
      </c>
      <c r="W89" s="162" t="str">
        <f t="shared" si="13"/>
        <v/>
      </c>
      <c r="X89" s="162" t="e">
        <v>#N/A</v>
      </c>
      <c r="Y89" s="162" t="str">
        <f>IFERROR(_xll.qlRateHelperQuoteName(X89,Trigger),"")</f>
        <v/>
      </c>
      <c r="Z89" s="184" t="str">
        <f>IFERROR(_xll.qlRateHelperRate(X89,Trigger),"")</f>
        <v/>
      </c>
      <c r="AA89" s="185" t="str">
        <f>IF(ISERROR(_xll.qlSwapRateHelperSpread($X89)),IF(ISERROR(_xll.qlFuturesRateHelperConvexityAdjustment($X89)),"",_xll.qlFuturesRateHelperConvexityAdjustment($X89)),_xll.qlSwapRateHelperSpread($X89))</f>
        <v/>
      </c>
      <c r="AB89" s="163" t="str">
        <f>IFERROR(_xll.qlRateHelperEarliestDate(X89,Trigger),"")</f>
        <v/>
      </c>
      <c r="AC89" s="163" t="str">
        <f>IFERROR(_xll.qlRateHelperPillarDate(X89,Trigger),"")</f>
        <v/>
      </c>
      <c r="AD89" s="184" t="e">
        <v>#N/A</v>
      </c>
    </row>
    <row r="90" spans="1:30" x14ac:dyDescent="0.2">
      <c r="A90" s="62" t="str">
        <f>Quote!L111</f>
        <v>SW</v>
      </c>
      <c r="B90" s="63" t="str">
        <f>Quote!M111</f>
        <v>37Y</v>
      </c>
      <c r="C90" s="64" t="s">
        <v>6</v>
      </c>
      <c r="D90" s="64" t="s">
        <v>8</v>
      </c>
      <c r="E90" s="64" t="s">
        <v>7</v>
      </c>
      <c r="F90" s="64" t="s">
        <v>132</v>
      </c>
      <c r="G90" s="64" t="str">
        <f t="shared" si="12"/>
        <v>Euribor1MMX#0006</v>
      </c>
      <c r="H90" s="62" t="str">
        <f>IF(ISBLANK(Quote!O111),"",Quote!O111)</f>
        <v>EUR1MSW37Y=#0006</v>
      </c>
      <c r="I90" s="62" t="str">
        <f>_xll.qlCompositeQuote(Currency&amp;"1M"&amp;A90&amp;B90&amp;"_Shifted",H90,BumpValue,"+",Permanent,Trigger,ObjectOverwrite)</f>
        <v>EUR1MSW37Y_Shifted#0006</v>
      </c>
      <c r="J90" s="128">
        <v>0</v>
      </c>
      <c r="K90" s="67" t="str">
        <f>_xll.qlSwapRateHelper2(,IF(Sensitivity,I90,H90),2,B90,Calendar,+D90,E90,F90,G90,J90,C90,Discounting,PillarDate,,Permanent,Trigger,ObjectOverwrite)</f>
        <v>obj_00345#0006</v>
      </c>
      <c r="L90" s="49" t="s">
        <v>34</v>
      </c>
      <c r="M90" s="162" t="str">
        <f t="shared" si="10"/>
        <v>SW</v>
      </c>
      <c r="N90" s="141" t="str">
        <f t="shared" si="11"/>
        <v>obj_003b7#0006</v>
      </c>
      <c r="O90" s="141" t="str">
        <f>IFERROR(_xll.qlRateHelperQuoteName(N90,Trigger),"--")</f>
        <v>EUR1MSW50Y_Shifted</v>
      </c>
      <c r="P90" s="99">
        <f>IFERROR(_xll.qlRateHelperQuoteValue($N90,Trigger),"--")</f>
        <v>1.141E-2</v>
      </c>
      <c r="Q90" s="141" t="b">
        <v>1</v>
      </c>
      <c r="R90" s="141">
        <v>40</v>
      </c>
      <c r="S90" s="141">
        <v>1</v>
      </c>
      <c r="T90" s="100">
        <f>IFERROR(_xll.qlRateHelperEarliestDate(N90,Trigger),"--")</f>
        <v>42748</v>
      </c>
      <c r="U90" s="100">
        <f>IFERROR(_xll.qlRateHelperPillarDate(N90,Trigger),"--")</f>
        <v>61010</v>
      </c>
      <c r="W90" s="162" t="str">
        <f t="shared" si="13"/>
        <v/>
      </c>
      <c r="X90" s="162" t="e">
        <v>#N/A</v>
      </c>
      <c r="Y90" s="162" t="str">
        <f>IFERROR(_xll.qlRateHelperQuoteName(X90,Trigger),"")</f>
        <v/>
      </c>
      <c r="Z90" s="184" t="str">
        <f>IFERROR(_xll.qlRateHelperRate(X90,Trigger),"")</f>
        <v/>
      </c>
      <c r="AA90" s="185" t="str">
        <f>IF(ISERROR(_xll.qlSwapRateHelperSpread($X90)),IF(ISERROR(_xll.qlFuturesRateHelperConvexityAdjustment($X90)),"",_xll.qlFuturesRateHelperConvexityAdjustment($X90)),_xll.qlSwapRateHelperSpread($X90))</f>
        <v/>
      </c>
      <c r="AB90" s="163" t="str">
        <f>IFERROR(_xll.qlRateHelperEarliestDate(X90,Trigger),"")</f>
        <v/>
      </c>
      <c r="AC90" s="163" t="str">
        <f>IFERROR(_xll.qlRateHelperPillarDate(X90,Trigger),"")</f>
        <v/>
      </c>
      <c r="AD90" s="184" t="e">
        <v>#N/A</v>
      </c>
    </row>
    <row r="91" spans="1:30" x14ac:dyDescent="0.2">
      <c r="A91" s="62" t="str">
        <f>Quote!L112</f>
        <v>SW</v>
      </c>
      <c r="B91" s="63" t="str">
        <f>Quote!M112</f>
        <v>38Y</v>
      </c>
      <c r="C91" s="64" t="s">
        <v>6</v>
      </c>
      <c r="D91" s="64" t="s">
        <v>8</v>
      </c>
      <c r="E91" s="64" t="s">
        <v>7</v>
      </c>
      <c r="F91" s="64" t="s">
        <v>132</v>
      </c>
      <c r="G91" s="64" t="str">
        <f t="shared" si="12"/>
        <v>Euribor1MMX#0006</v>
      </c>
      <c r="H91" s="62" t="str">
        <f>IF(ISBLANK(Quote!O112),"",Quote!O112)</f>
        <v>EUR1MSW38Y=#0006</v>
      </c>
      <c r="I91" s="62" t="str">
        <f>_xll.qlCompositeQuote(Currency&amp;"1M"&amp;A91&amp;B91&amp;"_Shifted",H91,BumpValue,"+",Permanent,Trigger,ObjectOverwrite)</f>
        <v>EUR1MSW38Y_Shifted#0006</v>
      </c>
      <c r="J91" s="128">
        <v>0</v>
      </c>
      <c r="K91" s="67" t="str">
        <f>_xll.qlSwapRateHelper2(,IF(Sensitivity,I91,H91),2,B91,Calendar,+D91,E91,F91,G91,J91,C91,Discounting,PillarDate,,Permanent,Trigger,ObjectOverwrite)</f>
        <v>obj_003be#0006</v>
      </c>
      <c r="M91" s="165" t="str">
        <f t="shared" si="10"/>
        <v>SW</v>
      </c>
      <c r="N91" s="144" t="str">
        <f t="shared" si="11"/>
        <v>obj_00378#0006</v>
      </c>
      <c r="O91" s="144" t="str">
        <f>IFERROR(_xll.qlRateHelperQuoteName(N91,Trigger),"--")</f>
        <v>EUR1MSW60Y_Shifted</v>
      </c>
      <c r="P91" s="102">
        <f>IFERROR(_xll.qlRateHelperQuoteValue($N91,Trigger),"--")</f>
        <v>1.1140000000000001E-2</v>
      </c>
      <c r="Q91" s="144" t="b">
        <v>1</v>
      </c>
      <c r="R91" s="144">
        <v>40</v>
      </c>
      <c r="S91" s="144">
        <v>1</v>
      </c>
      <c r="T91" s="103">
        <f>IFERROR(_xll.qlRateHelperEarliestDate(N91,Trigger),"--")</f>
        <v>42748</v>
      </c>
      <c r="U91" s="103">
        <f>IFERROR(_xll.qlRateHelperPillarDate(N91,Trigger),"--")</f>
        <v>64663</v>
      </c>
      <c r="W91" s="165" t="str">
        <f t="shared" si="13"/>
        <v/>
      </c>
      <c r="X91" s="165" t="e">
        <v>#N/A</v>
      </c>
      <c r="Y91" s="165" t="str">
        <f>IFERROR(_xll.qlRateHelperQuoteName(X91,Trigger),"")</f>
        <v/>
      </c>
      <c r="Z91" s="182" t="str">
        <f>IFERROR(_xll.qlRateHelperRate(X91,Trigger),"")</f>
        <v/>
      </c>
      <c r="AA91" s="183" t="str">
        <f>IF(ISERROR(_xll.qlSwapRateHelperSpread($X91)),IF(ISERROR(_xll.qlFuturesRateHelperConvexityAdjustment($X91)),"",_xll.qlFuturesRateHelperConvexityAdjustment($X91)),_xll.qlSwapRateHelperSpread($X91))</f>
        <v/>
      </c>
      <c r="AB91" s="166" t="str">
        <f>IFERROR(_xll.qlRateHelperEarliestDate(X91,Trigger),"")</f>
        <v/>
      </c>
      <c r="AC91" s="166" t="str">
        <f>IFERROR(_xll.qlRateHelperPillarDate(X91,Trigger),"")</f>
        <v/>
      </c>
      <c r="AD91" s="182" t="e">
        <v>#N/A</v>
      </c>
    </row>
    <row r="92" spans="1:30" x14ac:dyDescent="0.2">
      <c r="A92" s="62" t="str">
        <f>Quote!L113</f>
        <v>SW</v>
      </c>
      <c r="B92" s="63" t="str">
        <f>Quote!M113</f>
        <v>39Y</v>
      </c>
      <c r="C92" s="64" t="s">
        <v>6</v>
      </c>
      <c r="D92" s="64" t="s">
        <v>8</v>
      </c>
      <c r="E92" s="64" t="s">
        <v>7</v>
      </c>
      <c r="F92" s="64" t="s">
        <v>132</v>
      </c>
      <c r="G92" s="64" t="str">
        <f t="shared" si="12"/>
        <v>Euribor1MMX#0006</v>
      </c>
      <c r="H92" s="62" t="str">
        <f>IF(ISBLANK(Quote!O113),"",Quote!O113)</f>
        <v>EUR1MSW39Y=#0006</v>
      </c>
      <c r="I92" s="62" t="str">
        <f>_xll.qlCompositeQuote(Currency&amp;"1M"&amp;A92&amp;B92&amp;"_Shifted",H92,BumpValue,"+",Permanent,Trigger,ObjectOverwrite)</f>
        <v>EUR1MSW39Y_Shifted#0006</v>
      </c>
      <c r="J92" s="128">
        <v>0</v>
      </c>
      <c r="K92" s="67" t="str">
        <f>_xll.qlSwapRateHelper2(,IF(Sensitivity,I92,H92),2,B92,Calendar,+D92,E92,F92,G92,J92,C92,Discounting,PillarDate,,Permanent,Trigger,ObjectOverwrite)</f>
        <v>obj_003ca#0006</v>
      </c>
    </row>
    <row r="93" spans="1:30" x14ac:dyDescent="0.2">
      <c r="A93" s="62" t="str">
        <f>Quote!L114</f>
        <v>SW</v>
      </c>
      <c r="B93" s="63" t="str">
        <f>Quote!M114</f>
        <v>40Y</v>
      </c>
      <c r="C93" s="64" t="s">
        <v>6</v>
      </c>
      <c r="D93" s="64" t="s">
        <v>8</v>
      </c>
      <c r="E93" s="64" t="s">
        <v>7</v>
      </c>
      <c r="F93" s="64" t="s">
        <v>132</v>
      </c>
      <c r="G93" s="64" t="str">
        <f t="shared" si="12"/>
        <v>Euribor1MMX#0006</v>
      </c>
      <c r="H93" s="62" t="str">
        <f>IF(ISBLANK(Quote!O114),"",Quote!O114)</f>
        <v>EUR1MSW40Y=#0006</v>
      </c>
      <c r="I93" s="62" t="str">
        <f>_xll.qlCompositeQuote(Currency&amp;"1M"&amp;A93&amp;B93&amp;"_Shifted",H93,BumpValue,"+",Permanent,Trigger,ObjectOverwrite)</f>
        <v>EUR1MSW40Y_Shifted#0006</v>
      </c>
      <c r="J93" s="128">
        <v>0</v>
      </c>
      <c r="K93" s="67" t="str">
        <f>_xll.qlSwapRateHelper2(,IF(Sensitivity,I93,H93),2,B93,Calendar,+D93,E93,F93,G93,J93,C93,Discounting,PillarDate,,Permanent,Trigger,ObjectOverwrite)</f>
        <v>obj_0033b#0006</v>
      </c>
    </row>
    <row r="94" spans="1:30" x14ac:dyDescent="0.2">
      <c r="A94" s="62" t="str">
        <f>Quote!L115</f>
        <v>SW</v>
      </c>
      <c r="B94" s="63" t="str">
        <f>Quote!M115</f>
        <v>50Y</v>
      </c>
      <c r="C94" s="64" t="s">
        <v>6</v>
      </c>
      <c r="D94" s="64" t="s">
        <v>8</v>
      </c>
      <c r="E94" s="64" t="s">
        <v>7</v>
      </c>
      <c r="F94" s="64" t="s">
        <v>132</v>
      </c>
      <c r="G94" s="64" t="str">
        <f t="shared" si="12"/>
        <v>Euribor1MMX#0006</v>
      </c>
      <c r="H94" s="62" t="str">
        <f>IF(ISBLANK(Quote!O115),"",Quote!O115)</f>
        <v>EUR1MSW50Y=#0006</v>
      </c>
      <c r="I94" s="62" t="str">
        <f>_xll.qlCompositeQuote(Currency&amp;"1M"&amp;A94&amp;B94&amp;"_Shifted",H94,BumpValue,"+",Permanent,Trigger,ObjectOverwrite)</f>
        <v>EUR1MSW50Y_Shifted#0006</v>
      </c>
      <c r="J94" s="128">
        <v>0</v>
      </c>
      <c r="K94" s="67" t="str">
        <f>_xll.qlSwapRateHelper2(,IF(Sensitivity,I94,H94),2,B94,Calendar,+D94,E94,F94,G94,J94,C94,Discounting,PillarDate,,Permanent,Trigger,ObjectOverwrite)</f>
        <v>obj_003b7#0006</v>
      </c>
    </row>
    <row r="95" spans="1:30" x14ac:dyDescent="0.2">
      <c r="A95" s="1" t="str">
        <f>Quote!L116</f>
        <v>SW</v>
      </c>
      <c r="B95" s="8" t="str">
        <f>Quote!M116</f>
        <v>60Y</v>
      </c>
      <c r="C95" s="7" t="s">
        <v>6</v>
      </c>
      <c r="D95" s="7" t="s">
        <v>8</v>
      </c>
      <c r="E95" s="7" t="s">
        <v>7</v>
      </c>
      <c r="F95" s="7" t="s">
        <v>132</v>
      </c>
      <c r="G95" s="7" t="str">
        <f t="shared" si="12"/>
        <v>Euribor1MMX#0006</v>
      </c>
      <c r="H95" s="1" t="str">
        <f>IF(ISBLANK(Quote!O116),"",Quote!O116)</f>
        <v>EUR1MSW60Y=#0006</v>
      </c>
      <c r="I95" s="1" t="str">
        <f>_xll.qlCompositeQuote(Currency&amp;"1M"&amp;A95&amp;B95&amp;"_Shifted",H95,BumpValue,"+",Permanent,Trigger,ObjectOverwrite)</f>
        <v>EUR1MSW60Y_Shifted#0006</v>
      </c>
      <c r="J95" s="130">
        <v>0</v>
      </c>
      <c r="K95" s="3" t="str">
        <f>_xll.qlSwapRateHelper2(,IF(Sensitivity,I95,H95),2,B95,Calendar,+D95,E95,F95,G95,J95,C95,Discounting,PillarDate,,Permanent,Trigger,ObjectOverwrite)</f>
        <v>obj_00378#0006</v>
      </c>
    </row>
  </sheetData>
  <dataValidations count="5">
    <dataValidation type="list" allowBlank="1" showInputMessage="1" showErrorMessage="1" sqref="D23:D37 D40:D95">
      <formula1>"Annual,Semiannual,EveryFourthMonth,Quarterly,Bimonthly,Monthly,Biweekly,Weekly,Daily,Once,NoFrequency"</formula1>
    </dataValidation>
    <dataValidation type="list" allowBlank="1" showInputMessage="1" showErrorMessage="1" sqref="E3:E16 E23:E37 E40:E95">
      <formula1>"Following,Modified Following,Preceding,Modified Preceding,Unadjusted,Half-Month Modified Following"</formula1>
    </dataValidation>
    <dataValidation type="list" allowBlank="1" showInputMessage="1" showErrorMessage="1" sqref="F3:F16 F23:F37 F40:F9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AK8">
      <formula1>"true,false"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9"/>
  <sheetViews>
    <sheetView showGridLines="0" topLeftCell="L1" zoomScaleNormal="100" workbookViewId="0">
      <selection activeCell="AD1" sqref="AD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27.5703125" style="55" hidden="1" customWidth="1" outlineLevel="1"/>
    <col min="10" max="10" width="9" style="49" hidden="1" customWidth="1" outlineLevel="1"/>
    <col min="11" max="11" width="15.140625" style="49" hidden="1" customWidth="1" outlineLevel="1"/>
    <col min="12" max="12" width="2.7109375" style="49" customWidth="1" collapsed="1"/>
    <col min="13" max="13" width="6" style="49" hidden="1" customWidth="1" outlineLevel="1"/>
    <col min="14" max="14" width="15.140625" style="104" hidden="1" customWidth="1" outlineLevel="1"/>
    <col min="15" max="15" width="22.42578125" style="104" hidden="1" customWidth="1" outlineLevel="1"/>
    <col min="16" max="16" width="9.7109375" style="104" hidden="1" customWidth="1" outlineLevel="1"/>
    <col min="17" max="17" width="7.85546875" style="104" hidden="1" customWidth="1" outlineLevel="1"/>
    <col min="18" max="18" width="9" style="104" hidden="1" customWidth="1" outlineLevel="1"/>
    <col min="19" max="19" width="5.85546875" style="104" hidden="1" customWidth="1" outlineLevel="1"/>
    <col min="20" max="21" width="10.7109375" style="104" hidden="1" customWidth="1" outlineLevel="1"/>
    <col min="22" max="22" width="2.7109375" style="51" hidden="1" customWidth="1" outlineLevel="1"/>
    <col min="23" max="23" width="6" style="49" bestFit="1" customWidth="1" collapsed="1"/>
    <col min="24" max="24" width="10.140625" style="49" hidden="1" customWidth="1" outlineLevel="1"/>
    <col min="25" max="25" width="24.7109375" style="49" customWidth="1" collapsed="1"/>
    <col min="26" max="27" width="9.7109375" style="49" customWidth="1"/>
    <col min="28" max="29" width="17.28515625" style="49" bestFit="1" customWidth="1"/>
    <col min="30" max="30" width="10" style="49" bestFit="1" customWidth="1"/>
    <col min="31" max="31" width="2.7109375" style="49" customWidth="1"/>
    <col min="32" max="32" width="3" style="49" customWidth="1"/>
    <col min="33" max="33" width="24.42578125" style="49" bestFit="1" customWidth="1"/>
    <col min="34" max="34" width="9" style="49" bestFit="1" customWidth="1"/>
    <col min="35" max="16384" width="9.140625" style="49"/>
  </cols>
  <sheetData>
    <row r="1" spans="1:34" ht="18" customHeight="1" x14ac:dyDescent="0.2">
      <c r="G1" s="53" t="s">
        <v>27</v>
      </c>
      <c r="H1" s="53"/>
      <c r="I1" s="53"/>
      <c r="M1" s="70" t="s">
        <v>25</v>
      </c>
      <c r="N1" s="107"/>
      <c r="O1" s="107"/>
      <c r="P1" s="107"/>
      <c r="Q1" s="107"/>
      <c r="R1" s="107"/>
      <c r="S1" s="107"/>
      <c r="T1" s="107"/>
      <c r="U1" s="97"/>
      <c r="V1" s="94"/>
      <c r="W1" s="78" t="str">
        <f>Currency&amp;$G$1</f>
        <v>EUR1Y</v>
      </c>
      <c r="X1" s="69"/>
      <c r="Y1" s="69"/>
      <c r="Z1" s="72"/>
      <c r="AA1" s="72"/>
      <c r="AB1" s="69"/>
      <c r="AC1" s="69"/>
      <c r="AD1" s="76" t="s">
        <v>134</v>
      </c>
    </row>
    <row r="2" spans="1:34" ht="21.75" customHeight="1" x14ac:dyDescent="0.2">
      <c r="A2" s="68" t="s">
        <v>9</v>
      </c>
      <c r="B2" s="68" t="s">
        <v>28</v>
      </c>
      <c r="C2" s="68" t="s">
        <v>92</v>
      </c>
      <c r="D2" s="68" t="s">
        <v>130</v>
      </c>
      <c r="E2" s="68" t="s">
        <v>32</v>
      </c>
      <c r="F2" s="68" t="s">
        <v>115</v>
      </c>
      <c r="G2" s="68" t="s">
        <v>4</v>
      </c>
      <c r="H2" s="68" t="s">
        <v>1</v>
      </c>
      <c r="I2" s="68"/>
      <c r="J2" s="68"/>
      <c r="K2" s="68" t="s">
        <v>25</v>
      </c>
      <c r="M2" s="77" t="s">
        <v>9</v>
      </c>
      <c r="N2" s="77" t="s">
        <v>25</v>
      </c>
      <c r="O2" s="77" t="s">
        <v>79</v>
      </c>
      <c r="P2" s="77" t="s">
        <v>82</v>
      </c>
      <c r="Q2" s="77" t="s">
        <v>80</v>
      </c>
      <c r="R2" s="77" t="s">
        <v>81</v>
      </c>
      <c r="S2" s="77" t="s">
        <v>83</v>
      </c>
      <c r="T2" s="77" t="s">
        <v>23</v>
      </c>
      <c r="U2" s="77" t="s">
        <v>76</v>
      </c>
      <c r="V2" s="94"/>
      <c r="W2" s="77" t="s">
        <v>9</v>
      </c>
      <c r="X2" s="77" t="s">
        <v>25</v>
      </c>
      <c r="Y2" s="77" t="s">
        <v>79</v>
      </c>
      <c r="Z2" s="79" t="s">
        <v>24</v>
      </c>
      <c r="AA2" s="79" t="s">
        <v>84</v>
      </c>
      <c r="AB2" s="77" t="s">
        <v>23</v>
      </c>
      <c r="AC2" s="77" t="s">
        <v>76</v>
      </c>
      <c r="AD2" s="187">
        <f t="array" ref="AD2:AD115">_xll.qlPiecewiseYieldCurveData(YieldCurve_1Y,Trigger)</f>
        <v>-1.023142939774208E-3</v>
      </c>
      <c r="AG2" s="396" t="s">
        <v>85</v>
      </c>
      <c r="AH2" s="397"/>
    </row>
    <row r="3" spans="1:34" ht="11.25" customHeight="1" x14ac:dyDescent="0.2">
      <c r="A3" s="56" t="str">
        <f>Quote!AP4</f>
        <v>DP</v>
      </c>
      <c r="B3" s="57" t="str">
        <f>Quote!AQ4</f>
        <v>ON</v>
      </c>
      <c r="C3" s="59" t="s">
        <v>73</v>
      </c>
      <c r="D3" s="59" t="b">
        <v>0</v>
      </c>
      <c r="E3" s="58" t="s">
        <v>131</v>
      </c>
      <c r="F3" s="59" t="s">
        <v>26</v>
      </c>
      <c r="G3" s="125"/>
      <c r="H3" s="156" t="str">
        <f>IF(ISBLANK(Quote!AS4),"",Quote!AS4)</f>
        <v/>
      </c>
      <c r="I3" s="129"/>
      <c r="J3" s="129"/>
      <c r="K3" s="61"/>
      <c r="L3" s="52"/>
      <c r="M3" s="71" t="str">
        <f>A3</f>
        <v>DP</v>
      </c>
      <c r="N3" s="131" t="str">
        <f>IF(ISBLANK(K3),"--",K3)</f>
        <v>--</v>
      </c>
      <c r="O3" s="145" t="str">
        <f>IFERROR(_xll.qlRateHelperQuoteName(N3,Trigger),"--")</f>
        <v>--</v>
      </c>
      <c r="P3" s="133" t="str">
        <f>IFERROR(_xll.qlRateHelperQuoteValue($N3,Trigger),"--")</f>
        <v>--</v>
      </c>
      <c r="Q3" s="132" t="b">
        <v>0</v>
      </c>
      <c r="R3" s="131">
        <v>10</v>
      </c>
      <c r="S3" s="131">
        <v>1</v>
      </c>
      <c r="T3" s="134" t="str">
        <f>IFERROR(_xll.qlRateHelperEarliestDate(N3,Trigger),"--")</f>
        <v>--</v>
      </c>
      <c r="U3" s="134" t="str">
        <f>IFERROR(_xll.qlRateHelperPillarDate(N3,Trigger),"--")</f>
        <v>--</v>
      </c>
      <c r="W3" s="159" t="str">
        <f>IFERROR(INDEX($M$3:$M$115,MATCH(Y3,$O$3:$O$115,0),1),"")</f>
        <v>DP</v>
      </c>
      <c r="X3" s="159" t="str">
        <f t="array" ref="X3:X115">_xll.qlRateHelperSelection(_xll.ohFilter(RateHelpers,IncludeFlag),_xll.ohFilter(Priority,IncludeFlag),$AH$3,$AH$4,$AH$5,$AH$6,_xll.ohFilter(MinDistance,IncludeFlag),Trigger)</f>
        <v>obj_002de</v>
      </c>
      <c r="Y3" s="159" t="str">
        <f>IFERROR(_xll.qlRateHelperQuoteName(X3,Trigger),"")</f>
        <v>EUR1YDPSN_Shifted</v>
      </c>
      <c r="Z3" s="187">
        <f>IFERROR(_xll.qlRateHelperRate(X3,Trigger),"")</f>
        <v>-1.0091230400000001E-3</v>
      </c>
      <c r="AA3" s="188" t="str">
        <f>IF(ISERROR(_xll.qlSwapRateHelperSpread($X3)),IF(ISERROR(_xll.qlFuturesRateHelperConvexityAdjustment($X3)),"",_xll.qlFuturesRateHelperConvexityAdjustment($X3)),_xll.qlSwapRateHelperSpread($X3))</f>
        <v/>
      </c>
      <c r="AB3" s="160">
        <f>IFERROR(_xll.qlRateHelperEarliestDate(X3,Trigger),"")</f>
        <v>42748</v>
      </c>
      <c r="AC3" s="160">
        <f>IFERROR(_xll.qlRateHelperPillarDate(X3,Trigger),"")</f>
        <v>42751</v>
      </c>
      <c r="AD3" s="184">
        <v>-1.023142939774208E-3</v>
      </c>
      <c r="AG3" s="108" t="s">
        <v>86</v>
      </c>
      <c r="AH3" s="109">
        <v>0</v>
      </c>
    </row>
    <row r="4" spans="1:34" ht="11.25" customHeight="1" x14ac:dyDescent="0.2">
      <c r="A4" s="221" t="str">
        <f>Quote!AP5</f>
        <v>DP</v>
      </c>
      <c r="B4" s="280" t="str">
        <f>Quote!AQ5</f>
        <v>TN</v>
      </c>
      <c r="C4" s="281" t="s">
        <v>73</v>
      </c>
      <c r="D4" s="278"/>
      <c r="E4" s="278"/>
      <c r="F4" s="278"/>
      <c r="G4" s="278"/>
      <c r="H4" s="122" t="str">
        <f>IF(ISBLANK(Quote!AS5),"",Quote!AS5)</f>
        <v/>
      </c>
      <c r="I4" s="125"/>
      <c r="J4" s="125"/>
      <c r="K4" s="67"/>
      <c r="L4" s="51"/>
      <c r="M4" s="10" t="str">
        <f t="shared" ref="M4:M20" si="0">A4</f>
        <v>DP</v>
      </c>
      <c r="N4" s="95" t="str">
        <f t="shared" ref="N4:N20" si="1">IF(ISBLANK(K4),"--",K4)</f>
        <v>--</v>
      </c>
      <c r="O4" s="146" t="str">
        <f>IFERROR(_xll.qlRateHelperQuoteName(N4,Trigger),"--")</f>
        <v>--</v>
      </c>
      <c r="P4" s="99" t="str">
        <f>IFERROR(_xll.qlRateHelperQuoteValue($N4,Trigger),"--")</f>
        <v>--</v>
      </c>
      <c r="Q4" s="98" t="b">
        <v>0</v>
      </c>
      <c r="R4" s="95">
        <v>10</v>
      </c>
      <c r="S4" s="95">
        <v>1</v>
      </c>
      <c r="T4" s="100" t="str">
        <f>IFERROR(_xll.qlRateHelperEarliestDate(N4,Trigger),"--")</f>
        <v>--</v>
      </c>
      <c r="U4" s="100" t="str">
        <f>IFERROR(_xll.qlRateHelperPillarDate(N4,Trigger),"--")</f>
        <v>--</v>
      </c>
      <c r="W4" s="162" t="str">
        <f>IFERROR(INDEX($M$3:$M$115,MATCH(Y4,$O$3:$O$115,0),1),"")</f>
        <v>DP</v>
      </c>
      <c r="X4" s="162" t="str">
        <v>obj_002c6</v>
      </c>
      <c r="Y4" s="162" t="str">
        <f>IFERROR(_xll.qlRateHelperQuoteName(X4,Trigger),"")</f>
        <v>EUR1YDPSW_Shifted</v>
      </c>
      <c r="Z4" s="184">
        <f>IFERROR(_xll.qlRateHelperRate(X4,Trigger),"")</f>
        <v>-1.0091173799999999E-3</v>
      </c>
      <c r="AA4" s="185" t="str">
        <f>IF(ISERROR(_xll.qlSwapRateHelperSpread($X4)),IF(ISERROR(_xll.qlFuturesRateHelperConvexityAdjustment($X4)),"",_xll.qlFuturesRateHelperConvexityAdjustment($X4)),_xll.qlSwapRateHelperSpread($X4))</f>
        <v/>
      </c>
      <c r="AB4" s="163">
        <f>IFERROR(_xll.qlRateHelperEarliestDate(X4,Trigger),"")</f>
        <v>42748</v>
      </c>
      <c r="AC4" s="163">
        <f>IFERROR(_xll.qlRateHelperPillarDate(X4,Trigger),"")</f>
        <v>42755</v>
      </c>
      <c r="AD4" s="184">
        <v>-1.0231429377781797E-3</v>
      </c>
      <c r="AG4" s="108" t="s">
        <v>87</v>
      </c>
      <c r="AH4" s="109">
        <v>0</v>
      </c>
    </row>
    <row r="5" spans="1:34" ht="11.25" customHeight="1" x14ac:dyDescent="0.2">
      <c r="A5" s="62" t="str">
        <f>Quote!AP6</f>
        <v>DP</v>
      </c>
      <c r="B5" s="63" t="str">
        <f>Quote!AQ6</f>
        <v>SN</v>
      </c>
      <c r="C5" s="65" t="s">
        <v>74</v>
      </c>
      <c r="D5" s="125"/>
      <c r="E5" s="125"/>
      <c r="F5" s="125"/>
      <c r="G5" s="64" t="str">
        <f>Euribor!E4</f>
        <v>EoniaMX#0006</v>
      </c>
      <c r="H5" s="334" t="str">
        <f>IF(ISBLANK(Quote!AS6),"",Quote!AS6)</f>
        <v>EUR1YDPSN=#0006</v>
      </c>
      <c r="I5" s="334" t="str">
        <f>_xll.qlCompositeQuote(Currency&amp;"1Y"&amp;A5&amp;B5&amp;"_Shifted",H5,BumpValue,"+",Permanent,Trigger,ObjectOverwrite)</f>
        <v>EUR1YDPSN_Shifted#0006</v>
      </c>
      <c r="J5" s="275"/>
      <c r="K5" s="220" t="str">
        <f>_xll.qlFraRateHelper(,IF(Sensitivity,I5,H5),C5,G5,PillarDate,,Permanent,Trigger,ObjectOverwrite)</f>
        <v>obj_002de#0006</v>
      </c>
      <c r="L5" s="51"/>
      <c r="M5" s="10" t="str">
        <f t="shared" si="0"/>
        <v>DP</v>
      </c>
      <c r="N5" s="95" t="str">
        <f t="shared" si="1"/>
        <v>obj_002de#0006</v>
      </c>
      <c r="O5" s="146" t="str">
        <f>IFERROR(_xll.qlRateHelperQuoteName(N5,Trigger),"--")</f>
        <v>EUR1YDPSN_Shifted</v>
      </c>
      <c r="P5" s="99">
        <f>IFERROR(_xll.qlRateHelperQuoteValue($N5,Trigger),"--")</f>
        <v>-1.0091230400000001E-3</v>
      </c>
      <c r="Q5" s="98" t="b">
        <v>1</v>
      </c>
      <c r="R5" s="95">
        <v>10</v>
      </c>
      <c r="S5" s="95">
        <v>1</v>
      </c>
      <c r="T5" s="100">
        <f>IFERROR(_xll.qlRateHelperEarliestDate(N5,Trigger),"--")</f>
        <v>42748</v>
      </c>
      <c r="U5" s="100">
        <f>IFERROR(_xll.qlRateHelperPillarDate(N5,Trigger),"--")</f>
        <v>42751</v>
      </c>
      <c r="W5" s="162" t="str">
        <f>IFERROR(INDEX($M$3:$M$115,MATCH(Y5,$O$3:$O$115,0),1),"")</f>
        <v>DP</v>
      </c>
      <c r="X5" s="162" t="str">
        <v>obj_00322</v>
      </c>
      <c r="Y5" s="162" t="str">
        <f>IFERROR(_xll.qlRateHelperQuoteName(X5,Trigger),"")</f>
        <v>EUR1YDP2W_Shifted</v>
      </c>
      <c r="Z5" s="184">
        <f>IFERROR(_xll.qlRateHelperRate(X5,Trigger),"")</f>
        <v>-1.00910748E-3</v>
      </c>
      <c r="AA5" s="185" t="str">
        <f>IF(ISERROR(_xll.qlSwapRateHelperSpread($X5)),IF(ISERROR(_xll.qlFuturesRateHelperConvexityAdjustment($X5)),"",_xll.qlFuturesRateHelperConvexityAdjustment($X5)),_xll.qlSwapRateHelperSpread($X5))</f>
        <v/>
      </c>
      <c r="AB5" s="163">
        <f>IFERROR(_xll.qlRateHelperEarliestDate(X5,Trigger),"")</f>
        <v>42748</v>
      </c>
      <c r="AC5" s="163">
        <f>IFERROR(_xll.qlRateHelperPillarDate(X5,Trigger),"")</f>
        <v>42762</v>
      </c>
      <c r="AD5" s="184">
        <v>-1.0231429377855685E-3</v>
      </c>
      <c r="AE5" s="81"/>
      <c r="AF5" s="81"/>
      <c r="AG5" s="108" t="s">
        <v>88</v>
      </c>
      <c r="AH5" s="109">
        <v>0</v>
      </c>
    </row>
    <row r="6" spans="1:34" ht="11.25" customHeight="1" x14ac:dyDescent="0.2">
      <c r="A6" s="62" t="str">
        <f>Quote!AP7</f>
        <v>DP</v>
      </c>
      <c r="B6" s="63" t="str">
        <f>Quote!AQ7</f>
        <v>SW</v>
      </c>
      <c r="C6" s="65" t="s">
        <v>36</v>
      </c>
      <c r="D6" s="125"/>
      <c r="E6" s="125"/>
      <c r="F6" s="125"/>
      <c r="G6" s="64" t="str">
        <f>Euribor!E5</f>
        <v>EuriborSWMX#0006</v>
      </c>
      <c r="H6" s="122" t="str">
        <f>IF(ISBLANK(Quote!AS7),"",Quote!AS7)</f>
        <v>EUR1YDPSW=#0006</v>
      </c>
      <c r="I6" s="122" t="str">
        <f>_xll.qlCompositeQuote(Currency&amp;"1Y"&amp;A6&amp;B6&amp;"_Shifted",H6,BumpValue,"+",Permanent,Trigger,ObjectOverwrite)</f>
        <v>EUR1YDPSW_Shifted#0006</v>
      </c>
      <c r="J6" s="125"/>
      <c r="K6" s="67" t="str">
        <f>_xll.qlDepositRateHelper(,IF(Sensitivity,I6,H6),G6,Permanent,Trigger,ObjectOverwrite)</f>
        <v>obj_002c6#0006</v>
      </c>
      <c r="L6" s="51"/>
      <c r="M6" s="10" t="str">
        <f t="shared" si="0"/>
        <v>DP</v>
      </c>
      <c r="N6" s="95" t="str">
        <f t="shared" si="1"/>
        <v>obj_002c6#0006</v>
      </c>
      <c r="O6" s="146" t="str">
        <f>IFERROR(_xll.qlRateHelperQuoteName(N6,Trigger),"--")</f>
        <v>EUR1YDPSW_Shifted</v>
      </c>
      <c r="P6" s="99">
        <f>IFERROR(_xll.qlRateHelperQuoteValue($N6,Trigger),"--")</f>
        <v>-1.0091173799999999E-3</v>
      </c>
      <c r="Q6" s="98" t="b">
        <v>1</v>
      </c>
      <c r="R6" s="95">
        <v>10</v>
      </c>
      <c r="S6" s="95">
        <v>1</v>
      </c>
      <c r="T6" s="100">
        <f>IFERROR(_xll.qlRateHelperEarliestDate(N6,Trigger),"--")</f>
        <v>42748</v>
      </c>
      <c r="U6" s="100">
        <f>IFERROR(_xll.qlRateHelperPillarDate(N6,Trigger),"--")</f>
        <v>42755</v>
      </c>
      <c r="W6" s="162" t="str">
        <f>IFERROR(INDEX($M$3:$M$115,MATCH(Y6,$O$3:$O$115,0),1),"")</f>
        <v>DP</v>
      </c>
      <c r="X6" s="162" t="str">
        <v>obj_0031d</v>
      </c>
      <c r="Y6" s="162" t="str">
        <f>IFERROR(_xll.qlRateHelperQuoteName(X6,Trigger),"")</f>
        <v>EUR1YDP3W_Shifted</v>
      </c>
      <c r="Z6" s="184">
        <f>IFERROR(_xll.qlRateHelperRate(X6,Trigger),"")</f>
        <v>-1.0090975800000001E-3</v>
      </c>
      <c r="AA6" s="185" t="str">
        <f>IF(ISERROR(_xll.qlSwapRateHelperSpread($X6)),IF(ISERROR(_xll.qlFuturesRateHelperConvexityAdjustment($X6)),"",_xll.qlFuturesRateHelperConvexityAdjustment($X6)),_xll.qlSwapRateHelperSpread($X6))</f>
        <v/>
      </c>
      <c r="AB6" s="163">
        <f>IFERROR(_xll.qlRateHelperEarliestDate(X6,Trigger),"")</f>
        <v>42748</v>
      </c>
      <c r="AC6" s="163">
        <f>IFERROR(_xll.qlRateHelperPillarDate(X6,Trigger),"")</f>
        <v>42769</v>
      </c>
      <c r="AD6" s="184">
        <v>-1.0231429378368719E-3</v>
      </c>
      <c r="AG6" s="108" t="s">
        <v>89</v>
      </c>
      <c r="AH6" s="110" t="s">
        <v>90</v>
      </c>
    </row>
    <row r="7" spans="1:34" ht="11.25" customHeight="1" x14ac:dyDescent="0.2">
      <c r="A7" s="62" t="str">
        <f>Quote!AP8</f>
        <v>DP</v>
      </c>
      <c r="B7" s="63" t="str">
        <f>Quote!AQ8</f>
        <v>2W</v>
      </c>
      <c r="C7" s="65" t="str">
        <f t="shared" ref="C7:C20" si="2">B7</f>
        <v>2W</v>
      </c>
      <c r="D7" s="125"/>
      <c r="E7" s="125"/>
      <c r="F7" s="125"/>
      <c r="G7" s="64" t="str">
        <f>Euribor!E6</f>
        <v>Euribor2WMX#0006</v>
      </c>
      <c r="H7" s="122" t="str">
        <f>IF(ISBLANK(Quote!AS8),"",Quote!AS8)</f>
        <v>EUR1YDP2W=#0006</v>
      </c>
      <c r="I7" s="122" t="str">
        <f>_xll.qlCompositeQuote(Currency&amp;"1Y"&amp;A7&amp;B7&amp;"_Shifted",H7,BumpValue,"+",Permanent,Trigger,ObjectOverwrite)</f>
        <v>EUR1YDP2W_Shifted#0006</v>
      </c>
      <c r="J7" s="125"/>
      <c r="K7" s="67" t="str">
        <f>_xll.qlDepositRateHelper(,IF(Sensitivity,I7,H7),G7,Permanent,Trigger,ObjectOverwrite)</f>
        <v>obj_00322#0006</v>
      </c>
      <c r="L7" s="51"/>
      <c r="M7" s="10" t="str">
        <f t="shared" si="0"/>
        <v>DP</v>
      </c>
      <c r="N7" s="95" t="str">
        <f t="shared" si="1"/>
        <v>obj_00322#0006</v>
      </c>
      <c r="O7" s="146" t="str">
        <f>IFERROR(_xll.qlRateHelperQuoteName(N7,Trigger),"--")</f>
        <v>EUR1YDP2W_Shifted</v>
      </c>
      <c r="P7" s="99">
        <f>IFERROR(_xll.qlRateHelperQuoteValue($N7,Trigger),"--")</f>
        <v>-1.00910748E-3</v>
      </c>
      <c r="Q7" s="98" t="b">
        <v>1</v>
      </c>
      <c r="R7" s="95">
        <v>10</v>
      </c>
      <c r="S7" s="95">
        <v>1</v>
      </c>
      <c r="T7" s="100">
        <f>IFERROR(_xll.qlRateHelperEarliestDate(N7,Trigger),"--")</f>
        <v>42748</v>
      </c>
      <c r="U7" s="100">
        <f>IFERROR(_xll.qlRateHelperPillarDate(N7,Trigger),"--")</f>
        <v>42762</v>
      </c>
      <c r="W7" s="162" t="str">
        <f>IFERROR(INDEX($M$3:$M$115,MATCH(Y7,$O$3:$O$115,0),1),"")</f>
        <v>DP</v>
      </c>
      <c r="X7" s="162" t="str">
        <v>obj_00329</v>
      </c>
      <c r="Y7" s="162" t="str">
        <f>IFERROR(_xll.qlRateHelperQuoteName(X7,Trigger),"")</f>
        <v>EUR1YDP1M_Shifted</v>
      </c>
      <c r="Z7" s="184">
        <f>IFERROR(_xll.qlRateHelperRate(X7,Trigger),"")</f>
        <v>-1.00908344E-3</v>
      </c>
      <c r="AA7" s="185" t="str">
        <f>IF(ISERROR(_xll.qlSwapRateHelperSpread($X7)),IF(ISERROR(_xll.qlFuturesRateHelperConvexityAdjustment($X7)),"",_xll.qlFuturesRateHelperConvexityAdjustment($X7)),_xll.qlSwapRateHelperSpread($X7))</f>
        <v/>
      </c>
      <c r="AB7" s="163">
        <f>IFERROR(_xll.qlRateHelperEarliestDate(X7,Trigger),"")</f>
        <v>42748</v>
      </c>
      <c r="AC7" s="163">
        <f>IFERROR(_xll.qlRateHelperPillarDate(X7,Trigger),"")</f>
        <v>42779</v>
      </c>
      <c r="AD7" s="184">
        <v>-1.0231429406375731E-3</v>
      </c>
    </row>
    <row r="8" spans="1:34" ht="11.25" customHeight="1" x14ac:dyDescent="0.2">
      <c r="A8" s="62" t="str">
        <f>Quote!AP9</f>
        <v>DP</v>
      </c>
      <c r="B8" s="63" t="str">
        <f>Quote!AQ9</f>
        <v>3W</v>
      </c>
      <c r="C8" s="65" t="str">
        <f t="shared" si="2"/>
        <v>3W</v>
      </c>
      <c r="D8" s="125"/>
      <c r="E8" s="125"/>
      <c r="F8" s="125"/>
      <c r="G8" s="64" t="str">
        <f>_xll.qlEuribor(,C8,,,Trigger)</f>
        <v>obj_002fd#0006</v>
      </c>
      <c r="H8" s="122" t="str">
        <f>IF(ISBLANK(Quote!AS9),"",Quote!AS9)</f>
        <v>EUR1YDP3W=#0006</v>
      </c>
      <c r="I8" s="122" t="str">
        <f>_xll.qlCompositeQuote(Currency&amp;"1Y"&amp;A8&amp;B8&amp;"_Shifted",H8,BumpValue,"+",Permanent,Trigger,ObjectOverwrite)</f>
        <v>EUR1YDP3W_Shifted#0006</v>
      </c>
      <c r="J8" s="125"/>
      <c r="K8" s="67" t="str">
        <f>_xll.qlDepositRateHelper(,IF(Sensitivity,I8,H8),G8,Permanent,Trigger,ObjectOverwrite)</f>
        <v>obj_0031d#0006</v>
      </c>
      <c r="L8" s="51"/>
      <c r="M8" s="10" t="str">
        <f t="shared" si="0"/>
        <v>DP</v>
      </c>
      <c r="N8" s="95" t="str">
        <f t="shared" si="1"/>
        <v>obj_0031d#0006</v>
      </c>
      <c r="O8" s="146" t="str">
        <f>IFERROR(_xll.qlRateHelperQuoteName(N8,Trigger),"--")</f>
        <v>EUR1YDP3W_Shifted</v>
      </c>
      <c r="P8" s="99">
        <f>IFERROR(_xll.qlRateHelperQuoteValue($N8,Trigger),"--")</f>
        <v>-1.0090975800000001E-3</v>
      </c>
      <c r="Q8" s="98" t="b">
        <v>1</v>
      </c>
      <c r="R8" s="95">
        <v>10</v>
      </c>
      <c r="S8" s="95">
        <v>1</v>
      </c>
      <c r="T8" s="100">
        <f>IFERROR(_xll.qlRateHelperEarliestDate(N8,Trigger),"--")</f>
        <v>42748</v>
      </c>
      <c r="U8" s="100">
        <f>IFERROR(_xll.qlRateHelperPillarDate(N8,Trigger),"--")</f>
        <v>42769</v>
      </c>
      <c r="W8" s="162" t="str">
        <f t="shared" ref="W8:W71" si="3">IFERROR(INDEX($M$3:$M$115,MATCH(Y8,$O$3:$O$115,0),1),"")</f>
        <v>DP</v>
      </c>
      <c r="X8" s="162" t="str">
        <v>obj_0031c</v>
      </c>
      <c r="Y8" s="162" t="str">
        <f>IFERROR(_xll.qlRateHelperQuoteName(X8,Trigger),"")</f>
        <v>EUR1YDP2M_Shifted</v>
      </c>
      <c r="Z8" s="184">
        <f>IFERROR(_xll.qlRateHelperRate(X8,Trigger),"")</f>
        <v>-1.0090438399999999E-3</v>
      </c>
      <c r="AA8" s="185" t="str">
        <f>IF(ISERROR(_xll.qlSwapRateHelperSpread($X8)),IF(ISERROR(_xll.qlFuturesRateHelperConvexityAdjustment($X8)),"",_xll.qlFuturesRateHelperConvexityAdjustment($X8)),_xll.qlSwapRateHelperSpread($X8))</f>
        <v/>
      </c>
      <c r="AB8" s="163">
        <f>IFERROR(_xll.qlRateHelperEarliestDate(X8,Trigger),"")</f>
        <v>42748</v>
      </c>
      <c r="AC8" s="163">
        <f>IFERROR(_xll.qlRateHelperPillarDate(X8,Trigger),"")</f>
        <v>42807</v>
      </c>
      <c r="AD8" s="184">
        <v>-1.0231429392139277E-3</v>
      </c>
      <c r="AG8" s="108" t="s">
        <v>188</v>
      </c>
      <c r="AH8" s="384" t="b">
        <v>1</v>
      </c>
    </row>
    <row r="9" spans="1:34" ht="11.25" customHeight="1" x14ac:dyDescent="0.2">
      <c r="A9" s="62" t="str">
        <f>Quote!AP10</f>
        <v>DP</v>
      </c>
      <c r="B9" s="63" t="str">
        <f>Quote!AQ10</f>
        <v>1M</v>
      </c>
      <c r="C9" s="65" t="str">
        <f t="shared" si="2"/>
        <v>1M</v>
      </c>
      <c r="D9" s="125"/>
      <c r="E9" s="125"/>
      <c r="F9" s="125"/>
      <c r="G9" s="64" t="str">
        <f>Euribor!E7</f>
        <v>Euribor1MMX#0006</v>
      </c>
      <c r="H9" s="122" t="str">
        <f>IF(ISBLANK(Quote!AS10),"",Quote!AS10)</f>
        <v>EUR1YDP1M=#0006</v>
      </c>
      <c r="I9" s="122" t="str">
        <f>_xll.qlCompositeQuote(Currency&amp;"1Y"&amp;A9&amp;B9&amp;"_Shifted",H9,BumpValue,"+",Permanent,Trigger,ObjectOverwrite)</f>
        <v>EUR1YDP1M_Shifted#0006</v>
      </c>
      <c r="J9" s="125"/>
      <c r="K9" s="67" t="str">
        <f>_xll.qlDepositRateHelper(,IF(Sensitivity,I9,H9),G9,Permanent,Trigger,ObjectOverwrite)</f>
        <v>obj_00329#0006</v>
      </c>
      <c r="L9" s="51"/>
      <c r="M9" s="10" t="str">
        <f t="shared" si="0"/>
        <v>DP</v>
      </c>
      <c r="N9" s="95" t="str">
        <f t="shared" si="1"/>
        <v>obj_00329#0006</v>
      </c>
      <c r="O9" s="146" t="str">
        <f>IFERROR(_xll.qlRateHelperQuoteName(N9,Trigger),"--")</f>
        <v>EUR1YDP1M_Shifted</v>
      </c>
      <c r="P9" s="99">
        <f>IFERROR(_xll.qlRateHelperQuoteValue($N9,Trigger),"--")</f>
        <v>-1.00908344E-3</v>
      </c>
      <c r="Q9" s="98" t="b">
        <v>1</v>
      </c>
      <c r="R9" s="95">
        <v>10</v>
      </c>
      <c r="S9" s="95">
        <v>1</v>
      </c>
      <c r="T9" s="100">
        <f>IFERROR(_xll.qlRateHelperEarliestDate(N9,Trigger),"--")</f>
        <v>42748</v>
      </c>
      <c r="U9" s="100">
        <f>IFERROR(_xll.qlRateHelperPillarDate(N9,Trigger),"--")</f>
        <v>42779</v>
      </c>
      <c r="W9" s="162" t="str">
        <f t="shared" si="3"/>
        <v>DP</v>
      </c>
      <c r="X9" s="162" t="str">
        <v>obj_00326</v>
      </c>
      <c r="Y9" s="162" t="str">
        <f>IFERROR(_xll.qlRateHelperQuoteName(X9,Trigger),"")</f>
        <v>EUR1YDP3M_Shifted</v>
      </c>
      <c r="Z9" s="184">
        <f>IFERROR(_xll.qlRateHelperRate(X9,Trigger),"")</f>
        <v>-1.0090000000000001E-3</v>
      </c>
      <c r="AA9" s="185" t="str">
        <f>IF(ISERROR(_xll.qlSwapRateHelperSpread($X9)),IF(ISERROR(_xll.qlFuturesRateHelperConvexityAdjustment($X9)),"",_xll.qlFuturesRateHelperConvexityAdjustment($X9)),_xll.qlSwapRateHelperSpread($X9))</f>
        <v/>
      </c>
      <c r="AB9" s="163">
        <f>IFERROR(_xll.qlRateHelperEarliestDate(X9,Trigger),"")</f>
        <v>42748</v>
      </c>
      <c r="AC9" s="163">
        <f>IFERROR(_xll.qlRateHelperPillarDate(X9,Trigger),"")</f>
        <v>42838</v>
      </c>
      <c r="AD9" s="184">
        <v>-1.0231429382566532E-3</v>
      </c>
    </row>
    <row r="10" spans="1:34" ht="11.25" customHeight="1" x14ac:dyDescent="0.2">
      <c r="A10" s="62" t="str">
        <f>Quote!AP11</f>
        <v>DP</v>
      </c>
      <c r="B10" s="63" t="str">
        <f>Quote!AQ11</f>
        <v>2M</v>
      </c>
      <c r="C10" s="65" t="str">
        <f t="shared" si="2"/>
        <v>2M</v>
      </c>
      <c r="D10" s="125"/>
      <c r="E10" s="125"/>
      <c r="F10" s="125"/>
      <c r="G10" s="64" t="str">
        <f>Euribor!E8</f>
        <v>Euribor2MMX#0006</v>
      </c>
      <c r="H10" s="122" t="str">
        <f>IF(ISBLANK(Quote!AS11),"",Quote!AS11)</f>
        <v>EUR1YDP2M=#0006</v>
      </c>
      <c r="I10" s="122" t="str">
        <f>_xll.qlCompositeQuote(Currency&amp;"1Y"&amp;A10&amp;B10&amp;"_Shifted",H10,BumpValue,"+",Permanent,Trigger,ObjectOverwrite)</f>
        <v>EUR1YDP2M_Shifted#0006</v>
      </c>
      <c r="J10" s="125"/>
      <c r="K10" s="67" t="str">
        <f>_xll.qlDepositRateHelper(,IF(Sensitivity,I10,H10),G10,Permanent,Trigger,ObjectOverwrite)</f>
        <v>obj_0031c#0006</v>
      </c>
      <c r="L10" s="51"/>
      <c r="M10" s="10" t="str">
        <f t="shared" si="0"/>
        <v>DP</v>
      </c>
      <c r="N10" s="95" t="str">
        <f t="shared" si="1"/>
        <v>obj_0031c#0006</v>
      </c>
      <c r="O10" s="146" t="str">
        <f>IFERROR(_xll.qlRateHelperQuoteName(N10,Trigger),"--")</f>
        <v>EUR1YDP2M_Shifted</v>
      </c>
      <c r="P10" s="99">
        <f>IFERROR(_xll.qlRateHelperQuoteValue($N10,Trigger),"--")</f>
        <v>-1.0090438399999999E-3</v>
      </c>
      <c r="Q10" s="98" t="b">
        <v>1</v>
      </c>
      <c r="R10" s="95">
        <v>10</v>
      </c>
      <c r="S10" s="95">
        <v>1</v>
      </c>
      <c r="T10" s="100">
        <f>IFERROR(_xll.qlRateHelperEarliestDate(N10,Trigger),"--")</f>
        <v>42748</v>
      </c>
      <c r="U10" s="100">
        <f>IFERROR(_xll.qlRateHelperPillarDate(N10,Trigger),"--")</f>
        <v>42807</v>
      </c>
      <c r="W10" s="162" t="str">
        <f t="shared" si="3"/>
        <v>DP</v>
      </c>
      <c r="X10" s="162" t="str">
        <v>obj_00318</v>
      </c>
      <c r="Y10" s="162" t="str">
        <f>IFERROR(_xll.qlRateHelperQuoteName(X10,Trigger),"")</f>
        <v>EUR1YDP4M_Shifted</v>
      </c>
      <c r="Z10" s="184">
        <f>IFERROR(_xll.qlRateHelperRate(X10,Trigger),"")</f>
        <v>-1.0090222500000001E-3</v>
      </c>
      <c r="AA10" s="185" t="str">
        <f>IF(ISERROR(_xll.qlSwapRateHelperSpread($X10)),IF(ISERROR(_xll.qlFuturesRateHelperConvexityAdjustment($X10)),"",_xll.qlFuturesRateHelperConvexityAdjustment($X10)),_xll.qlSwapRateHelperSpread($X10))</f>
        <v/>
      </c>
      <c r="AB10" s="163">
        <f>IFERROR(_xll.qlRateHelperEarliestDate(X10,Trigger),"")</f>
        <v>42748</v>
      </c>
      <c r="AC10" s="163">
        <f>IFERROR(_xll.qlRateHelperPillarDate(X10,Trigger),"")</f>
        <v>42870</v>
      </c>
      <c r="AD10" s="184">
        <v>-1.0232102954432704E-3</v>
      </c>
    </row>
    <row r="11" spans="1:34" ht="11.25" customHeight="1" x14ac:dyDescent="0.2">
      <c r="A11" s="62" t="str">
        <f>Quote!AP12</f>
        <v>DP</v>
      </c>
      <c r="B11" s="63" t="str">
        <f>Quote!AQ12</f>
        <v>3M</v>
      </c>
      <c r="C11" s="65" t="str">
        <f t="shared" si="2"/>
        <v>3M</v>
      </c>
      <c r="D11" s="125"/>
      <c r="E11" s="125"/>
      <c r="F11" s="125"/>
      <c r="G11" s="64" t="str">
        <f>Euribor!E9</f>
        <v>Euribor3MMX#0006</v>
      </c>
      <c r="H11" s="122" t="str">
        <f>IF(ISBLANK(Quote!AS12),"",Quote!AS12)</f>
        <v>EUR1YDP3M=#0006</v>
      </c>
      <c r="I11" s="122" t="str">
        <f>_xll.qlCompositeQuote(Currency&amp;"1Y"&amp;A11&amp;B11&amp;"_Shifted",H11,BumpValue,"+",Permanent,Trigger,ObjectOverwrite)</f>
        <v>EUR1YDP3M_Shifted#0006</v>
      </c>
      <c r="J11" s="125"/>
      <c r="K11" s="67" t="str">
        <f>_xll.qlDepositRateHelper(,IF(Sensitivity,I11,H11),G11,Permanent,Trigger,ObjectOverwrite)</f>
        <v>obj_00326#0006</v>
      </c>
      <c r="L11" s="51"/>
      <c r="M11" s="10" t="str">
        <f t="shared" si="0"/>
        <v>DP</v>
      </c>
      <c r="N11" s="95" t="str">
        <f t="shared" si="1"/>
        <v>obj_00326#0006</v>
      </c>
      <c r="O11" s="146" t="str">
        <f>IFERROR(_xll.qlRateHelperQuoteName(N11,Trigger),"--")</f>
        <v>EUR1YDP3M_Shifted</v>
      </c>
      <c r="P11" s="99">
        <f>IFERROR(_xll.qlRateHelperQuoteValue($N11,Trigger),"--")</f>
        <v>-1.0090000000000001E-3</v>
      </c>
      <c r="Q11" s="98" t="b">
        <v>1</v>
      </c>
      <c r="R11" s="95">
        <v>10</v>
      </c>
      <c r="S11" s="95">
        <v>1</v>
      </c>
      <c r="T11" s="100">
        <f>IFERROR(_xll.qlRateHelperEarliestDate(N11,Trigger),"--")</f>
        <v>42748</v>
      </c>
      <c r="U11" s="100">
        <f>IFERROR(_xll.qlRateHelperPillarDate(N11,Trigger),"--")</f>
        <v>42838</v>
      </c>
      <c r="W11" s="162" t="str">
        <f t="shared" si="3"/>
        <v>DP</v>
      </c>
      <c r="X11" s="162" t="str">
        <v>obj_00320</v>
      </c>
      <c r="Y11" s="162" t="str">
        <f>IFERROR(_xll.qlRateHelperQuoteName(X11,Trigger),"")</f>
        <v>EUR1YDP5M_Shifted</v>
      </c>
      <c r="Z11" s="184">
        <f>IFERROR(_xll.qlRateHelperRate(X11,Trigger),"")</f>
        <v>-1.00906688E-3</v>
      </c>
      <c r="AA11" s="185" t="str">
        <f>IF(ISERROR(_xll.qlSwapRateHelperSpread($X11)),IF(ISERROR(_xll.qlFuturesRateHelperConvexityAdjustment($X11)),"",_xll.qlFuturesRateHelperConvexityAdjustment($X11)),_xll.qlSwapRateHelperSpread($X11))</f>
        <v/>
      </c>
      <c r="AB11" s="163">
        <f>IFERROR(_xll.qlRateHelperEarliestDate(X11,Trigger),"")</f>
        <v>42748</v>
      </c>
      <c r="AC11" s="163">
        <f>IFERROR(_xll.qlRateHelperPillarDate(X11,Trigger),"")</f>
        <v>42899</v>
      </c>
      <c r="AD11" s="184">
        <v>-1.0232962368501945E-3</v>
      </c>
    </row>
    <row r="12" spans="1:34" ht="11.25" customHeight="1" x14ac:dyDescent="0.2">
      <c r="A12" s="62" t="str">
        <f>Quote!AP13</f>
        <v>DP</v>
      </c>
      <c r="B12" s="63" t="str">
        <f>Quote!AQ13</f>
        <v>4M</v>
      </c>
      <c r="C12" s="65" t="str">
        <f t="shared" si="2"/>
        <v>4M</v>
      </c>
      <c r="D12" s="125"/>
      <c r="E12" s="125"/>
      <c r="F12" s="125"/>
      <c r="G12" s="64" t="str">
        <f>_xll.qlEuribor(,C12,,,Trigger)</f>
        <v>obj_0030b#0006</v>
      </c>
      <c r="H12" s="122" t="str">
        <f>IF(ISBLANK(Quote!AS13),"",Quote!AS13)</f>
        <v>EUR1YDP4M=#0006</v>
      </c>
      <c r="I12" s="122" t="str">
        <f>_xll.qlCompositeQuote(Currency&amp;"1Y"&amp;A12&amp;B12&amp;"_Shifted",H12,BumpValue,"+",Permanent,Trigger,ObjectOverwrite)</f>
        <v>EUR1YDP4M_Shifted#0006</v>
      </c>
      <c r="J12" s="125"/>
      <c r="K12" s="67" t="str">
        <f>_xll.qlDepositRateHelper(,IF(Sensitivity,I12,H12),G12,Permanent,Trigger,ObjectOverwrite)</f>
        <v>obj_00318#0006</v>
      </c>
      <c r="L12" s="51" t="s">
        <v>34</v>
      </c>
      <c r="M12" s="10" t="str">
        <f t="shared" si="0"/>
        <v>DP</v>
      </c>
      <c r="N12" s="95" t="str">
        <f t="shared" si="1"/>
        <v>obj_00318#0006</v>
      </c>
      <c r="O12" s="146" t="str">
        <f>IFERROR(_xll.qlRateHelperQuoteName(N12,Trigger),"--")</f>
        <v>EUR1YDP4M_Shifted</v>
      </c>
      <c r="P12" s="99">
        <f>IFERROR(_xll.qlRateHelperQuoteValue($N12,Trigger),"--")</f>
        <v>-1.0090222500000001E-3</v>
      </c>
      <c r="Q12" s="98" t="b">
        <v>1</v>
      </c>
      <c r="R12" s="95">
        <v>10</v>
      </c>
      <c r="S12" s="95">
        <v>1</v>
      </c>
      <c r="T12" s="100">
        <f>IFERROR(_xll.qlRateHelperEarliestDate(N12,Trigger),"--")</f>
        <v>42748</v>
      </c>
      <c r="U12" s="100">
        <f>IFERROR(_xll.qlRateHelperPillarDate(N12,Trigger),"--")</f>
        <v>42870</v>
      </c>
      <c r="W12" s="162" t="str">
        <f t="shared" si="3"/>
        <v>DP</v>
      </c>
      <c r="X12" s="162" t="str">
        <v>obj_002e2</v>
      </c>
      <c r="Y12" s="162" t="str">
        <f>IFERROR(_xll.qlRateHelperQuoteName(X12,Trigger),"")</f>
        <v>EUR1YDP6M_Shifted</v>
      </c>
      <c r="Z12" s="184">
        <f>IFERROR(_xll.qlRateHelperRate(X12,Trigger),"")</f>
        <v>-1.0090000000000001E-3</v>
      </c>
      <c r="AA12" s="185" t="str">
        <f>IF(ISERROR(_xll.qlSwapRateHelperSpread($X12)),IF(ISERROR(_xll.qlFuturesRateHelperConvexityAdjustment($X12)),"",_xll.qlFuturesRateHelperConvexityAdjustment($X12)),_xll.qlSwapRateHelperSpread($X12))</f>
        <v/>
      </c>
      <c r="AB12" s="163">
        <f>IFERROR(_xll.qlRateHelperEarliestDate(X12,Trigger),"")</f>
        <v>42748</v>
      </c>
      <c r="AC12" s="163">
        <f>IFERROR(_xll.qlRateHelperPillarDate(X12,Trigger),"")</f>
        <v>42929</v>
      </c>
      <c r="AD12" s="184">
        <v>-1.0232720390660397E-3</v>
      </c>
    </row>
    <row r="13" spans="1:34" ht="11.25" customHeight="1" x14ac:dyDescent="0.2">
      <c r="A13" s="62" t="str">
        <f>Quote!AP14</f>
        <v>DP</v>
      </c>
      <c r="B13" s="63" t="str">
        <f>Quote!AQ14</f>
        <v>5M</v>
      </c>
      <c r="C13" s="65" t="str">
        <f t="shared" si="2"/>
        <v>5M</v>
      </c>
      <c r="D13" s="125"/>
      <c r="E13" s="125"/>
      <c r="F13" s="125"/>
      <c r="G13" s="64" t="str">
        <f>_xll.qlEuribor(,C13,,,Trigger)</f>
        <v>obj_002ff#0006</v>
      </c>
      <c r="H13" s="122" t="str">
        <f>IF(ISBLANK(Quote!AS14),"",Quote!AS14)</f>
        <v>EUR1YDP5M=#0006</v>
      </c>
      <c r="I13" s="122" t="str">
        <f>_xll.qlCompositeQuote(Currency&amp;"1Y"&amp;A13&amp;B13&amp;"_Shifted",H13,BumpValue,"+",Permanent,Trigger,ObjectOverwrite)</f>
        <v>EUR1YDP5M_Shifted#0006</v>
      </c>
      <c r="J13" s="125"/>
      <c r="K13" s="67" t="str">
        <f>_xll.qlDepositRateHelper(,IF(Sensitivity,I13,H13),G13,Permanent,Trigger,ObjectOverwrite)</f>
        <v>obj_00320#0006</v>
      </c>
      <c r="L13" s="51"/>
      <c r="M13" s="10" t="str">
        <f t="shared" si="0"/>
        <v>DP</v>
      </c>
      <c r="N13" s="95" t="str">
        <f t="shared" si="1"/>
        <v>obj_00320#0006</v>
      </c>
      <c r="O13" s="146" t="str">
        <f>IFERROR(_xll.qlRateHelperQuoteName(N13,Trigger),"--")</f>
        <v>EUR1YDP5M_Shifted</v>
      </c>
      <c r="P13" s="99">
        <f>IFERROR(_xll.qlRateHelperQuoteValue($N13,Trigger),"--")</f>
        <v>-1.00906688E-3</v>
      </c>
      <c r="Q13" s="98" t="b">
        <v>1</v>
      </c>
      <c r="R13" s="95">
        <v>10</v>
      </c>
      <c r="S13" s="95">
        <v>1</v>
      </c>
      <c r="T13" s="100">
        <f>IFERROR(_xll.qlRateHelperEarliestDate(N13,Trigger),"--")</f>
        <v>42748</v>
      </c>
      <c r="U13" s="100">
        <f>IFERROR(_xll.qlRateHelperPillarDate(N13,Trigger),"--")</f>
        <v>42899</v>
      </c>
      <c r="W13" s="162" t="str">
        <f t="shared" si="3"/>
        <v>DP</v>
      </c>
      <c r="X13" s="162" t="str">
        <v>obj_002a2</v>
      </c>
      <c r="Y13" s="162" t="str">
        <f>IFERROR(_xll.qlRateHelperQuoteName(X13,Trigger),"")</f>
        <v>EUR1YDP7M_Shifted</v>
      </c>
      <c r="Z13" s="184">
        <f>IFERROR(_xll.qlRateHelperRate(X13,Trigger),"")</f>
        <v>-1.00441679E-3</v>
      </c>
      <c r="AA13" s="185" t="str">
        <f>IF(ISERROR(_xll.qlSwapRateHelperSpread($X13)),IF(ISERROR(_xll.qlFuturesRateHelperConvexityAdjustment($X13)),"",_xll.qlFuturesRateHelperConvexityAdjustment($X13)),_xll.qlSwapRateHelperSpread($X13))</f>
        <v/>
      </c>
      <c r="AB13" s="163">
        <f>IFERROR(_xll.qlRateHelperEarliestDate(X13,Trigger),"")</f>
        <v>42748</v>
      </c>
      <c r="AC13" s="163">
        <f>IFERROR(_xll.qlRateHelperPillarDate(X13,Trigger),"")</f>
        <v>42961</v>
      </c>
      <c r="AD13" s="184">
        <v>-1.0187113518331603E-3</v>
      </c>
    </row>
    <row r="14" spans="1:34" ht="11.25" customHeight="1" x14ac:dyDescent="0.2">
      <c r="A14" s="62" t="str">
        <f>Quote!AP15</f>
        <v>DP</v>
      </c>
      <c r="B14" s="63" t="str">
        <f>Quote!AQ15</f>
        <v>6M</v>
      </c>
      <c r="C14" s="65" t="str">
        <f t="shared" si="2"/>
        <v>6M</v>
      </c>
      <c r="D14" s="125"/>
      <c r="E14" s="125"/>
      <c r="F14" s="125"/>
      <c r="G14" s="64" t="str">
        <f>Euribor!E10</f>
        <v>Euribor6MMX#0006</v>
      </c>
      <c r="H14" s="122" t="str">
        <f>IF(ISBLANK(Quote!AS15),"",Quote!AS15)</f>
        <v>EUR1YDP6M=#0006</v>
      </c>
      <c r="I14" s="122" t="str">
        <f>_xll.qlCompositeQuote(Currency&amp;"1Y"&amp;A14&amp;B14&amp;"_Shifted",H14,BumpValue,"+",Permanent,Trigger,ObjectOverwrite)</f>
        <v>EUR1YDP6M_Shifted#0006</v>
      </c>
      <c r="J14" s="125"/>
      <c r="K14" s="67" t="str">
        <f>_xll.qlDepositRateHelper(,IF(Sensitivity,I14,H14),G14,Permanent,Trigger,ObjectOverwrite)</f>
        <v>obj_002e2#0006</v>
      </c>
      <c r="L14" s="51"/>
      <c r="M14" s="10" t="str">
        <f t="shared" si="0"/>
        <v>DP</v>
      </c>
      <c r="N14" s="95" t="str">
        <f t="shared" si="1"/>
        <v>obj_002e2#0006</v>
      </c>
      <c r="O14" s="146" t="str">
        <f>IFERROR(_xll.qlRateHelperQuoteName(N14,Trigger),"--")</f>
        <v>EUR1YDP6M_Shifted</v>
      </c>
      <c r="P14" s="99">
        <f>IFERROR(_xll.qlRateHelperQuoteValue($N14,Trigger),"--")</f>
        <v>-1.0090000000000001E-3</v>
      </c>
      <c r="Q14" s="98" t="b">
        <v>1</v>
      </c>
      <c r="R14" s="95">
        <v>10</v>
      </c>
      <c r="S14" s="95">
        <v>1</v>
      </c>
      <c r="T14" s="100">
        <f>IFERROR(_xll.qlRateHelperEarliestDate(N14,Trigger),"--")</f>
        <v>42748</v>
      </c>
      <c r="U14" s="100">
        <f>IFERROR(_xll.qlRateHelperPillarDate(N14,Trigger),"--")</f>
        <v>42929</v>
      </c>
      <c r="W14" s="162" t="str">
        <f t="shared" si="3"/>
        <v>DP</v>
      </c>
      <c r="X14" s="162" t="str">
        <v>obj_0029b</v>
      </c>
      <c r="Y14" s="162" t="str">
        <f>IFERROR(_xll.qlRateHelperQuoteName(X14,Trigger),"")</f>
        <v>EUR1YDP8M_Shifted</v>
      </c>
      <c r="Z14" s="184">
        <f>IFERROR(_xll.qlRateHelperRate(X14,Trigger),"")</f>
        <v>-9.9460087999999995E-4</v>
      </c>
      <c r="AA14" s="185" t="str">
        <f>IF(ISERROR(_xll.qlSwapRateHelperSpread($X14)),IF(ISERROR(_xll.qlFuturesRateHelperConvexityAdjustment($X14)),"",_xll.qlFuturesRateHelperConvexityAdjustment($X14)),_xll.qlSwapRateHelperSpread($X14))</f>
        <v/>
      </c>
      <c r="AB14" s="163">
        <f>IFERROR(_xll.qlRateHelperEarliestDate(X14,Trigger),"")</f>
        <v>42748</v>
      </c>
      <c r="AC14" s="163">
        <f>IFERROR(_xll.qlRateHelperPillarDate(X14,Trigger),"")</f>
        <v>42991</v>
      </c>
      <c r="AD14" s="184">
        <v>-1.0088709004890755E-3</v>
      </c>
    </row>
    <row r="15" spans="1:34" ht="11.25" customHeight="1" x14ac:dyDescent="0.2">
      <c r="A15" s="62" t="str">
        <f>Quote!AP16</f>
        <v>DP</v>
      </c>
      <c r="B15" s="63" t="str">
        <f>Quote!AQ16</f>
        <v>7M</v>
      </c>
      <c r="C15" s="65" t="str">
        <f t="shared" si="2"/>
        <v>7M</v>
      </c>
      <c r="D15" s="125"/>
      <c r="E15" s="125"/>
      <c r="F15" s="125"/>
      <c r="G15" s="64" t="str">
        <f>_xll.qlEuribor(,C15,,,Trigger)</f>
        <v>obj_0002a#0006</v>
      </c>
      <c r="H15" s="122" t="str">
        <f>IF(ISBLANK(Quote!AS16),"",Quote!AS16)</f>
        <v>EUR1YDP7M=#0006</v>
      </c>
      <c r="I15" s="122" t="str">
        <f>_xll.qlCompositeQuote(Currency&amp;"1Y"&amp;A15&amp;B15&amp;"_Shifted",H15,BumpValue,"+",Permanent,Trigger,ObjectOverwrite)</f>
        <v>EUR1YDP7M_Shifted#0006</v>
      </c>
      <c r="J15" s="125"/>
      <c r="K15" s="67" t="str">
        <f>_xll.qlDepositRateHelper(,IF(Sensitivity,I15,H15),G15,Permanent,Trigger,ObjectOverwrite)</f>
        <v>obj_002a2#0006</v>
      </c>
      <c r="L15" s="51"/>
      <c r="M15" s="10" t="str">
        <f t="shared" si="0"/>
        <v>DP</v>
      </c>
      <c r="N15" s="95" t="str">
        <f t="shared" si="1"/>
        <v>obj_002a2#0006</v>
      </c>
      <c r="O15" s="146" t="str">
        <f>IFERROR(_xll.qlRateHelperQuoteName(N15,Trigger),"--")</f>
        <v>EUR1YDP7M_Shifted</v>
      </c>
      <c r="P15" s="99">
        <f>IFERROR(_xll.qlRateHelperQuoteValue($N15,Trigger),"--")</f>
        <v>-1.00441679E-3</v>
      </c>
      <c r="Q15" s="98" t="b">
        <v>1</v>
      </c>
      <c r="R15" s="95">
        <v>10</v>
      </c>
      <c r="S15" s="95">
        <v>1</v>
      </c>
      <c r="T15" s="100">
        <f>IFERROR(_xll.qlRateHelperEarliestDate(N15,Trigger),"--")</f>
        <v>42748</v>
      </c>
      <c r="U15" s="100">
        <f>IFERROR(_xll.qlRateHelperPillarDate(N15,Trigger),"--")</f>
        <v>42961</v>
      </c>
      <c r="W15" s="162" t="str">
        <f t="shared" si="3"/>
        <v>DP</v>
      </c>
      <c r="X15" s="162" t="str">
        <v>obj_002da</v>
      </c>
      <c r="Y15" s="162" t="str">
        <f>IFERROR(_xll.qlRateHelperQuoteName(X15,Trigger),"")</f>
        <v>EUR1YDP9M_Shifted</v>
      </c>
      <c r="Z15" s="184">
        <f>IFERROR(_xll.qlRateHelperRate(X15,Trigger),"")</f>
        <v>-9.8299999999999993E-4</v>
      </c>
      <c r="AA15" s="185" t="str">
        <f>IF(ISERROR(_xll.qlSwapRateHelperSpread($X15)),IF(ISERROR(_xll.qlFuturesRateHelperConvexityAdjustment($X15)),"",_xll.qlFuturesRateHelperConvexityAdjustment($X15)),_xll.qlSwapRateHelperSpread($X15))</f>
        <v/>
      </c>
      <c r="AB15" s="163">
        <f>IFERROR(_xll.qlRateHelperEarliestDate(X15,Trigger),"")</f>
        <v>42748</v>
      </c>
      <c r="AC15" s="163">
        <f>IFERROR(_xll.qlRateHelperPillarDate(X15,Trigger),"")</f>
        <v>43021</v>
      </c>
      <c r="AD15" s="184">
        <v>-9.9721438874844593E-4</v>
      </c>
    </row>
    <row r="16" spans="1:34" ht="11.25" customHeight="1" x14ac:dyDescent="0.2">
      <c r="A16" s="62" t="str">
        <f>Quote!AP17</f>
        <v>DP</v>
      </c>
      <c r="B16" s="63" t="str">
        <f>Quote!AQ17</f>
        <v>8M</v>
      </c>
      <c r="C16" s="65" t="str">
        <f t="shared" si="2"/>
        <v>8M</v>
      </c>
      <c r="D16" s="125"/>
      <c r="E16" s="125"/>
      <c r="F16" s="125"/>
      <c r="G16" s="64" t="str">
        <f>_xll.qlEuribor(,C16,,,Trigger)</f>
        <v>obj_00038#0006</v>
      </c>
      <c r="H16" s="122" t="str">
        <f>IF(ISBLANK(Quote!AS17),"",Quote!AS17)</f>
        <v>EUR1YDP8M=#0006</v>
      </c>
      <c r="I16" s="122" t="str">
        <f>_xll.qlCompositeQuote(Currency&amp;"1Y"&amp;A16&amp;B16&amp;"_Shifted",H16,BumpValue,"+",Permanent,Trigger,ObjectOverwrite)</f>
        <v>EUR1YDP8M_Shifted#0006</v>
      </c>
      <c r="J16" s="125"/>
      <c r="K16" s="67" t="str">
        <f>_xll.qlDepositRateHelper(,IF(Sensitivity,I16,H16),G16,Permanent,Trigger,ObjectOverwrite)</f>
        <v>obj_0029b#0006</v>
      </c>
      <c r="L16" s="51"/>
      <c r="M16" s="10" t="str">
        <f t="shared" si="0"/>
        <v>DP</v>
      </c>
      <c r="N16" s="95" t="str">
        <f t="shared" si="1"/>
        <v>obj_0029b#0006</v>
      </c>
      <c r="O16" s="146" t="str">
        <f>IFERROR(_xll.qlRateHelperQuoteName(N16,Trigger),"--")</f>
        <v>EUR1YDP8M_Shifted</v>
      </c>
      <c r="P16" s="99">
        <f>IFERROR(_xll.qlRateHelperQuoteValue($N16,Trigger),"--")</f>
        <v>-9.9460087999999995E-4</v>
      </c>
      <c r="Q16" s="98" t="b">
        <v>1</v>
      </c>
      <c r="R16" s="95">
        <v>10</v>
      </c>
      <c r="S16" s="95">
        <v>1</v>
      </c>
      <c r="T16" s="100">
        <f>IFERROR(_xll.qlRateHelperEarliestDate(N16,Trigger),"--")</f>
        <v>42748</v>
      </c>
      <c r="U16" s="100">
        <f>IFERROR(_xll.qlRateHelperPillarDate(N16,Trigger),"--")</f>
        <v>42991</v>
      </c>
      <c r="W16" s="162" t="str">
        <f t="shared" si="3"/>
        <v>DP</v>
      </c>
      <c r="X16" s="162" t="str">
        <v>obj_002ba</v>
      </c>
      <c r="Y16" s="162" t="str">
        <f>IFERROR(_xll.qlRateHelperQuoteName(X16,Trigger),"")</f>
        <v>EUR1YDP10M_Shifted</v>
      </c>
      <c r="Z16" s="184">
        <f>IFERROR(_xll.qlRateHelperRate(X16,Trigger),"")</f>
        <v>-9.7082097000000009E-4</v>
      </c>
      <c r="AA16" s="185" t="str">
        <f>IF(ISERROR(_xll.qlSwapRateHelperSpread($X16)),IF(ISERROR(_xll.qlFuturesRateHelperConvexityAdjustment($X16)),"",_xll.qlFuturesRateHelperConvexityAdjustment($X16)),_xll.qlSwapRateHelperSpread($X16))</f>
        <v/>
      </c>
      <c r="AB16" s="163">
        <f>IFERROR(_xll.qlRateHelperEarliestDate(X16,Trigger),"")</f>
        <v>42748</v>
      </c>
      <c r="AC16" s="163">
        <f>IFERROR(_xll.qlRateHelperPillarDate(X16,Trigger),"")</f>
        <v>43052</v>
      </c>
      <c r="AD16" s="184">
        <v>-9.8495949070704974E-4</v>
      </c>
    </row>
    <row r="17" spans="1:30" ht="11.25" customHeight="1" x14ac:dyDescent="0.2">
      <c r="A17" s="62" t="str">
        <f>Quote!AP18</f>
        <v>DP</v>
      </c>
      <c r="B17" s="63" t="str">
        <f>Quote!AQ18</f>
        <v>9M</v>
      </c>
      <c r="C17" s="65" t="str">
        <f t="shared" si="2"/>
        <v>9M</v>
      </c>
      <c r="D17" s="125"/>
      <c r="E17" s="125"/>
      <c r="F17" s="125"/>
      <c r="G17" s="64" t="str">
        <f>Euribor!E11</f>
        <v>Euribor9MMX#0006</v>
      </c>
      <c r="H17" s="122" t="str">
        <f>IF(ISBLANK(Quote!AS18),"",Quote!AS18)</f>
        <v>EUR1YDP9M=#0006</v>
      </c>
      <c r="I17" s="122" t="str">
        <f>_xll.qlCompositeQuote(Currency&amp;"1Y"&amp;A17&amp;B17&amp;"_Shifted",H17,BumpValue,"+",Permanent,Trigger,ObjectOverwrite)</f>
        <v>EUR1YDP9M_Shifted#0006</v>
      </c>
      <c r="J17" s="125"/>
      <c r="K17" s="67" t="str">
        <f>_xll.qlDepositRateHelper(,IF(Sensitivity,I17,H17),G17,Permanent,Trigger,ObjectOverwrite)</f>
        <v>obj_002da#0006</v>
      </c>
      <c r="L17" s="51"/>
      <c r="M17" s="10" t="str">
        <f t="shared" si="0"/>
        <v>DP</v>
      </c>
      <c r="N17" s="95" t="str">
        <f t="shared" si="1"/>
        <v>obj_002da#0006</v>
      </c>
      <c r="O17" s="146" t="str">
        <f>IFERROR(_xll.qlRateHelperQuoteName(N17,Trigger),"--")</f>
        <v>EUR1YDP9M_Shifted</v>
      </c>
      <c r="P17" s="99">
        <f>IFERROR(_xll.qlRateHelperQuoteValue($N17,Trigger),"--")</f>
        <v>-9.8299999999999993E-4</v>
      </c>
      <c r="Q17" s="98" t="b">
        <v>1</v>
      </c>
      <c r="R17" s="95">
        <v>10</v>
      </c>
      <c r="S17" s="95">
        <v>1</v>
      </c>
      <c r="T17" s="100">
        <f>IFERROR(_xll.qlRateHelperEarliestDate(N17,Trigger),"--")</f>
        <v>42748</v>
      </c>
      <c r="U17" s="100">
        <f>IFERROR(_xll.qlRateHelperPillarDate(N17,Trigger),"--")</f>
        <v>43021</v>
      </c>
      <c r="W17" s="162" t="str">
        <f t="shared" si="3"/>
        <v>DP</v>
      </c>
      <c r="X17" s="162" t="str">
        <v>obj_00324</v>
      </c>
      <c r="Y17" s="162" t="str">
        <f>IFERROR(_xll.qlRateHelperQuoteName(X17,Trigger),"")</f>
        <v>EUR1YDP11M_Shifted</v>
      </c>
      <c r="Z17" s="184">
        <f>IFERROR(_xll.qlRateHelperRate(X17,Trigger),"")</f>
        <v>-9.5770573000000011E-4</v>
      </c>
      <c r="AA17" s="185" t="str">
        <f>IF(ISERROR(_xll.qlSwapRateHelperSpread($X17)),IF(ISERROR(_xll.qlFuturesRateHelperConvexityAdjustment($X17)),"",_xll.qlFuturesRateHelperConvexityAdjustment($X17)),_xll.qlSwapRateHelperSpread($X17))</f>
        <v/>
      </c>
      <c r="AB17" s="163">
        <f>IFERROR(_xll.qlRateHelperEarliestDate(X17,Trigger),"")</f>
        <v>42748</v>
      </c>
      <c r="AC17" s="163">
        <f>IFERROR(_xll.qlRateHelperPillarDate(X17,Trigger),"")</f>
        <v>43082</v>
      </c>
      <c r="AD17" s="184">
        <v>-9.7174660499161063E-4</v>
      </c>
    </row>
    <row r="18" spans="1:30" ht="11.25" customHeight="1" x14ac:dyDescent="0.2">
      <c r="A18" s="62" t="str">
        <f>Quote!AP19</f>
        <v>DP</v>
      </c>
      <c r="B18" s="63" t="str">
        <f>Quote!AQ19</f>
        <v>10M</v>
      </c>
      <c r="C18" s="65" t="str">
        <f t="shared" si="2"/>
        <v>10M</v>
      </c>
      <c r="D18" s="125"/>
      <c r="E18" s="125"/>
      <c r="F18" s="125"/>
      <c r="G18" s="64" t="str">
        <f>_xll.qlEuribor(,C18,,,Trigger)</f>
        <v>obj_0007d#0006</v>
      </c>
      <c r="H18" s="122" t="str">
        <f>IF(ISBLANK(Quote!AS19),"",Quote!AS19)</f>
        <v>EUR1YDP10M=#0006</v>
      </c>
      <c r="I18" s="122" t="str">
        <f>_xll.qlCompositeQuote(Currency&amp;"1Y"&amp;A18&amp;B18&amp;"_Shifted",H18,BumpValue,"+",Permanent,Trigger,ObjectOverwrite)</f>
        <v>EUR1YDP10M_Shifted#0006</v>
      </c>
      <c r="J18" s="125"/>
      <c r="K18" s="67" t="str">
        <f>_xll.qlDepositRateHelper(,IF(Sensitivity,I18,H18),G18,Permanent,Trigger,ObjectOverwrite)</f>
        <v>obj_002ba#0006</v>
      </c>
      <c r="L18" s="51"/>
      <c r="M18" s="10" t="str">
        <f t="shared" si="0"/>
        <v>DP</v>
      </c>
      <c r="N18" s="95" t="str">
        <f t="shared" si="1"/>
        <v>obj_002ba#0006</v>
      </c>
      <c r="O18" s="146" t="str">
        <f>IFERROR(_xll.qlRateHelperQuoteName(N18,Trigger),"--")</f>
        <v>EUR1YDP10M_Shifted</v>
      </c>
      <c r="P18" s="99">
        <f>IFERROR(_xll.qlRateHelperQuoteValue($N18,Trigger),"--")</f>
        <v>-9.7082097000000009E-4</v>
      </c>
      <c r="Q18" s="98" t="b">
        <v>1</v>
      </c>
      <c r="R18" s="95">
        <v>10</v>
      </c>
      <c r="S18" s="95">
        <v>1</v>
      </c>
      <c r="T18" s="100">
        <f>IFERROR(_xll.qlRateHelperEarliestDate(N18,Trigger),"--")</f>
        <v>42748</v>
      </c>
      <c r="U18" s="100">
        <f>IFERROR(_xll.qlRateHelperPillarDate(N18,Trigger),"--")</f>
        <v>43052</v>
      </c>
      <c r="W18" s="162" t="str">
        <f t="shared" si="3"/>
        <v>DP</v>
      </c>
      <c r="X18" s="162" t="str">
        <v>obj_00325</v>
      </c>
      <c r="Y18" s="162" t="str">
        <f>IFERROR(_xll.qlRateHelperQuoteName(X18,Trigger),"")</f>
        <v>EUR1YDP12M_Shifted</v>
      </c>
      <c r="Z18" s="184">
        <f>IFERROR(_xll.qlRateHelperRate(X18,Trigger),"")</f>
        <v>-9.41E-4</v>
      </c>
      <c r="AA18" s="185" t="str">
        <f>IF(ISERROR(_xll.qlSwapRateHelperSpread($X18)),IF(ISERROR(_xll.qlFuturesRateHelperConvexityAdjustment($X18)),"",_xll.qlFuturesRateHelperConvexityAdjustment($X18)),_xll.qlSwapRateHelperSpread($X18))</f>
        <v/>
      </c>
      <c r="AB18" s="163">
        <f>IFERROR(_xll.qlRateHelperEarliestDate(X18,Trigger),"")</f>
        <v>42748</v>
      </c>
      <c r="AC18" s="163">
        <f>IFERROR(_xll.qlRateHelperPillarDate(X18,Trigger),"")</f>
        <v>43115</v>
      </c>
      <c r="AD18" s="184">
        <v>-9.5489925550048486E-4</v>
      </c>
    </row>
    <row r="19" spans="1:30" ht="11.25" customHeight="1" x14ac:dyDescent="0.2">
      <c r="A19" s="62" t="str">
        <f>Quote!AP20</f>
        <v>DP</v>
      </c>
      <c r="B19" s="63" t="str">
        <f>Quote!AQ20</f>
        <v>11M</v>
      </c>
      <c r="C19" s="65" t="str">
        <f t="shared" si="2"/>
        <v>11M</v>
      </c>
      <c r="D19" s="125"/>
      <c r="E19" s="125"/>
      <c r="F19" s="125"/>
      <c r="G19" s="64" t="str">
        <f>_xll.qlEuribor(,C19,,,Trigger)</f>
        <v>obj_00313#0006</v>
      </c>
      <c r="H19" s="122" t="str">
        <f>IF(ISBLANK(Quote!AS20),"",Quote!AS20)</f>
        <v>EUR1YDP11M=#0006</v>
      </c>
      <c r="I19" s="122" t="str">
        <f>_xll.qlCompositeQuote(Currency&amp;"1Y"&amp;A19&amp;B19&amp;"_Shifted",H19,BumpValue,"+",Permanent,Trigger,ObjectOverwrite)</f>
        <v>EUR1YDP11M_Shifted#0006</v>
      </c>
      <c r="J19" s="125"/>
      <c r="K19" s="67" t="str">
        <f>_xll.qlDepositRateHelper(,IF(Sensitivity,I19,H19),G19,Permanent,Trigger,ObjectOverwrite)</f>
        <v>obj_00324#0006</v>
      </c>
      <c r="L19" s="51"/>
      <c r="M19" s="10" t="str">
        <f t="shared" si="0"/>
        <v>DP</v>
      </c>
      <c r="N19" s="95" t="str">
        <f t="shared" si="1"/>
        <v>obj_00324#0006</v>
      </c>
      <c r="O19" s="146" t="str">
        <f>IFERROR(_xll.qlRateHelperQuoteName(N19,Trigger),"--")</f>
        <v>EUR1YDP11M_Shifted</v>
      </c>
      <c r="P19" s="99">
        <f>IFERROR(_xll.qlRateHelperQuoteValue($N19,Trigger),"--")</f>
        <v>-9.5770573000000011E-4</v>
      </c>
      <c r="Q19" s="98" t="b">
        <v>1</v>
      </c>
      <c r="R19" s="95">
        <v>20</v>
      </c>
      <c r="S19" s="95">
        <v>7</v>
      </c>
      <c r="T19" s="100">
        <f>IFERROR(_xll.qlRateHelperEarliestDate(N19,Trigger),"--")</f>
        <v>42748</v>
      </c>
      <c r="U19" s="100">
        <f>IFERROR(_xll.qlRateHelperPillarDate(N19,Trigger),"--")</f>
        <v>43082</v>
      </c>
      <c r="W19" s="162" t="str">
        <f t="shared" si="3"/>
        <v>FRA</v>
      </c>
      <c r="X19" s="162" t="str">
        <v>obj_00327</v>
      </c>
      <c r="Y19" s="162" t="str">
        <f>IFERROR(_xll.qlRateHelperQuoteName(X19,Trigger),"")</f>
        <v>EUR1YFRA1x13F_Shifted</v>
      </c>
      <c r="Z19" s="184">
        <f>IFERROR(_xll.qlRateHelperRate(X19,Trigger),"")</f>
        <v>-9.2000000000000003E-4</v>
      </c>
      <c r="AA19" s="185" t="str">
        <f>IF(ISERROR(_xll.qlSwapRateHelperSpread($X19)),IF(ISERROR(_xll.qlFuturesRateHelperConvexityAdjustment($X19)),"",_xll.qlFuturesRateHelperConvexityAdjustment($X19)),_xll.qlSwapRateHelperSpread($X19))</f>
        <v/>
      </c>
      <c r="AB19" s="163">
        <f>IFERROR(_xll.qlRateHelperEarliestDate(X19,Trigger),"")</f>
        <v>42779</v>
      </c>
      <c r="AC19" s="163">
        <f>IFERROR(_xll.qlRateHelperPillarDate(X19,Trigger),"")</f>
        <v>43144</v>
      </c>
      <c r="AD19" s="184">
        <v>-9.4066958119808205E-4</v>
      </c>
    </row>
    <row r="20" spans="1:30" ht="11.25" customHeight="1" x14ac:dyDescent="0.2">
      <c r="A20" s="1" t="str">
        <f>Quote!AP21</f>
        <v>DP</v>
      </c>
      <c r="B20" s="8" t="str">
        <f>Quote!AQ21</f>
        <v>12M</v>
      </c>
      <c r="C20" s="9" t="str">
        <f t="shared" si="2"/>
        <v>12M</v>
      </c>
      <c r="D20" s="126"/>
      <c r="E20" s="126"/>
      <c r="F20" s="126"/>
      <c r="G20" s="7" t="str">
        <f>Euribor!E12</f>
        <v>Euribor1YMX#0006</v>
      </c>
      <c r="H20" s="123" t="str">
        <f>IF(ISBLANK(Quote!AS21),"",Quote!AS21)</f>
        <v>EUR1YDP12M=#0006</v>
      </c>
      <c r="I20" s="123" t="str">
        <f>_xll.qlCompositeQuote(Currency&amp;"1Y"&amp;A20&amp;B20&amp;"_Shifted",H20,BumpValue,"+",Permanent,Trigger,ObjectOverwrite)</f>
        <v>EUR1YDP12M_Shifted#0006</v>
      </c>
      <c r="J20" s="126"/>
      <c r="K20" s="3" t="str">
        <f>_xll.qlDepositRateHelper(,IF(Sensitivity,I20,H20),G20,Permanent,Trigger,ObjectOverwrite)</f>
        <v>obj_00325#0006</v>
      </c>
      <c r="L20" s="51"/>
      <c r="M20" s="11" t="str">
        <f t="shared" si="0"/>
        <v>DP</v>
      </c>
      <c r="N20" s="96" t="str">
        <f t="shared" si="1"/>
        <v>obj_00325#0006</v>
      </c>
      <c r="O20" s="147" t="str">
        <f>IFERROR(_xll.qlRateHelperQuoteName(N20,Trigger),"--")</f>
        <v>EUR1YDP12M_Shifted</v>
      </c>
      <c r="P20" s="102">
        <f>IFERROR(_xll.qlRateHelperQuoteValue($N20,Trigger),"--")</f>
        <v>-9.41E-4</v>
      </c>
      <c r="Q20" s="101" t="b">
        <v>1</v>
      </c>
      <c r="R20" s="96">
        <v>20</v>
      </c>
      <c r="S20" s="96">
        <v>7</v>
      </c>
      <c r="T20" s="103">
        <f>IFERROR(_xll.qlRateHelperEarliestDate(N20,Trigger),"--")</f>
        <v>42748</v>
      </c>
      <c r="U20" s="103">
        <f>IFERROR(_xll.qlRateHelperPillarDate(N20,Trigger),"--")</f>
        <v>43115</v>
      </c>
      <c r="W20" s="162" t="str">
        <f t="shared" si="3"/>
        <v>FRA</v>
      </c>
      <c r="X20" s="162" t="str">
        <v>obj_0032a</v>
      </c>
      <c r="Y20" s="162" t="str">
        <f>IFERROR(_xll.qlRateHelperQuoteName(X20,Trigger),"")</f>
        <v>EUR1YFRA2x14F_Shifted</v>
      </c>
      <c r="Z20" s="184">
        <f>IFERROR(_xll.qlRateHelperRate(X20,Trigger),"")</f>
        <v>-8.9999999999999998E-4</v>
      </c>
      <c r="AA20" s="185" t="str">
        <f>IF(ISERROR(_xll.qlSwapRateHelperSpread($X20)),IF(ISERROR(_xll.qlFuturesRateHelperConvexityAdjustment($X20)),"",_xll.qlFuturesRateHelperConvexityAdjustment($X20)),_xll.qlSwapRateHelperSpread($X20))</f>
        <v/>
      </c>
      <c r="AB20" s="163">
        <f>IFERROR(_xll.qlRateHelperEarliestDate(X20,Trigger),"")</f>
        <v>42807</v>
      </c>
      <c r="AC20" s="163">
        <f>IFERROR(_xll.qlRateHelperPillarDate(X20,Trigger),"")</f>
        <v>43172</v>
      </c>
      <c r="AD20" s="184">
        <v>-9.2870016798880328E-4</v>
      </c>
    </row>
    <row r="21" spans="1:30" ht="11.25" customHeight="1" x14ac:dyDescent="0.2">
      <c r="B21" s="49"/>
      <c r="C21" s="49" t="s">
        <v>116</v>
      </c>
      <c r="D21" s="49"/>
      <c r="E21" s="49"/>
      <c r="F21" s="49"/>
      <c r="G21" s="49"/>
      <c r="H21" s="49"/>
      <c r="I21" s="49"/>
      <c r="L21" s="51"/>
      <c r="M21" s="10" t="str">
        <f>A23</f>
        <v>FRA</v>
      </c>
      <c r="N21" s="95" t="str">
        <f>IF(ISBLANK(K23),"--",K23)</f>
        <v>obj_00327#0006</v>
      </c>
      <c r="O21" s="146" t="str">
        <f>IFERROR(_xll.qlRateHelperQuoteName(N21,Trigger),"--")</f>
        <v>EUR1YFRA1x13F_Shifted</v>
      </c>
      <c r="P21" s="99">
        <f>IFERROR(_xll.qlRateHelperQuoteValue($N21,Trigger),"--")</f>
        <v>-9.2000000000000003E-4</v>
      </c>
      <c r="Q21" s="98" t="b">
        <v>1</v>
      </c>
      <c r="R21" s="95">
        <v>20</v>
      </c>
      <c r="S21" s="95">
        <v>7</v>
      </c>
      <c r="T21" s="100">
        <f>IFERROR(_xll.qlRateHelperEarliestDate(N21,Trigger),"--")</f>
        <v>42779</v>
      </c>
      <c r="U21" s="100">
        <f>IFERROR(_xll.qlRateHelperPillarDate(N21,Trigger),"--")</f>
        <v>43144</v>
      </c>
      <c r="W21" s="162" t="str">
        <f t="shared" si="3"/>
        <v>FRA</v>
      </c>
      <c r="X21" s="162" t="str">
        <v>obj_00328</v>
      </c>
      <c r="Y21" s="162" t="str">
        <f>IFERROR(_xll.qlRateHelperQuoteName(X21,Trigger),"")</f>
        <v>EUR1YFRA3x15F_Shifted</v>
      </c>
      <c r="Z21" s="184">
        <f>IFERROR(_xll.qlRateHelperRate(X21,Trigger),"")</f>
        <v>-8.4000000000000003E-4</v>
      </c>
      <c r="AA21" s="185" t="str">
        <f>IF(ISERROR(_xll.qlSwapRateHelperSpread($X21)),IF(ISERROR(_xll.qlFuturesRateHelperConvexityAdjustment($X21)),"",_xll.qlFuturesRateHelperConvexityAdjustment($X21)),_xll.qlSwapRateHelperSpread($X21))</f>
        <v/>
      </c>
      <c r="AB21" s="163">
        <f>IFERROR(_xll.qlRateHelperEarliestDate(X21,Trigger),"")</f>
        <v>42838</v>
      </c>
      <c r="AC21" s="163">
        <f>IFERROR(_xll.qlRateHelperPillarDate(X21,Trigger),"")</f>
        <v>43203</v>
      </c>
      <c r="AD21" s="184">
        <v>-8.8647687680744585E-4</v>
      </c>
    </row>
    <row r="22" spans="1:30" ht="11.25" customHeight="1" x14ac:dyDescent="0.2">
      <c r="A22" s="68" t="s">
        <v>9</v>
      </c>
      <c r="B22" s="68" t="s">
        <v>93</v>
      </c>
      <c r="C22" s="68" t="s">
        <v>94</v>
      </c>
      <c r="D22" s="68"/>
      <c r="E22" s="68"/>
      <c r="F22" s="68"/>
      <c r="G22" s="68" t="s">
        <v>4</v>
      </c>
      <c r="H22" s="68" t="s">
        <v>1</v>
      </c>
      <c r="I22" s="68"/>
      <c r="J22" s="68"/>
      <c r="K22" s="68" t="s">
        <v>25</v>
      </c>
      <c r="L22" s="51"/>
      <c r="M22" s="10" t="str">
        <f t="shared" ref="M22:M44" si="4">A24</f>
        <v>FRA</v>
      </c>
      <c r="N22" s="95" t="str">
        <f t="shared" ref="N22:N44" si="5">IF(ISBLANK(K24),"--",K24)</f>
        <v>obj_0032a#0006</v>
      </c>
      <c r="O22" s="146" t="str">
        <f>IFERROR(_xll.qlRateHelperQuoteName(N22,Trigger),"--")</f>
        <v>EUR1YFRA2x14F_Shifted</v>
      </c>
      <c r="P22" s="99">
        <f>IFERROR(_xll.qlRateHelperQuoteValue($N22,Trigger),"--")</f>
        <v>-8.9999999999999998E-4</v>
      </c>
      <c r="Q22" s="98" t="b">
        <v>1</v>
      </c>
      <c r="R22" s="95">
        <v>20</v>
      </c>
      <c r="S22" s="95">
        <v>7</v>
      </c>
      <c r="T22" s="100">
        <f>IFERROR(_xll.qlRateHelperEarliestDate(N22,Trigger),"--")</f>
        <v>42807</v>
      </c>
      <c r="U22" s="100">
        <f>IFERROR(_xll.qlRateHelperPillarDate(N22,Trigger),"--")</f>
        <v>43172</v>
      </c>
      <c r="W22" s="162" t="str">
        <f t="shared" si="3"/>
        <v>FRA</v>
      </c>
      <c r="X22" s="162" t="str">
        <v>obj_00323</v>
      </c>
      <c r="Y22" s="162" t="str">
        <f>IFERROR(_xll.qlRateHelperQuoteName(X22,Trigger),"")</f>
        <v>EUR1YFRA4x16F_Shifted</v>
      </c>
      <c r="Z22" s="184">
        <f>IFERROR(_xll.qlRateHelperRate(X22,Trigger),"")</f>
        <v>-7.9000000000000001E-4</v>
      </c>
      <c r="AA22" s="185" t="str">
        <f>IF(ISERROR(_xll.qlSwapRateHelperSpread($X22)),IF(ISERROR(_xll.qlFuturesRateHelperConvexityAdjustment($X22)),"",_xll.qlFuturesRateHelperConvexityAdjustment($X22)),_xll.qlSwapRateHelperSpread($X22))</f>
        <v/>
      </c>
      <c r="AB22" s="163">
        <f>IFERROR(_xll.qlRateHelperEarliestDate(X22,Trigger),"")</f>
        <v>42870</v>
      </c>
      <c r="AC22" s="163">
        <f>IFERROR(_xll.qlRateHelperPillarDate(X22,Trigger),"")</f>
        <v>43234</v>
      </c>
      <c r="AD22" s="184">
        <v>-8.5847019886982085E-4</v>
      </c>
    </row>
    <row r="23" spans="1:30" ht="11.25" customHeight="1" x14ac:dyDescent="0.2">
      <c r="A23" s="56" t="str">
        <f>Quote!AP22</f>
        <v>FRA</v>
      </c>
      <c r="B23" s="115">
        <v>1</v>
      </c>
      <c r="C23" s="59" t="str">
        <f t="shared" ref="C23:C46" si="6">"x"&amp;B23+SUBSTITUTE($C$21,"M","")&amp;"F"</f>
        <v>x13F</v>
      </c>
      <c r="D23" s="129"/>
      <c r="E23" s="129"/>
      <c r="F23" s="129"/>
      <c r="G23" s="58" t="str">
        <f>$G$20</f>
        <v>Euribor1YMX#0006</v>
      </c>
      <c r="H23" s="118" t="str">
        <f>IF(ISBLANK(Quote!AS22),"",Quote!AS22)</f>
        <v>EUR1YFRA1X13F=#0006</v>
      </c>
      <c r="I23" s="118" t="str">
        <f>_xll.qlCompositeQuote(Currency&amp;"1Y"&amp;A23&amp;B23&amp;C23&amp;"_Shifted",H23,BumpValue,"+",Permanent,Trigger,ObjectOverwrite)</f>
        <v>EUR1YFRA1x13F_Shifted#0006</v>
      </c>
      <c r="J23" s="129"/>
      <c r="K23" s="61" t="str">
        <f>_xll.qlFraRateHelper(,IF(Sensitivity,I23,H23),B23&amp;"M",G23,PillarDate,,Permanent,Trigger,ObjectOverwrite)</f>
        <v>obj_00327#0006</v>
      </c>
      <c r="L23" s="51"/>
      <c r="M23" s="10" t="str">
        <f t="shared" si="4"/>
        <v>FRA</v>
      </c>
      <c r="N23" s="95" t="str">
        <f t="shared" si="5"/>
        <v>obj_00328#0006</v>
      </c>
      <c r="O23" s="146" t="str">
        <f>IFERROR(_xll.qlRateHelperQuoteName(N23,Trigger),"--")</f>
        <v>EUR1YFRA3x15F_Shifted</v>
      </c>
      <c r="P23" s="99">
        <f>IFERROR(_xll.qlRateHelperQuoteValue($N23,Trigger),"--")</f>
        <v>-8.4000000000000003E-4</v>
      </c>
      <c r="Q23" s="98" t="b">
        <v>1</v>
      </c>
      <c r="R23" s="95">
        <v>20</v>
      </c>
      <c r="S23" s="95">
        <v>7</v>
      </c>
      <c r="T23" s="100">
        <f>IFERROR(_xll.qlRateHelperEarliestDate(N23,Trigger),"--")</f>
        <v>42838</v>
      </c>
      <c r="U23" s="100">
        <f>IFERROR(_xll.qlRateHelperPillarDate(N23,Trigger),"--")</f>
        <v>43203</v>
      </c>
      <c r="W23" s="162" t="str">
        <f t="shared" si="3"/>
        <v>FRA</v>
      </c>
      <c r="X23" s="162" t="str">
        <v>obj_0031b</v>
      </c>
      <c r="Y23" s="162" t="str">
        <f>IFERROR(_xll.qlRateHelperQuoteName(X23,Trigger),"")</f>
        <v>EUR1YFRA5x17F_Shifted</v>
      </c>
      <c r="Z23" s="184">
        <f>IFERROR(_xll.qlRateHelperRate(X23,Trigger),"")</f>
        <v>-7.3999999999999999E-4</v>
      </c>
      <c r="AA23" s="185" t="str">
        <f>IF(ISERROR(_xll.qlSwapRateHelperSpread($X23)),IF(ISERROR(_xll.qlFuturesRateHelperConvexityAdjustment($X23)),"",_xll.qlFuturesRateHelperConvexityAdjustment($X23)),_xll.qlSwapRateHelperSpread($X23))</f>
        <v/>
      </c>
      <c r="AB23" s="163">
        <f>IFERROR(_xll.qlRateHelperEarliestDate(X23,Trigger),"")</f>
        <v>42899</v>
      </c>
      <c r="AC23" s="163">
        <f>IFERROR(_xll.qlRateHelperPillarDate(X23,Trigger),"")</f>
        <v>43264</v>
      </c>
      <c r="AD23" s="184">
        <v>-8.3111678928009583E-4</v>
      </c>
    </row>
    <row r="24" spans="1:30" ht="11.25" customHeight="1" x14ac:dyDescent="0.2">
      <c r="A24" s="62" t="str">
        <f>Quote!AP23</f>
        <v>FRA</v>
      </c>
      <c r="B24" s="116">
        <v>2</v>
      </c>
      <c r="C24" s="65" t="str">
        <f t="shared" si="6"/>
        <v>x14F</v>
      </c>
      <c r="D24" s="125"/>
      <c r="E24" s="125"/>
      <c r="F24" s="125"/>
      <c r="G24" s="64" t="str">
        <f t="shared" ref="G24:G46" si="7">$G$20</f>
        <v>Euribor1YMX#0006</v>
      </c>
      <c r="H24" s="119" t="str">
        <f>IF(ISBLANK(Quote!AS23),"",Quote!AS23)</f>
        <v>EUR1YFRA2X14F=#0006</v>
      </c>
      <c r="I24" s="119" t="str">
        <f>_xll.qlCompositeQuote(Currency&amp;"1Y"&amp;A24&amp;B24&amp;C24&amp;"_Shifted",H24,BumpValue,"+",Permanent,Trigger,ObjectOverwrite)</f>
        <v>EUR1YFRA2x14F_Shifted#0006</v>
      </c>
      <c r="J24" s="125"/>
      <c r="K24" s="67" t="str">
        <f>_xll.qlFraRateHelper(,IF(Sensitivity,I24,H24),B24&amp;"M",G24,PillarDate,,Permanent,Trigger,ObjectOverwrite)</f>
        <v>obj_0032a#0006</v>
      </c>
      <c r="L24" s="51"/>
      <c r="M24" s="10" t="str">
        <f t="shared" si="4"/>
        <v>FRA</v>
      </c>
      <c r="N24" s="95" t="str">
        <f t="shared" si="5"/>
        <v>obj_00323#0006</v>
      </c>
      <c r="O24" s="146" t="str">
        <f>IFERROR(_xll.qlRateHelperQuoteName(N24,Trigger),"--")</f>
        <v>EUR1YFRA4x16F_Shifted</v>
      </c>
      <c r="P24" s="99">
        <f>IFERROR(_xll.qlRateHelperQuoteValue($N24,Trigger),"--")</f>
        <v>-7.9000000000000001E-4</v>
      </c>
      <c r="Q24" s="98" t="b">
        <v>1</v>
      </c>
      <c r="R24" s="95">
        <v>20</v>
      </c>
      <c r="S24" s="95">
        <v>7</v>
      </c>
      <c r="T24" s="100">
        <f>IFERROR(_xll.qlRateHelperEarliestDate(N24,Trigger),"--")</f>
        <v>42870</v>
      </c>
      <c r="U24" s="100">
        <f>IFERROR(_xll.qlRateHelperPillarDate(N24,Trigger),"--")</f>
        <v>43234</v>
      </c>
      <c r="W24" s="162" t="str">
        <f t="shared" si="3"/>
        <v>FRA</v>
      </c>
      <c r="X24" s="162" t="str">
        <v>obj_0031a</v>
      </c>
      <c r="Y24" s="162" t="str">
        <f>IFERROR(_xll.qlRateHelperQuoteName(X24,Trigger),"")</f>
        <v>EUR1YFRA6x18F_Shifted</v>
      </c>
      <c r="Z24" s="184">
        <f>IFERROR(_xll.qlRateHelperRate(X24,Trigger),"")</f>
        <v>-6.7000000000000002E-4</v>
      </c>
      <c r="AA24" s="185" t="str">
        <f>IF(ISERROR(_xll.qlSwapRateHelperSpread($X24)),IF(ISERROR(_xll.qlFuturesRateHelperConvexityAdjustment($X24)),"",_xll.qlFuturesRateHelperConvexityAdjustment($X24)),_xll.qlSwapRateHelperSpread($X24))</f>
        <v/>
      </c>
      <c r="AB24" s="163">
        <f>IFERROR(_xll.qlRateHelperEarliestDate(X24,Trigger),"")</f>
        <v>42929</v>
      </c>
      <c r="AC24" s="163">
        <f>IFERROR(_xll.qlRateHelperPillarDate(X24,Trigger),"")</f>
        <v>43294</v>
      </c>
      <c r="AD24" s="184">
        <v>-7.9432402337969912E-4</v>
      </c>
    </row>
    <row r="25" spans="1:30" ht="11.25" customHeight="1" x14ac:dyDescent="0.2">
      <c r="A25" s="62" t="str">
        <f>Quote!AP24</f>
        <v>FRA</v>
      </c>
      <c r="B25" s="116">
        <v>3</v>
      </c>
      <c r="C25" s="65" t="str">
        <f t="shared" si="6"/>
        <v>x15F</v>
      </c>
      <c r="D25" s="125"/>
      <c r="E25" s="125"/>
      <c r="F25" s="125"/>
      <c r="G25" s="64" t="str">
        <f t="shared" si="7"/>
        <v>Euribor1YMX#0006</v>
      </c>
      <c r="H25" s="119" t="str">
        <f>IF(ISBLANK(Quote!AS24),"",Quote!AS24)</f>
        <v>EUR1YFRA3X15F=#0006</v>
      </c>
      <c r="I25" s="119" t="str">
        <f>_xll.qlCompositeQuote(Currency&amp;"1Y"&amp;A25&amp;B25&amp;C25&amp;"_Shifted",H25,BumpValue,"+",Permanent,Trigger,ObjectOverwrite)</f>
        <v>EUR1YFRA3x15F_Shifted#0006</v>
      </c>
      <c r="J25" s="125"/>
      <c r="K25" s="67" t="str">
        <f>_xll.qlFraRateHelper(,IF(Sensitivity,I25,H25),B25&amp;"M",G25,PillarDate,,Permanent,Trigger,ObjectOverwrite)</f>
        <v>obj_00328#0006</v>
      </c>
      <c r="L25" s="51"/>
      <c r="M25" s="10" t="str">
        <f t="shared" si="4"/>
        <v>FRA</v>
      </c>
      <c r="N25" s="95" t="str">
        <f t="shared" si="5"/>
        <v>obj_0031b#0006</v>
      </c>
      <c r="O25" s="146" t="str">
        <f>IFERROR(_xll.qlRateHelperQuoteName(N25,Trigger),"--")</f>
        <v>EUR1YFRA5x17F_Shifted</v>
      </c>
      <c r="P25" s="99">
        <f>IFERROR(_xll.qlRateHelperQuoteValue($N25,Trigger),"--")</f>
        <v>-7.3999999999999999E-4</v>
      </c>
      <c r="Q25" s="98" t="b">
        <v>1</v>
      </c>
      <c r="R25" s="95">
        <v>20</v>
      </c>
      <c r="S25" s="95">
        <v>7</v>
      </c>
      <c r="T25" s="100">
        <f>IFERROR(_xll.qlRateHelperEarliestDate(N25,Trigger),"--")</f>
        <v>42899</v>
      </c>
      <c r="U25" s="100">
        <f>IFERROR(_xll.qlRateHelperPillarDate(N25,Trigger),"--")</f>
        <v>43264</v>
      </c>
      <c r="W25" s="162" t="str">
        <f t="shared" si="3"/>
        <v>FRA</v>
      </c>
      <c r="X25" s="162" t="str">
        <v>obj_0031f</v>
      </c>
      <c r="Y25" s="162" t="str">
        <f>IFERROR(_xll.qlRateHelperQuoteName(X25,Trigger),"")</f>
        <v>EUR1YFRA7x19F_Shifted</v>
      </c>
      <c r="Z25" s="184">
        <f>IFERROR(_xll.qlRateHelperRate(X25,Trigger),"")</f>
        <v>-5.9000000000000003E-4</v>
      </c>
      <c r="AA25" s="185" t="str">
        <f>IF(ISERROR(_xll.qlSwapRateHelperSpread($X25)),IF(ISERROR(_xll.qlFuturesRateHelperConvexityAdjustment($X25)),"",_xll.qlFuturesRateHelperConvexityAdjustment($X25)),_xll.qlSwapRateHelperSpread($X25))</f>
        <v/>
      </c>
      <c r="AB25" s="163">
        <f>IFERROR(_xll.qlRateHelperEarliestDate(X25,Trigger),"")</f>
        <v>42961</v>
      </c>
      <c r="AC25" s="163">
        <f>IFERROR(_xll.qlRateHelperPillarDate(X25,Trigger),"")</f>
        <v>43325</v>
      </c>
      <c r="AD25" s="184">
        <v>-7.5565196221532161E-4</v>
      </c>
    </row>
    <row r="26" spans="1:30" ht="11.25" customHeight="1" x14ac:dyDescent="0.2">
      <c r="A26" s="62" t="str">
        <f>Quote!AP25</f>
        <v>FRA</v>
      </c>
      <c r="B26" s="116">
        <v>4</v>
      </c>
      <c r="C26" s="65" t="str">
        <f t="shared" si="6"/>
        <v>x16F</v>
      </c>
      <c r="D26" s="125"/>
      <c r="E26" s="125"/>
      <c r="F26" s="125"/>
      <c r="G26" s="64" t="str">
        <f t="shared" si="7"/>
        <v>Euribor1YMX#0006</v>
      </c>
      <c r="H26" s="119" t="str">
        <f>IF(ISBLANK(Quote!AS25),"",Quote!AS25)</f>
        <v>EUR1YFRA4X16F=#0006</v>
      </c>
      <c r="I26" s="119" t="str">
        <f>_xll.qlCompositeQuote(Currency&amp;"1Y"&amp;A26&amp;B26&amp;C26&amp;"_Shifted",H26,BumpValue,"+",Permanent,Trigger,ObjectOverwrite)</f>
        <v>EUR1YFRA4x16F_Shifted#0006</v>
      </c>
      <c r="J26" s="125"/>
      <c r="K26" s="67" t="str">
        <f>_xll.qlFraRateHelper(,IF(Sensitivity,I26,H26),B26&amp;"M",G26,PillarDate,,Permanent,Trigger,ObjectOverwrite)</f>
        <v>obj_00323#0006</v>
      </c>
      <c r="L26" s="51"/>
      <c r="M26" s="10" t="str">
        <f t="shared" si="4"/>
        <v>FRA</v>
      </c>
      <c r="N26" s="95" t="str">
        <f t="shared" si="5"/>
        <v>obj_0031a#0006</v>
      </c>
      <c r="O26" s="146" t="str">
        <f>IFERROR(_xll.qlRateHelperQuoteName(N26,Trigger),"--")</f>
        <v>EUR1YFRA6x18F_Shifted</v>
      </c>
      <c r="P26" s="99">
        <f>IFERROR(_xll.qlRateHelperQuoteValue($N26,Trigger),"--")</f>
        <v>-6.7000000000000002E-4</v>
      </c>
      <c r="Q26" s="98" t="b">
        <v>1</v>
      </c>
      <c r="R26" s="95">
        <v>20</v>
      </c>
      <c r="S26" s="95">
        <v>7</v>
      </c>
      <c r="T26" s="100">
        <f>IFERROR(_xll.qlRateHelperEarliestDate(N26,Trigger),"--")</f>
        <v>42929</v>
      </c>
      <c r="U26" s="100">
        <f>IFERROR(_xll.qlRateHelperPillarDate(N26,Trigger),"--")</f>
        <v>43294</v>
      </c>
      <c r="W26" s="162" t="str">
        <f t="shared" si="3"/>
        <v>FRA</v>
      </c>
      <c r="X26" s="162" t="str">
        <v>obj_00317</v>
      </c>
      <c r="Y26" s="162" t="str">
        <f>IFERROR(_xll.qlRateHelperQuoteName(X26,Trigger),"")</f>
        <v>EUR1YFRA8x20F_Shifted</v>
      </c>
      <c r="Z26" s="184">
        <f>IFERROR(_xll.qlRateHelperRate(X26,Trigger),"")</f>
        <v>-4.8999999999999998E-4</v>
      </c>
      <c r="AA26" s="185" t="str">
        <f>IF(ISERROR(_xll.qlSwapRateHelperSpread($X26)),IF(ISERROR(_xll.qlFuturesRateHelperConvexityAdjustment($X26)),"",_xll.qlFuturesRateHelperConvexityAdjustment($X26)),_xll.qlSwapRateHelperSpread($X26))</f>
        <v/>
      </c>
      <c r="AB26" s="163">
        <f>IFERROR(_xll.qlRateHelperEarliestDate(X26,Trigger),"")</f>
        <v>42991</v>
      </c>
      <c r="AC26" s="163">
        <f>IFERROR(_xll.qlRateHelperPillarDate(X26,Trigger),"")</f>
        <v>43356</v>
      </c>
      <c r="AD26" s="184">
        <v>-7.02545011800499E-4</v>
      </c>
    </row>
    <row r="27" spans="1:30" ht="11.25" customHeight="1" x14ac:dyDescent="0.2">
      <c r="A27" s="62" t="str">
        <f>Quote!AP26</f>
        <v>FRA</v>
      </c>
      <c r="B27" s="116">
        <v>5</v>
      </c>
      <c r="C27" s="65" t="str">
        <f t="shared" si="6"/>
        <v>x17F</v>
      </c>
      <c r="D27" s="125"/>
      <c r="E27" s="125"/>
      <c r="F27" s="125"/>
      <c r="G27" s="64" t="str">
        <f t="shared" si="7"/>
        <v>Euribor1YMX#0006</v>
      </c>
      <c r="H27" s="119" t="str">
        <f>IF(ISBLANK(Quote!AS26),"",Quote!AS26)</f>
        <v>EUR1YFRA5X17F=#0006</v>
      </c>
      <c r="I27" s="119" t="str">
        <f>_xll.qlCompositeQuote(Currency&amp;"1Y"&amp;A27&amp;B27&amp;C27&amp;"_Shifted",H27,BumpValue,"+",Permanent,Trigger,ObjectOverwrite)</f>
        <v>EUR1YFRA5x17F_Shifted#0006</v>
      </c>
      <c r="J27" s="125"/>
      <c r="K27" s="67" t="str">
        <f>_xll.qlFraRateHelper(,IF(Sensitivity,I27,H27),B27&amp;"M",G27,PillarDate,,Permanent,Trigger,ObjectOverwrite)</f>
        <v>obj_0031b#0006</v>
      </c>
      <c r="L27" s="51"/>
      <c r="M27" s="10" t="str">
        <f t="shared" si="4"/>
        <v>FRA</v>
      </c>
      <c r="N27" s="95" t="str">
        <f t="shared" si="5"/>
        <v>obj_0031f#0006</v>
      </c>
      <c r="O27" s="146" t="str">
        <f>IFERROR(_xll.qlRateHelperQuoteName(N27,Trigger),"--")</f>
        <v>EUR1YFRA7x19F_Shifted</v>
      </c>
      <c r="P27" s="99">
        <f>IFERROR(_xll.qlRateHelperQuoteValue($N27,Trigger),"--")</f>
        <v>-5.9000000000000003E-4</v>
      </c>
      <c r="Q27" s="98" t="b">
        <v>1</v>
      </c>
      <c r="R27" s="95">
        <v>20</v>
      </c>
      <c r="S27" s="95">
        <v>7</v>
      </c>
      <c r="T27" s="100">
        <f>IFERROR(_xll.qlRateHelperEarliestDate(N27,Trigger),"--")</f>
        <v>42961</v>
      </c>
      <c r="U27" s="100">
        <f>IFERROR(_xll.qlRateHelperPillarDate(N27,Trigger),"--")</f>
        <v>43325</v>
      </c>
      <c r="W27" s="162" t="str">
        <f t="shared" si="3"/>
        <v>FRA</v>
      </c>
      <c r="X27" s="162" t="str">
        <v>obj_00316</v>
      </c>
      <c r="Y27" s="162" t="str">
        <f>IFERROR(_xll.qlRateHelperQuoteName(X27,Trigger),"")</f>
        <v>EUR1YFRA9x21F_Shifted</v>
      </c>
      <c r="Z27" s="184">
        <f>IFERROR(_xll.qlRateHelperRate(X27,Trigger),"")</f>
        <v>-3.8999999999999999E-4</v>
      </c>
      <c r="AA27" s="185" t="str">
        <f>IF(ISERROR(_xll.qlSwapRateHelperSpread($X27)),IF(ISERROR(_xll.qlFuturesRateHelperConvexityAdjustment($X27)),"",_xll.qlFuturesRateHelperConvexityAdjustment($X27)),_xll.qlSwapRateHelperSpread($X27))</f>
        <v/>
      </c>
      <c r="AB27" s="163">
        <f>IFERROR(_xll.qlRateHelperEarliestDate(X27,Trigger),"")</f>
        <v>43021</v>
      </c>
      <c r="AC27" s="163">
        <f>IFERROR(_xll.qlRateHelperPillarDate(X27,Trigger),"")</f>
        <v>43388</v>
      </c>
      <c r="AD27" s="184">
        <v>-6.5324101161494256E-4</v>
      </c>
    </row>
    <row r="28" spans="1:30" ht="11.25" customHeight="1" x14ac:dyDescent="0.2">
      <c r="A28" s="62" t="str">
        <f>Quote!AP27</f>
        <v>FRA</v>
      </c>
      <c r="B28" s="116">
        <v>6</v>
      </c>
      <c r="C28" s="65" t="str">
        <f t="shared" si="6"/>
        <v>x18F</v>
      </c>
      <c r="D28" s="125"/>
      <c r="E28" s="125"/>
      <c r="F28" s="125"/>
      <c r="G28" s="64" t="str">
        <f t="shared" si="7"/>
        <v>Euribor1YMX#0006</v>
      </c>
      <c r="H28" s="119" t="str">
        <f>IF(ISBLANK(Quote!AS27),"",Quote!AS27)</f>
        <v>EUR1YFRA6X18F=#0006</v>
      </c>
      <c r="I28" s="119" t="str">
        <f>_xll.qlCompositeQuote(Currency&amp;"1Y"&amp;A28&amp;B28&amp;C28&amp;"_Shifted",H28,BumpValue,"+",Permanent,Trigger,ObjectOverwrite)</f>
        <v>EUR1YFRA6x18F_Shifted#0006</v>
      </c>
      <c r="J28" s="125"/>
      <c r="K28" s="67" t="str">
        <f>_xll.qlFraRateHelper(,IF(Sensitivity,I28,H28),B28&amp;"M",G28,PillarDate,,Permanent,Trigger,ObjectOverwrite)</f>
        <v>obj_0031a#0006</v>
      </c>
      <c r="L28" s="51"/>
      <c r="M28" s="10" t="str">
        <f t="shared" si="4"/>
        <v>FRA</v>
      </c>
      <c r="N28" s="95" t="str">
        <f t="shared" si="5"/>
        <v>obj_00317#0006</v>
      </c>
      <c r="O28" s="146" t="str">
        <f>IFERROR(_xll.qlRateHelperQuoteName(N28,Trigger),"--")</f>
        <v>EUR1YFRA8x20F_Shifted</v>
      </c>
      <c r="P28" s="99">
        <f>IFERROR(_xll.qlRateHelperQuoteValue($N28,Trigger),"--")</f>
        <v>-4.8999999999999998E-4</v>
      </c>
      <c r="Q28" s="98" t="b">
        <v>1</v>
      </c>
      <c r="R28" s="95">
        <v>20</v>
      </c>
      <c r="S28" s="95">
        <v>7</v>
      </c>
      <c r="T28" s="100">
        <f>IFERROR(_xll.qlRateHelperEarliestDate(N28,Trigger),"--")</f>
        <v>42991</v>
      </c>
      <c r="U28" s="100">
        <f>IFERROR(_xll.qlRateHelperPillarDate(N28,Trigger),"--")</f>
        <v>43356</v>
      </c>
      <c r="W28" s="162" t="str">
        <f t="shared" si="3"/>
        <v>FRA</v>
      </c>
      <c r="X28" s="162" t="str">
        <v>obj_00319</v>
      </c>
      <c r="Y28" s="162" t="str">
        <f>IFERROR(_xll.qlRateHelperQuoteName(X28,Trigger),"")</f>
        <v>EUR1YFRA10x22F_Shifted</v>
      </c>
      <c r="Z28" s="184">
        <f>IFERROR(_xll.qlRateHelperRate(X28,Trigger),"")</f>
        <v>-2.9E-4</v>
      </c>
      <c r="AA28" s="185" t="str">
        <f>IF(ISERROR(_xll.qlSwapRateHelperSpread($X28)),IF(ISERROR(_xll.qlFuturesRateHelperConvexityAdjustment($X28)),"",_xll.qlFuturesRateHelperConvexityAdjustment($X28)),_xll.qlSwapRateHelperSpread($X28))</f>
        <v/>
      </c>
      <c r="AB28" s="163">
        <f>IFERROR(_xll.qlRateHelperEarliestDate(X28,Trigger),"")</f>
        <v>43052</v>
      </c>
      <c r="AC28" s="163">
        <f>IFERROR(_xll.qlRateHelperPillarDate(X28,Trigger),"")</f>
        <v>43417</v>
      </c>
      <c r="AD28" s="184">
        <v>-6.0914086988029777E-4</v>
      </c>
    </row>
    <row r="29" spans="1:30" ht="11.25" customHeight="1" x14ac:dyDescent="0.2">
      <c r="A29" s="62" t="str">
        <f>Quote!AP28</f>
        <v>FRA</v>
      </c>
      <c r="B29" s="116">
        <v>7</v>
      </c>
      <c r="C29" s="65" t="str">
        <f t="shared" si="6"/>
        <v>x19F</v>
      </c>
      <c r="D29" s="125"/>
      <c r="E29" s="125"/>
      <c r="F29" s="125"/>
      <c r="G29" s="64" t="str">
        <f t="shared" si="7"/>
        <v>Euribor1YMX#0006</v>
      </c>
      <c r="H29" s="119" t="str">
        <f>IF(ISBLANK(Quote!AS28),"",Quote!AS28)</f>
        <v>EUR1YFRA7X19F=#0006</v>
      </c>
      <c r="I29" s="119" t="str">
        <f>_xll.qlCompositeQuote(Currency&amp;"1Y"&amp;A29&amp;B29&amp;C29&amp;"_Shifted",H29,BumpValue,"+",Permanent,Trigger,ObjectOverwrite)</f>
        <v>EUR1YFRA7x19F_Shifted#0006</v>
      </c>
      <c r="J29" s="125"/>
      <c r="K29" s="67" t="str">
        <f>_xll.qlFraRateHelper(,IF(Sensitivity,I29,H29),B29&amp;"M",G29,PillarDate,,Permanent,Trigger,ObjectOverwrite)</f>
        <v>obj_0031f#0006</v>
      </c>
      <c r="L29" s="51"/>
      <c r="M29" s="10" t="str">
        <f t="shared" si="4"/>
        <v>FRA</v>
      </c>
      <c r="N29" s="95" t="str">
        <f t="shared" si="5"/>
        <v>obj_00316#0006</v>
      </c>
      <c r="O29" s="146" t="str">
        <f>IFERROR(_xll.qlRateHelperQuoteName(N29,Trigger),"--")</f>
        <v>EUR1YFRA9x21F_Shifted</v>
      </c>
      <c r="P29" s="99">
        <f>IFERROR(_xll.qlRateHelperQuoteValue($N29,Trigger),"--")</f>
        <v>-3.8999999999999999E-4</v>
      </c>
      <c r="Q29" s="98" t="b">
        <v>1</v>
      </c>
      <c r="R29" s="95">
        <v>20</v>
      </c>
      <c r="S29" s="95">
        <v>7</v>
      </c>
      <c r="T29" s="100">
        <f>IFERROR(_xll.qlRateHelperEarliestDate(N29,Trigger),"--")</f>
        <v>43021</v>
      </c>
      <c r="U29" s="100">
        <f>IFERROR(_xll.qlRateHelperPillarDate(N29,Trigger),"--")</f>
        <v>43388</v>
      </c>
      <c r="W29" s="162" t="str">
        <f t="shared" si="3"/>
        <v>FRA</v>
      </c>
      <c r="X29" s="162" t="str">
        <v>obj_0031e</v>
      </c>
      <c r="Y29" s="162" t="str">
        <f>IFERROR(_xll.qlRateHelperQuoteName(X29,Trigger),"")</f>
        <v>EUR1YFRA11x23F_Shifted</v>
      </c>
      <c r="Z29" s="184">
        <f>IFERROR(_xll.qlRateHelperRate(X29,Trigger),"")</f>
        <v>-1.8000000000000001E-4</v>
      </c>
      <c r="AA29" s="185" t="str">
        <f>IF(ISERROR(_xll.qlSwapRateHelperSpread($X29)),IF(ISERROR(_xll.qlFuturesRateHelperConvexityAdjustment($X29)),"",_xll.qlFuturesRateHelperConvexityAdjustment($X29)),_xll.qlSwapRateHelperSpread($X29))</f>
        <v/>
      </c>
      <c r="AB29" s="163">
        <f>IFERROR(_xll.qlRateHelperEarliestDate(X29,Trigger),"")</f>
        <v>43082</v>
      </c>
      <c r="AC29" s="163">
        <f>IFERROR(_xll.qlRateHelperPillarDate(X29,Trigger),"")</f>
        <v>43447</v>
      </c>
      <c r="AD29" s="184">
        <v>-5.6080661684381502E-4</v>
      </c>
    </row>
    <row r="30" spans="1:30" ht="11.25" customHeight="1" x14ac:dyDescent="0.2">
      <c r="A30" s="62" t="str">
        <f>Quote!AP29</f>
        <v>FRA</v>
      </c>
      <c r="B30" s="116">
        <v>8</v>
      </c>
      <c r="C30" s="65" t="str">
        <f t="shared" si="6"/>
        <v>x20F</v>
      </c>
      <c r="D30" s="125"/>
      <c r="E30" s="125"/>
      <c r="F30" s="125"/>
      <c r="G30" s="64" t="str">
        <f t="shared" si="7"/>
        <v>Euribor1YMX#0006</v>
      </c>
      <c r="H30" s="119" t="str">
        <f>IF(ISBLANK(Quote!AS29),"",Quote!AS29)</f>
        <v>EUR1YFRA8X20F=#0006</v>
      </c>
      <c r="I30" s="119" t="str">
        <f>_xll.qlCompositeQuote(Currency&amp;"1Y"&amp;A30&amp;B30&amp;C30&amp;"_Shifted",H30,BumpValue,"+",Permanent,Trigger,ObjectOverwrite)</f>
        <v>EUR1YFRA8x20F_Shifted#0006</v>
      </c>
      <c r="J30" s="125"/>
      <c r="K30" s="67" t="str">
        <f>_xll.qlFraRateHelper(,IF(Sensitivity,I30,H30),B30&amp;"M",G30,PillarDate,,Permanent,Trigger,ObjectOverwrite)</f>
        <v>obj_00317#0006</v>
      </c>
      <c r="L30" s="51"/>
      <c r="M30" s="10" t="str">
        <f t="shared" si="4"/>
        <v>FRA</v>
      </c>
      <c r="N30" s="95" t="str">
        <f t="shared" si="5"/>
        <v>obj_00319#0006</v>
      </c>
      <c r="O30" s="146" t="str">
        <f>IFERROR(_xll.qlRateHelperQuoteName(N30,Trigger),"--")</f>
        <v>EUR1YFRA10x22F_Shifted</v>
      </c>
      <c r="P30" s="99">
        <f>IFERROR(_xll.qlRateHelperQuoteValue($N30,Trigger),"--")</f>
        <v>-2.9E-4</v>
      </c>
      <c r="Q30" s="98" t="b">
        <v>1</v>
      </c>
      <c r="R30" s="95">
        <v>20</v>
      </c>
      <c r="S30" s="95">
        <v>7</v>
      </c>
      <c r="T30" s="100">
        <f>IFERROR(_xll.qlRateHelperEarliestDate(N30,Trigger),"--")</f>
        <v>43052</v>
      </c>
      <c r="U30" s="100">
        <f>IFERROR(_xll.qlRateHelperPillarDate(N30,Trigger),"--")</f>
        <v>43417</v>
      </c>
      <c r="W30" s="162" t="str">
        <f t="shared" si="3"/>
        <v>FRA</v>
      </c>
      <c r="X30" s="162" t="str">
        <v>obj_00321</v>
      </c>
      <c r="Y30" s="162" t="str">
        <f>IFERROR(_xll.qlRateHelperQuoteName(X30,Trigger),"")</f>
        <v>EUR1YFRA12x24F_Shifted</v>
      </c>
      <c r="Z30" s="184">
        <f>IFERROR(_xll.qlRateHelperRate(X30,Trigger),"")</f>
        <v>-5.0000000000000002E-5</v>
      </c>
      <c r="AA30" s="185" t="str">
        <f>IF(ISERROR(_xll.qlSwapRateHelperSpread($X30)),IF(ISERROR(_xll.qlFuturesRateHelperConvexityAdjustment($X30)),"",_xll.qlFuturesRateHelperConvexityAdjustment($X30)),_xll.qlSwapRateHelperSpread($X30))</f>
        <v/>
      </c>
      <c r="AB30" s="163">
        <f>IFERROR(_xll.qlRateHelperEarliestDate(X30,Trigger),"")</f>
        <v>43115</v>
      </c>
      <c r="AC30" s="163">
        <f>IFERROR(_xll.qlRateHelperPillarDate(X30,Trigger),"")</f>
        <v>43479</v>
      </c>
      <c r="AD30" s="184">
        <v>-5.0703958042408166E-4</v>
      </c>
    </row>
    <row r="31" spans="1:30" ht="11.25" customHeight="1" x14ac:dyDescent="0.2">
      <c r="A31" s="62" t="str">
        <f>Quote!AP30</f>
        <v>FRA</v>
      </c>
      <c r="B31" s="116">
        <v>9</v>
      </c>
      <c r="C31" s="65" t="str">
        <f t="shared" si="6"/>
        <v>x21F</v>
      </c>
      <c r="D31" s="125"/>
      <c r="E31" s="125"/>
      <c r="F31" s="125"/>
      <c r="G31" s="64" t="str">
        <f t="shared" si="7"/>
        <v>Euribor1YMX#0006</v>
      </c>
      <c r="H31" s="119" t="str">
        <f>IF(ISBLANK(Quote!AS30),"",Quote!AS30)</f>
        <v>EUR1YFRA9X21F=#0006</v>
      </c>
      <c r="I31" s="119" t="str">
        <f>_xll.qlCompositeQuote(Currency&amp;"1Y"&amp;A31&amp;B31&amp;C31&amp;"_Shifted",H31,BumpValue,"+",Permanent,Trigger,ObjectOverwrite)</f>
        <v>EUR1YFRA9x21F_Shifted#0006</v>
      </c>
      <c r="J31" s="125"/>
      <c r="K31" s="67" t="str">
        <f>_xll.qlFraRateHelper(,IF(Sensitivity,I31,H31),B31&amp;"M",G31,PillarDate,,Permanent,Trigger,ObjectOverwrite)</f>
        <v>obj_00316#0006</v>
      </c>
      <c r="L31" s="51"/>
      <c r="M31" s="10" t="str">
        <f t="shared" si="4"/>
        <v>FRA</v>
      </c>
      <c r="N31" s="95" t="str">
        <f t="shared" si="5"/>
        <v>obj_0031e#0006</v>
      </c>
      <c r="O31" s="146" t="str">
        <f>IFERROR(_xll.qlRateHelperQuoteName(N31,Trigger),"--")</f>
        <v>EUR1YFRA11x23F_Shifted</v>
      </c>
      <c r="P31" s="99">
        <f>IFERROR(_xll.qlRateHelperQuoteValue($N31,Trigger),"--")</f>
        <v>-1.8000000000000001E-4</v>
      </c>
      <c r="Q31" s="98" t="b">
        <v>1</v>
      </c>
      <c r="R31" s="95">
        <v>20</v>
      </c>
      <c r="S31" s="95">
        <v>7</v>
      </c>
      <c r="T31" s="100">
        <f>IFERROR(_xll.qlRateHelperEarliestDate(N31,Trigger),"--")</f>
        <v>43082</v>
      </c>
      <c r="U31" s="100">
        <f>IFERROR(_xll.qlRateHelperPillarDate(N31,Trigger),"--")</f>
        <v>43447</v>
      </c>
      <c r="W31" s="162" t="str">
        <f t="shared" si="3"/>
        <v>SW</v>
      </c>
      <c r="X31" s="162" t="str">
        <v>obj_003d2</v>
      </c>
      <c r="Y31" s="162" t="str">
        <f>IFERROR(_xll.qlRateHelperQuoteName(X31,Trigger),"")</f>
        <v>EUR1YSW3Y_Shifted</v>
      </c>
      <c r="Z31" s="184">
        <f>IFERROR(_xll.qlRateHelperRate(X31,Trigger),"")</f>
        <v>2.3000000000000001E-4</v>
      </c>
      <c r="AA31" s="185">
        <f>IF(ISERROR(_xll.qlSwapRateHelperSpread($X31)),IF(ISERROR(_xll.qlFuturesRateHelperConvexityAdjustment($X31)),"",_xll.qlFuturesRateHelperConvexityAdjustment($X31)),_xll.qlSwapRateHelperSpread($X31))</f>
        <v>0</v>
      </c>
      <c r="AB31" s="163">
        <f>IFERROR(_xll.qlRateHelperEarliestDate(X31,Trigger),"")</f>
        <v>42748</v>
      </c>
      <c r="AC31" s="163">
        <f>IFERROR(_xll.qlRateHelperPillarDate(X31,Trigger),"")</f>
        <v>43843</v>
      </c>
      <c r="AD31" s="184">
        <v>2.1441798447975095E-4</v>
      </c>
    </row>
    <row r="32" spans="1:30" ht="11.25" customHeight="1" x14ac:dyDescent="0.2">
      <c r="A32" s="62" t="str">
        <f>Quote!AP31</f>
        <v>FRA</v>
      </c>
      <c r="B32" s="116">
        <v>10</v>
      </c>
      <c r="C32" s="65" t="str">
        <f t="shared" si="6"/>
        <v>x22F</v>
      </c>
      <c r="D32" s="125"/>
      <c r="E32" s="125"/>
      <c r="F32" s="125"/>
      <c r="G32" s="64" t="str">
        <f t="shared" si="7"/>
        <v>Euribor1YMX#0006</v>
      </c>
      <c r="H32" s="119" t="str">
        <f>IF(ISBLANK(Quote!AS31),"",Quote!AS31)</f>
        <v>EUR1YFRA10X22F=#0006</v>
      </c>
      <c r="I32" s="119" t="str">
        <f>_xll.qlCompositeQuote(Currency&amp;"1Y"&amp;A32&amp;B32&amp;C32&amp;"_Shifted",H32,BumpValue,"+",Permanent,Trigger,ObjectOverwrite)</f>
        <v>EUR1YFRA10x22F_Shifted#0006</v>
      </c>
      <c r="J32" s="125"/>
      <c r="K32" s="67" t="str">
        <f>_xll.qlFraRateHelper(,IF(Sensitivity,I32,H32),B32&amp;"M",G32,PillarDate,,Permanent,Trigger,ObjectOverwrite)</f>
        <v>obj_00319#0006</v>
      </c>
      <c r="L32" s="51"/>
      <c r="M32" s="10" t="str">
        <f t="shared" si="4"/>
        <v>FRA</v>
      </c>
      <c r="N32" s="95" t="str">
        <f t="shared" si="5"/>
        <v>obj_00321#0006</v>
      </c>
      <c r="O32" s="146" t="str">
        <f>IFERROR(_xll.qlRateHelperQuoteName(N32,Trigger),"--")</f>
        <v>EUR1YFRA12x24F_Shifted</v>
      </c>
      <c r="P32" s="99">
        <f>IFERROR(_xll.qlRateHelperQuoteValue($N32,Trigger),"--")</f>
        <v>-5.0000000000000002E-5</v>
      </c>
      <c r="Q32" s="98" t="b">
        <v>1</v>
      </c>
      <c r="R32" s="95">
        <v>20</v>
      </c>
      <c r="S32" s="95">
        <v>7</v>
      </c>
      <c r="T32" s="100">
        <f>IFERROR(_xll.qlRateHelperEarliestDate(N32,Trigger),"--")</f>
        <v>43115</v>
      </c>
      <c r="U32" s="100">
        <f>IFERROR(_xll.qlRateHelperPillarDate(N32,Trigger),"--")</f>
        <v>43479</v>
      </c>
      <c r="W32" s="162" t="str">
        <f t="shared" si="3"/>
        <v>SW</v>
      </c>
      <c r="X32" s="162" t="str">
        <v>obj_003d4</v>
      </c>
      <c r="Y32" s="162" t="str">
        <f>IFERROR(_xll.qlRateHelperQuoteName(X32,Trigger),"")</f>
        <v>EUR1YSW4Y_Shifted</v>
      </c>
      <c r="Z32" s="184">
        <f>IFERROR(_xll.qlRateHelperRate(X32,Trigger),"")</f>
        <v>1.1200000000000001E-3</v>
      </c>
      <c r="AA32" s="185">
        <f>IF(ISERROR(_xll.qlSwapRateHelperSpread($X32)),IF(ISERROR(_xll.qlFuturesRateHelperConvexityAdjustment($X32)),"",_xll.qlFuturesRateHelperConvexityAdjustment($X32)),_xll.qlSwapRateHelperSpread($X32))</f>
        <v>0</v>
      </c>
      <c r="AB32" s="163">
        <f>IFERROR(_xll.qlRateHelperEarliestDate(X32,Trigger),"")</f>
        <v>42748</v>
      </c>
      <c r="AC32" s="163">
        <f>IFERROR(_xll.qlRateHelperPillarDate(X32,Trigger),"")</f>
        <v>44209</v>
      </c>
      <c r="AD32" s="184">
        <v>1.1027772507492871E-3</v>
      </c>
    </row>
    <row r="33" spans="1:30" ht="11.25" customHeight="1" x14ac:dyDescent="0.2">
      <c r="A33" s="62" t="str">
        <f>Quote!AP32</f>
        <v>FRA</v>
      </c>
      <c r="B33" s="116">
        <v>11</v>
      </c>
      <c r="C33" s="65" t="str">
        <f t="shared" si="6"/>
        <v>x23F</v>
      </c>
      <c r="D33" s="125"/>
      <c r="E33" s="125"/>
      <c r="F33" s="125"/>
      <c r="G33" s="64" t="str">
        <f t="shared" si="7"/>
        <v>Euribor1YMX#0006</v>
      </c>
      <c r="H33" s="119" t="str">
        <f>IF(ISBLANK(Quote!AS32),"",Quote!AS32)</f>
        <v>EUR1YFRA11X23F=#0006</v>
      </c>
      <c r="I33" s="119" t="str">
        <f>_xll.qlCompositeQuote(Currency&amp;"1Y"&amp;A33&amp;B33&amp;C33&amp;"_Shifted",H33,BumpValue,"+",Permanent,Trigger,ObjectOverwrite)</f>
        <v>EUR1YFRA11x23F_Shifted#0006</v>
      </c>
      <c r="J33" s="125"/>
      <c r="K33" s="67" t="str">
        <f>_xll.qlFraRateHelper(,IF(Sensitivity,I33,H33),B33&amp;"M",G33,PillarDate,,Permanent,Trigger,ObjectOverwrite)</f>
        <v>obj_0031e#0006</v>
      </c>
      <c r="L33" s="51"/>
      <c r="M33" s="10" t="str">
        <f t="shared" si="4"/>
        <v>FRA</v>
      </c>
      <c r="N33" s="95" t="str">
        <f t="shared" si="5"/>
        <v>--</v>
      </c>
      <c r="O33" s="146" t="str">
        <f>IFERROR(_xll.qlRateHelperQuoteName(N33,Trigger),"--")</f>
        <v>--</v>
      </c>
      <c r="P33" s="99" t="str">
        <f>IFERROR(_xll.qlRateHelperQuoteValue($N33,Trigger),"--")</f>
        <v>--</v>
      </c>
      <c r="Q33" s="98" t="b">
        <v>0</v>
      </c>
      <c r="R33" s="95">
        <v>20</v>
      </c>
      <c r="S33" s="95">
        <v>7</v>
      </c>
      <c r="T33" s="100" t="str">
        <f>IFERROR(_xll.qlRateHelperEarliestDate(N33,Trigger),"--")</f>
        <v>--</v>
      </c>
      <c r="U33" s="100" t="str">
        <f>IFERROR(_xll.qlRateHelperPillarDate(N33,Trigger),"--")</f>
        <v>--</v>
      </c>
      <c r="W33" s="162" t="str">
        <f t="shared" si="3"/>
        <v>SW</v>
      </c>
      <c r="X33" s="162" t="str">
        <v>obj_003af</v>
      </c>
      <c r="Y33" s="162" t="str">
        <f>IFERROR(_xll.qlRateHelperQuoteName(X33,Trigger),"")</f>
        <v>EUR1YSW5Y_Shifted</v>
      </c>
      <c r="Z33" s="184">
        <f>IFERROR(_xll.qlRateHelperRate(X33,Trigger),"")</f>
        <v>2.1700000000000001E-3</v>
      </c>
      <c r="AA33" s="185">
        <f>IF(ISERROR(_xll.qlSwapRateHelperSpread($X33)),IF(ISERROR(_xll.qlFuturesRateHelperConvexityAdjustment($X33)),"",_xll.qlFuturesRateHelperConvexityAdjustment($X33)),_xll.qlSwapRateHelperSpread($X33))</f>
        <v>0</v>
      </c>
      <c r="AB33" s="163">
        <f>IFERROR(_xll.qlRateHelperEarliestDate(X33,Trigger),"")</f>
        <v>42748</v>
      </c>
      <c r="AC33" s="163">
        <f>IFERROR(_xll.qlRateHelperPillarDate(X33,Trigger),"")</f>
        <v>44574</v>
      </c>
      <c r="AD33" s="184">
        <v>2.1506674033848223E-3</v>
      </c>
    </row>
    <row r="34" spans="1:30" ht="11.25" customHeight="1" x14ac:dyDescent="0.2">
      <c r="A34" s="221" t="str">
        <f>Quote!AP33</f>
        <v>FRA</v>
      </c>
      <c r="B34" s="222">
        <v>12</v>
      </c>
      <c r="C34" s="281" t="str">
        <f t="shared" si="6"/>
        <v>x24F</v>
      </c>
      <c r="D34" s="278"/>
      <c r="E34" s="278"/>
      <c r="F34" s="278"/>
      <c r="G34" s="223" t="str">
        <f t="shared" si="7"/>
        <v>Euribor1YMX#0006</v>
      </c>
      <c r="H34" s="338" t="str">
        <f>IF(ISBLANK(Quote!AS33),"",Quote!AS33)</f>
        <v>EUR1YFRA12X24F=#0006</v>
      </c>
      <c r="I34" s="338" t="str">
        <f>_xll.qlCompositeQuote(Currency&amp;"1Y"&amp;A34&amp;B34&amp;C34&amp;"_Shifted",H34,BumpValue,"+",Permanent,Trigger,ObjectOverwrite)</f>
        <v>EUR1YFRA12x24F_Shifted#0006</v>
      </c>
      <c r="J34" s="278"/>
      <c r="K34" s="225" t="str">
        <f>_xll.qlFraRateHelper(,IF(Sensitivity,I34,H34),B34&amp;"M",G34,PillarDate,,Permanent,Trigger,ObjectOverwrite)</f>
        <v>obj_00321#0006</v>
      </c>
      <c r="L34" s="51"/>
      <c r="M34" s="10" t="str">
        <f t="shared" si="4"/>
        <v>FRA</v>
      </c>
      <c r="N34" s="95" t="str">
        <f t="shared" si="5"/>
        <v>--</v>
      </c>
      <c r="O34" s="146" t="str">
        <f>IFERROR(_xll.qlRateHelperQuoteName(N34,Trigger),"--")</f>
        <v>--</v>
      </c>
      <c r="P34" s="99" t="str">
        <f>IFERROR(_xll.qlRateHelperQuoteValue($N34,Trigger),"--")</f>
        <v>--</v>
      </c>
      <c r="Q34" s="98" t="b">
        <v>0</v>
      </c>
      <c r="R34" s="95">
        <v>20</v>
      </c>
      <c r="S34" s="95">
        <v>7</v>
      </c>
      <c r="T34" s="100" t="str">
        <f>IFERROR(_xll.qlRateHelperEarliestDate(N34,Trigger),"--")</f>
        <v>--</v>
      </c>
      <c r="U34" s="100" t="str">
        <f>IFERROR(_xll.qlRateHelperPillarDate(N34,Trigger),"--")</f>
        <v>--</v>
      </c>
      <c r="W34" s="162" t="str">
        <f t="shared" si="3"/>
        <v>SW</v>
      </c>
      <c r="X34" s="162" t="str">
        <v>obj_003d7</v>
      </c>
      <c r="Y34" s="162" t="str">
        <f>IFERROR(_xll.qlRateHelperQuoteName(X34,Trigger),"")</f>
        <v>EUR1YSW6Y_Shifted</v>
      </c>
      <c r="Z34" s="184">
        <f>IFERROR(_xll.qlRateHelperRate(X34,Trigger),"")</f>
        <v>3.32E-3</v>
      </c>
      <c r="AA34" s="185">
        <f>IF(ISERROR(_xll.qlSwapRateHelperSpread($X34)),IF(ISERROR(_xll.qlFuturesRateHelperConvexityAdjustment($X34)),"",_xll.qlFuturesRateHelperConvexityAdjustment($X34)),_xll.qlSwapRateHelperSpread($X34))</f>
        <v>0</v>
      </c>
      <c r="AB34" s="163">
        <f>IFERROR(_xll.qlRateHelperEarliestDate(X34,Trigger),"")</f>
        <v>42748</v>
      </c>
      <c r="AC34" s="163">
        <f>IFERROR(_xll.qlRateHelperPillarDate(X34,Trigger),"")</f>
        <v>44939</v>
      </c>
      <c r="AD34" s="184">
        <v>3.3007879889517503E-3</v>
      </c>
    </row>
    <row r="35" spans="1:30" ht="11.25" customHeight="1" x14ac:dyDescent="0.2">
      <c r="A35" s="62" t="str">
        <f>Quote!AP34</f>
        <v>FRA</v>
      </c>
      <c r="B35" s="116">
        <v>13</v>
      </c>
      <c r="C35" s="65" t="str">
        <f t="shared" si="6"/>
        <v>x25F</v>
      </c>
      <c r="D35" s="125"/>
      <c r="E35" s="125"/>
      <c r="F35" s="125"/>
      <c r="G35" s="64" t="str">
        <f t="shared" si="7"/>
        <v>Euribor1YMX#0006</v>
      </c>
      <c r="H35" s="125" t="str">
        <f>IF(ISBLANK(Quote!AS34),"",Quote!AS34)</f>
        <v/>
      </c>
      <c r="I35" s="125"/>
      <c r="J35" s="125"/>
      <c r="K35" s="125"/>
      <c r="L35" s="51"/>
      <c r="M35" s="10" t="str">
        <f t="shared" si="4"/>
        <v>FRA</v>
      </c>
      <c r="N35" s="95" t="str">
        <f t="shared" si="5"/>
        <v>--</v>
      </c>
      <c r="O35" s="146" t="str">
        <f>IFERROR(_xll.qlRateHelperQuoteName(N35,Trigger),"--")</f>
        <v>--</v>
      </c>
      <c r="P35" s="99" t="str">
        <f>IFERROR(_xll.qlRateHelperQuoteValue($N35,Trigger),"--")</f>
        <v>--</v>
      </c>
      <c r="Q35" s="98" t="b">
        <v>0</v>
      </c>
      <c r="R35" s="95">
        <v>20</v>
      </c>
      <c r="S35" s="95">
        <v>7</v>
      </c>
      <c r="T35" s="100" t="str">
        <f>IFERROR(_xll.qlRateHelperEarliestDate(N35,Trigger),"--")</f>
        <v>--</v>
      </c>
      <c r="U35" s="100" t="str">
        <f>IFERROR(_xll.qlRateHelperPillarDate(N35,Trigger),"--")</f>
        <v>--</v>
      </c>
      <c r="W35" s="162" t="str">
        <f t="shared" si="3"/>
        <v>SW</v>
      </c>
      <c r="X35" s="162" t="str">
        <v>obj_0036e</v>
      </c>
      <c r="Y35" s="162" t="str">
        <f>IFERROR(_xll.qlRateHelperQuoteName(X35,Trigger),"")</f>
        <v>EUR1YSW7Y_Shifted</v>
      </c>
      <c r="Z35" s="184">
        <f>IFERROR(_xll.qlRateHelperRate(X35,Trigger),"")</f>
        <v>4.5199999999999997E-3</v>
      </c>
      <c r="AA35" s="185">
        <f>IF(ISERROR(_xll.qlSwapRateHelperSpread($X35)),IF(ISERROR(_xll.qlFuturesRateHelperConvexityAdjustment($X35)),"",_xll.qlFuturesRateHelperConvexityAdjustment($X35)),_xll.qlSwapRateHelperSpread($X35))</f>
        <v>0</v>
      </c>
      <c r="AB35" s="163">
        <f>IFERROR(_xll.qlRateHelperEarliestDate(X35,Trigger),"")</f>
        <v>42748</v>
      </c>
      <c r="AC35" s="163">
        <f>IFERROR(_xll.qlRateHelperPillarDate(X35,Trigger),"")</f>
        <v>45306</v>
      </c>
      <c r="AD35" s="184">
        <v>4.5058218299376691E-3</v>
      </c>
    </row>
    <row r="36" spans="1:30" ht="11.25" customHeight="1" x14ac:dyDescent="0.2">
      <c r="A36" s="62" t="str">
        <f>Quote!AP35</f>
        <v>FRA</v>
      </c>
      <c r="B36" s="116">
        <v>14</v>
      </c>
      <c r="C36" s="65" t="str">
        <f t="shared" si="6"/>
        <v>x26F</v>
      </c>
      <c r="D36" s="125"/>
      <c r="E36" s="125"/>
      <c r="F36" s="125"/>
      <c r="G36" s="64" t="str">
        <f t="shared" si="7"/>
        <v>Euribor1YMX#0006</v>
      </c>
      <c r="H36" s="125" t="str">
        <f>IF(ISBLANK(Quote!AS35),"",Quote!AS35)</f>
        <v/>
      </c>
      <c r="I36" s="125"/>
      <c r="J36" s="125"/>
      <c r="K36" s="125"/>
      <c r="L36" s="51"/>
      <c r="M36" s="10" t="str">
        <f t="shared" si="4"/>
        <v>FRA</v>
      </c>
      <c r="N36" s="95" t="str">
        <f t="shared" si="5"/>
        <v>--</v>
      </c>
      <c r="O36" s="146" t="str">
        <f>IFERROR(_xll.qlRateHelperQuoteName(N36,Trigger),"--")</f>
        <v>--</v>
      </c>
      <c r="P36" s="99" t="str">
        <f>IFERROR(_xll.qlRateHelperQuoteValue($N36,Trigger),"--")</f>
        <v>--</v>
      </c>
      <c r="Q36" s="98" t="b">
        <v>0</v>
      </c>
      <c r="R36" s="95">
        <v>20</v>
      </c>
      <c r="S36" s="95">
        <v>7</v>
      </c>
      <c r="T36" s="100" t="str">
        <f>IFERROR(_xll.qlRateHelperEarliestDate(N36,Trigger),"--")</f>
        <v>--</v>
      </c>
      <c r="U36" s="100" t="str">
        <f>IFERROR(_xll.qlRateHelperPillarDate(N36,Trigger),"--")</f>
        <v>--</v>
      </c>
      <c r="W36" s="162" t="str">
        <f t="shared" si="3"/>
        <v>SW</v>
      </c>
      <c r="X36" s="162" t="str">
        <v>obj_00340</v>
      </c>
      <c r="Y36" s="162" t="str">
        <f>IFERROR(_xll.qlRateHelperQuoteName(X36,Trigger),"")</f>
        <v>EUR1YSW8Y_Shifted</v>
      </c>
      <c r="Z36" s="184">
        <f>IFERROR(_xll.qlRateHelperRate(X36,Trigger),"")</f>
        <v>5.7100000000000007E-3</v>
      </c>
      <c r="AA36" s="185">
        <f>IF(ISERROR(_xll.qlSwapRateHelperSpread($X36)),IF(ISERROR(_xll.qlFuturesRateHelperConvexityAdjustment($X36)),"",_xll.qlFuturesRateHelperConvexityAdjustment($X36)),_xll.qlSwapRateHelperSpread($X36))</f>
        <v>0</v>
      </c>
      <c r="AB36" s="163">
        <f>IFERROR(_xll.qlRateHelperEarliestDate(X36,Trigger),"")</f>
        <v>42748</v>
      </c>
      <c r="AC36" s="163">
        <f>IFERROR(_xll.qlRateHelperPillarDate(X36,Trigger),"")</f>
        <v>45670</v>
      </c>
      <c r="AD36" s="184">
        <v>5.7055944683286021E-3</v>
      </c>
    </row>
    <row r="37" spans="1:30" ht="11.25" customHeight="1" x14ac:dyDescent="0.2">
      <c r="A37" s="62" t="str">
        <f>Quote!AP36</f>
        <v>FRA</v>
      </c>
      <c r="B37" s="116">
        <v>15</v>
      </c>
      <c r="C37" s="65" t="str">
        <f t="shared" si="6"/>
        <v>x27F</v>
      </c>
      <c r="D37" s="125"/>
      <c r="E37" s="125"/>
      <c r="F37" s="125"/>
      <c r="G37" s="64" t="str">
        <f t="shared" si="7"/>
        <v>Euribor1YMX#0006</v>
      </c>
      <c r="H37" s="125" t="str">
        <f>IF(ISBLANK(Quote!AS36),"",Quote!AS36)</f>
        <v/>
      </c>
      <c r="I37" s="125"/>
      <c r="J37" s="125"/>
      <c r="K37" s="125"/>
      <c r="L37" s="51"/>
      <c r="M37" s="10" t="str">
        <f t="shared" si="4"/>
        <v>FRA</v>
      </c>
      <c r="N37" s="95" t="str">
        <f t="shared" si="5"/>
        <v>--</v>
      </c>
      <c r="O37" s="146" t="str">
        <f>IFERROR(_xll.qlRateHelperQuoteName(N37,Trigger),"--")</f>
        <v>--</v>
      </c>
      <c r="P37" s="99" t="str">
        <f>IFERROR(_xll.qlRateHelperQuoteValue($N37,Trigger),"--")</f>
        <v>--</v>
      </c>
      <c r="Q37" s="98" t="b">
        <v>0</v>
      </c>
      <c r="R37" s="95">
        <v>20</v>
      </c>
      <c r="S37" s="95">
        <v>7</v>
      </c>
      <c r="T37" s="100" t="str">
        <f>IFERROR(_xll.qlRateHelperEarliestDate(N37,Trigger),"--")</f>
        <v>--</v>
      </c>
      <c r="U37" s="100" t="str">
        <f>IFERROR(_xll.qlRateHelperPillarDate(N37,Trigger),"--")</f>
        <v>--</v>
      </c>
      <c r="W37" s="162" t="str">
        <f t="shared" si="3"/>
        <v>SW</v>
      </c>
      <c r="X37" s="162" t="str">
        <v>obj_00373</v>
      </c>
      <c r="Y37" s="162" t="str">
        <f>IFERROR(_xll.qlRateHelperQuoteName(X37,Trigger),"")</f>
        <v>EUR1YSW9Y_Shifted</v>
      </c>
      <c r="Z37" s="184">
        <f>IFERROR(_xll.qlRateHelperRate(X37,Trigger),"")</f>
        <v>6.8700000000000002E-3</v>
      </c>
      <c r="AA37" s="185">
        <f>IF(ISERROR(_xll.qlSwapRateHelperSpread($X37)),IF(ISERROR(_xll.qlFuturesRateHelperConvexityAdjustment($X37)),"",_xll.qlFuturesRateHelperConvexityAdjustment($X37)),_xll.qlSwapRateHelperSpread($X37))</f>
        <v>0</v>
      </c>
      <c r="AB37" s="163">
        <f>IFERROR(_xll.qlRateHelperEarliestDate(X37,Trigger),"")</f>
        <v>42748</v>
      </c>
      <c r="AC37" s="163">
        <f>IFERROR(_xll.qlRateHelperPillarDate(X37,Trigger),"")</f>
        <v>46035</v>
      </c>
      <c r="AD37" s="184">
        <v>6.8851532467810502E-3</v>
      </c>
    </row>
    <row r="38" spans="1:30" ht="11.25" customHeight="1" x14ac:dyDescent="0.2">
      <c r="A38" s="62" t="str">
        <f>Quote!AP37</f>
        <v>FRA</v>
      </c>
      <c r="B38" s="116">
        <v>16</v>
      </c>
      <c r="C38" s="65" t="str">
        <f t="shared" si="6"/>
        <v>x28F</v>
      </c>
      <c r="D38" s="125"/>
      <c r="E38" s="125"/>
      <c r="F38" s="125"/>
      <c r="G38" s="64" t="str">
        <f t="shared" si="7"/>
        <v>Euribor1YMX#0006</v>
      </c>
      <c r="H38" s="125" t="str">
        <f>IF(ISBLANK(Quote!AS37),"",Quote!AS37)</f>
        <v/>
      </c>
      <c r="I38" s="125"/>
      <c r="J38" s="125"/>
      <c r="K38" s="125"/>
      <c r="L38" s="51"/>
      <c r="M38" s="10" t="str">
        <f t="shared" si="4"/>
        <v>FRA</v>
      </c>
      <c r="N38" s="95" t="str">
        <f t="shared" si="5"/>
        <v>--</v>
      </c>
      <c r="O38" s="146" t="str">
        <f>IFERROR(_xll.qlRateHelperQuoteName(N38,Trigger),"--")</f>
        <v>--</v>
      </c>
      <c r="P38" s="99" t="str">
        <f>IFERROR(_xll.qlRateHelperQuoteValue($N38,Trigger),"--")</f>
        <v>--</v>
      </c>
      <c r="Q38" s="98" t="b">
        <v>0</v>
      </c>
      <c r="R38" s="95">
        <v>20</v>
      </c>
      <c r="S38" s="95">
        <v>7</v>
      </c>
      <c r="T38" s="100" t="str">
        <f>IFERROR(_xll.qlRateHelperEarliestDate(N38,Trigger),"--")</f>
        <v>--</v>
      </c>
      <c r="U38" s="100" t="str">
        <f>IFERROR(_xll.qlRateHelperPillarDate(N38,Trigger),"--")</f>
        <v>--</v>
      </c>
      <c r="W38" s="162" t="str">
        <f t="shared" si="3"/>
        <v>SW</v>
      </c>
      <c r="X38" s="162" t="str">
        <v>obj_003a2</v>
      </c>
      <c r="Y38" s="162" t="str">
        <f>IFERROR(_xll.qlRateHelperQuoteName(X38,Trigger),"")</f>
        <v>EUR1YSW10Y_Shifted</v>
      </c>
      <c r="Z38" s="184">
        <f>IFERROR(_xll.qlRateHelperRate(X38,Trigger),"")</f>
        <v>7.9100000000000004E-3</v>
      </c>
      <c r="AA38" s="185">
        <f>IF(ISERROR(_xll.qlSwapRateHelperSpread($X38)),IF(ISERROR(_xll.qlFuturesRateHelperConvexityAdjustment($X38)),"",_xll.qlFuturesRateHelperConvexityAdjustment($X38)),_xll.qlSwapRateHelperSpread($X38))</f>
        <v>0</v>
      </c>
      <c r="AB38" s="163">
        <f>IFERROR(_xll.qlRateHelperEarliestDate(X38,Trigger),"")</f>
        <v>42748</v>
      </c>
      <c r="AC38" s="163">
        <f>IFERROR(_xll.qlRateHelperPillarDate(X38,Trigger),"")</f>
        <v>46400</v>
      </c>
      <c r="AD38" s="184">
        <v>7.9507878870653855E-3</v>
      </c>
    </row>
    <row r="39" spans="1:30" ht="11.25" customHeight="1" x14ac:dyDescent="0.2">
      <c r="A39" s="62" t="str">
        <f>Quote!AP38</f>
        <v>FRA</v>
      </c>
      <c r="B39" s="116">
        <v>17</v>
      </c>
      <c r="C39" s="65" t="str">
        <f t="shared" si="6"/>
        <v>x29F</v>
      </c>
      <c r="D39" s="125"/>
      <c r="E39" s="125"/>
      <c r="F39" s="125"/>
      <c r="G39" s="64" t="str">
        <f t="shared" si="7"/>
        <v>Euribor1YMX#0006</v>
      </c>
      <c r="H39" s="125" t="str">
        <f>IF(ISBLANK(Quote!AS38),"",Quote!AS38)</f>
        <v/>
      </c>
      <c r="I39" s="125"/>
      <c r="J39" s="125"/>
      <c r="K39" s="125"/>
      <c r="L39" s="51"/>
      <c r="M39" s="10" t="str">
        <f t="shared" si="4"/>
        <v>FRA</v>
      </c>
      <c r="N39" s="95" t="str">
        <f t="shared" si="5"/>
        <v>--</v>
      </c>
      <c r="O39" s="146" t="str">
        <f>IFERROR(_xll.qlRateHelperQuoteName(N39,Trigger),"--")</f>
        <v>--</v>
      </c>
      <c r="P39" s="99" t="str">
        <f>IFERROR(_xll.qlRateHelperQuoteValue($N39,Trigger),"--")</f>
        <v>--</v>
      </c>
      <c r="Q39" s="98" t="b">
        <v>0</v>
      </c>
      <c r="R39" s="95">
        <v>20</v>
      </c>
      <c r="S39" s="95">
        <v>7</v>
      </c>
      <c r="T39" s="100" t="str">
        <f>IFERROR(_xll.qlRateHelperEarliestDate(N39,Trigger),"--")</f>
        <v>--</v>
      </c>
      <c r="U39" s="100" t="str">
        <f>IFERROR(_xll.qlRateHelperPillarDate(N39,Trigger),"--")</f>
        <v>--</v>
      </c>
      <c r="W39" s="162" t="str">
        <f t="shared" si="3"/>
        <v>SW</v>
      </c>
      <c r="X39" s="162" t="str">
        <v>obj_00384</v>
      </c>
      <c r="Y39" s="162" t="str">
        <f>IFERROR(_xll.qlRateHelperQuoteName(X39,Trigger),"")</f>
        <v>EUR1YSW11Y_Shifted</v>
      </c>
      <c r="Z39" s="184">
        <f>IFERROR(_xll.qlRateHelperRate(X39,Trigger),"")</f>
        <v>8.8171829500000003E-3</v>
      </c>
      <c r="AA39" s="185">
        <f>IF(ISERROR(_xll.qlSwapRateHelperSpread($X39)),IF(ISERROR(_xll.qlFuturesRateHelperConvexityAdjustment($X39)),"",_xll.qlFuturesRateHelperConvexityAdjustment($X39)),_xll.qlSwapRateHelperSpread($X39))</f>
        <v>0</v>
      </c>
      <c r="AB39" s="163">
        <f>IFERROR(_xll.qlRateHelperEarliestDate(X39,Trigger),"")</f>
        <v>42748</v>
      </c>
      <c r="AC39" s="163">
        <f>IFERROR(_xll.qlRateHelperPillarDate(X39,Trigger),"")</f>
        <v>46765</v>
      </c>
      <c r="AD39" s="184">
        <v>8.8872869245070728E-3</v>
      </c>
    </row>
    <row r="40" spans="1:30" ht="11.25" customHeight="1" x14ac:dyDescent="0.2">
      <c r="A40" s="62" t="str">
        <f>Quote!AP39</f>
        <v>FRA</v>
      </c>
      <c r="B40" s="116">
        <v>18</v>
      </c>
      <c r="C40" s="65" t="str">
        <f t="shared" si="6"/>
        <v>x30F</v>
      </c>
      <c r="D40" s="125"/>
      <c r="E40" s="125"/>
      <c r="F40" s="125"/>
      <c r="G40" s="64" t="str">
        <f t="shared" si="7"/>
        <v>Euribor1YMX#0006</v>
      </c>
      <c r="H40" s="125" t="str">
        <f>IF(ISBLANK(Quote!AS39),"",Quote!AS39)</f>
        <v/>
      </c>
      <c r="I40" s="125"/>
      <c r="J40" s="125"/>
      <c r="K40" s="125"/>
      <c r="L40" s="51"/>
      <c r="M40" s="10" t="str">
        <f t="shared" si="4"/>
        <v>FRA</v>
      </c>
      <c r="N40" s="95" t="str">
        <f t="shared" si="5"/>
        <v>--</v>
      </c>
      <c r="O40" s="146" t="str">
        <f>IFERROR(_xll.qlRateHelperQuoteName(N40,Trigger),"--")</f>
        <v>--</v>
      </c>
      <c r="P40" s="99" t="str">
        <f>IFERROR(_xll.qlRateHelperQuoteValue($N40,Trigger),"--")</f>
        <v>--</v>
      </c>
      <c r="Q40" s="98" t="b">
        <v>0</v>
      </c>
      <c r="R40" s="95">
        <v>20</v>
      </c>
      <c r="S40" s="95">
        <v>7</v>
      </c>
      <c r="T40" s="100" t="str">
        <f>IFERROR(_xll.qlRateHelperEarliestDate(N40,Trigger),"--")</f>
        <v>--</v>
      </c>
      <c r="U40" s="100" t="str">
        <f>IFERROR(_xll.qlRateHelperPillarDate(N40,Trigger),"--")</f>
        <v>--</v>
      </c>
      <c r="W40" s="162" t="str">
        <f t="shared" si="3"/>
        <v>SW</v>
      </c>
      <c r="X40" s="162" t="str">
        <v>obj_00379</v>
      </c>
      <c r="Y40" s="162" t="str">
        <f>IFERROR(_xll.qlRateHelperQuoteName(X40,Trigger),"")</f>
        <v>EUR1YSW12Y_Shifted</v>
      </c>
      <c r="Z40" s="184">
        <f>IFERROR(_xll.qlRateHelperRate(X40,Trigger),"")</f>
        <v>9.6100000000000005E-3</v>
      </c>
      <c r="AA40" s="185">
        <f>IF(ISERROR(_xll.qlSwapRateHelperSpread($X40)),IF(ISERROR(_xll.qlFuturesRateHelperConvexityAdjustment($X40)),"",_xll.qlFuturesRateHelperConvexityAdjustment($X40)),_xll.qlSwapRateHelperSpread($X40))</f>
        <v>0</v>
      </c>
      <c r="AB40" s="163">
        <f>IFERROR(_xll.qlRateHelperEarliestDate(X40,Trigger),"")</f>
        <v>42748</v>
      </c>
      <c r="AC40" s="163">
        <f>IFERROR(_xll.qlRateHelperPillarDate(X40,Trigger),"")</f>
        <v>47133</v>
      </c>
      <c r="AD40" s="184">
        <v>9.7094543842916187E-3</v>
      </c>
    </row>
    <row r="41" spans="1:30" ht="11.25" customHeight="1" x14ac:dyDescent="0.2">
      <c r="A41" s="62" t="str">
        <f>Quote!AP40</f>
        <v>FRA</v>
      </c>
      <c r="B41" s="116">
        <v>19</v>
      </c>
      <c r="C41" s="65" t="str">
        <f t="shared" si="6"/>
        <v>x31F</v>
      </c>
      <c r="D41" s="125"/>
      <c r="E41" s="125"/>
      <c r="F41" s="125"/>
      <c r="G41" s="64" t="str">
        <f t="shared" si="7"/>
        <v>Euribor1YMX#0006</v>
      </c>
      <c r="H41" s="125" t="str">
        <f>IF(ISBLANK(Quote!AS40),"",Quote!AS40)</f>
        <v/>
      </c>
      <c r="I41" s="125"/>
      <c r="J41" s="125"/>
      <c r="K41" s="125"/>
      <c r="M41" s="10" t="str">
        <f t="shared" si="4"/>
        <v>FRA</v>
      </c>
      <c r="N41" s="95" t="str">
        <f t="shared" si="5"/>
        <v>--</v>
      </c>
      <c r="O41" s="146" t="str">
        <f>IFERROR(_xll.qlRateHelperQuoteName(N41,Trigger),"--")</f>
        <v>--</v>
      </c>
      <c r="P41" s="99" t="str">
        <f>IFERROR(_xll.qlRateHelperQuoteValue($N41,Trigger),"--")</f>
        <v>--</v>
      </c>
      <c r="Q41" s="98" t="b">
        <v>0</v>
      </c>
      <c r="R41" s="95">
        <v>20</v>
      </c>
      <c r="S41" s="95">
        <v>7</v>
      </c>
      <c r="T41" s="100" t="str">
        <f>IFERROR(_xll.qlRateHelperEarliestDate(N41,Trigger),"--")</f>
        <v>--</v>
      </c>
      <c r="U41" s="100" t="str">
        <f>IFERROR(_xll.qlRateHelperPillarDate(N41,Trigger),"--")</f>
        <v>--</v>
      </c>
      <c r="W41" s="162" t="str">
        <f t="shared" si="3"/>
        <v>SW</v>
      </c>
      <c r="X41" s="162" t="str">
        <v>obj_00361</v>
      </c>
      <c r="Y41" s="162" t="str">
        <f>IFERROR(_xll.qlRateHelperQuoteName(X41,Trigger),"")</f>
        <v>EUR1YSW13Y_Shifted</v>
      </c>
      <c r="Z41" s="184">
        <f>IFERROR(_xll.qlRateHelperRate(X41,Trigger),"")</f>
        <v>1.0280087989999999E-2</v>
      </c>
      <c r="AA41" s="185">
        <f>IF(ISERROR(_xll.qlSwapRateHelperSpread($X41)),IF(ISERROR(_xll.qlFuturesRateHelperConvexityAdjustment($X41)),"",_xll.qlFuturesRateHelperConvexityAdjustment($X41)),_xll.qlSwapRateHelperSpread($X41))</f>
        <v>0</v>
      </c>
      <c r="AB41" s="163">
        <f>IFERROR(_xll.qlRateHelperEarliestDate(X41,Trigger),"")</f>
        <v>42748</v>
      </c>
      <c r="AC41" s="163">
        <f>IFERROR(_xll.qlRateHelperPillarDate(X41,Trigger),"")</f>
        <v>47497</v>
      </c>
      <c r="AD41" s="184">
        <v>1.0410649332239466E-2</v>
      </c>
    </row>
    <row r="42" spans="1:30" ht="11.25" customHeight="1" x14ac:dyDescent="0.2">
      <c r="A42" s="62" t="str">
        <f>Quote!AP41</f>
        <v>FRA</v>
      </c>
      <c r="B42" s="116">
        <v>20</v>
      </c>
      <c r="C42" s="65" t="str">
        <f t="shared" si="6"/>
        <v>x32F</v>
      </c>
      <c r="D42" s="125"/>
      <c r="E42" s="125"/>
      <c r="F42" s="125"/>
      <c r="G42" s="64" t="str">
        <f t="shared" si="7"/>
        <v>Euribor1YMX#0006</v>
      </c>
      <c r="H42" s="125" t="str">
        <f>IF(ISBLANK(Quote!AS41),"",Quote!AS41)</f>
        <v/>
      </c>
      <c r="I42" s="125"/>
      <c r="J42" s="125"/>
      <c r="K42" s="125"/>
      <c r="M42" s="11" t="str">
        <f t="shared" si="4"/>
        <v>FRA</v>
      </c>
      <c r="N42" s="96" t="str">
        <f t="shared" si="5"/>
        <v>--</v>
      </c>
      <c r="O42" s="147" t="str">
        <f>IFERROR(_xll.qlRateHelperQuoteName(N42,Trigger),"--")</f>
        <v>--</v>
      </c>
      <c r="P42" s="102" t="str">
        <f>IFERROR(_xll.qlRateHelperQuoteValue($N42,Trigger),"--")</f>
        <v>--</v>
      </c>
      <c r="Q42" s="101" t="b">
        <v>0</v>
      </c>
      <c r="R42" s="96">
        <v>20</v>
      </c>
      <c r="S42" s="96">
        <v>7</v>
      </c>
      <c r="T42" s="103" t="str">
        <f>IFERROR(_xll.qlRateHelperEarliestDate(N42,Trigger),"--")</f>
        <v>--</v>
      </c>
      <c r="U42" s="103" t="str">
        <f>IFERROR(_xll.qlRateHelperPillarDate(N42,Trigger),"--")</f>
        <v>--</v>
      </c>
      <c r="W42" s="162" t="str">
        <f t="shared" si="3"/>
        <v>SW</v>
      </c>
      <c r="X42" s="162" t="str">
        <v>obj_00374</v>
      </c>
      <c r="Y42" s="162" t="str">
        <f>IFERROR(_xll.qlRateHelperQuoteName(X42,Trigger),"")</f>
        <v>EUR1YSW14Y_Shifted</v>
      </c>
      <c r="Z42" s="184">
        <f>IFERROR(_xll.qlRateHelperRate(X42,Trigger),"")</f>
        <v>1.0849485730000002E-2</v>
      </c>
      <c r="AA42" s="185">
        <f>IF(ISERROR(_xll.qlSwapRateHelperSpread($X42)),IF(ISERROR(_xll.qlFuturesRateHelperConvexityAdjustment($X42)),"",_xll.qlFuturesRateHelperConvexityAdjustment($X42)),_xll.qlSwapRateHelperSpread($X42))</f>
        <v>0</v>
      </c>
      <c r="AB42" s="163">
        <f>IFERROR(_xll.qlRateHelperEarliestDate(X42,Trigger),"")</f>
        <v>42748</v>
      </c>
      <c r="AC42" s="163">
        <f>IFERROR(_xll.qlRateHelperPillarDate(X42,Trigger),"")</f>
        <v>47861</v>
      </c>
      <c r="AD42" s="184">
        <v>1.1009710421329491E-2</v>
      </c>
    </row>
    <row r="43" spans="1:30" ht="11.25" customHeight="1" x14ac:dyDescent="0.2">
      <c r="A43" s="62" t="str">
        <f>Quote!AP42</f>
        <v>FRA</v>
      </c>
      <c r="B43" s="116">
        <v>21</v>
      </c>
      <c r="C43" s="65" t="str">
        <f t="shared" si="6"/>
        <v>x33F</v>
      </c>
      <c r="D43" s="125"/>
      <c r="E43" s="125"/>
      <c r="F43" s="125"/>
      <c r="G43" s="64" t="str">
        <f t="shared" si="7"/>
        <v>Euribor1YMX#0006</v>
      </c>
      <c r="H43" s="125" t="str">
        <f>IF(ISBLANK(Quote!AS42),"",Quote!AS42)</f>
        <v/>
      </c>
      <c r="I43" s="125"/>
      <c r="J43" s="125"/>
      <c r="K43" s="125"/>
      <c r="M43" s="71" t="str">
        <f t="shared" si="4"/>
        <v>FRA</v>
      </c>
      <c r="N43" s="131" t="str">
        <f t="shared" si="5"/>
        <v>--</v>
      </c>
      <c r="O43" s="145" t="str">
        <f>IFERROR(_xll.qlRateHelperQuoteName(N43,Trigger),"--")</f>
        <v>--</v>
      </c>
      <c r="P43" s="133" t="str">
        <f>IFERROR(_xll.qlRateHelperQuoteValue($N43,Trigger),"--")</f>
        <v>--</v>
      </c>
      <c r="Q43" s="132" t="b">
        <v>0</v>
      </c>
      <c r="R43" s="131">
        <v>40</v>
      </c>
      <c r="S43" s="131">
        <v>1</v>
      </c>
      <c r="T43" s="134" t="str">
        <f>IFERROR(_xll.qlRateHelperEarliestDate(N43,Trigger),"--")</f>
        <v>--</v>
      </c>
      <c r="U43" s="134" t="str">
        <f>IFERROR(_xll.qlRateHelperPillarDate(N43,Trigger),"--")</f>
        <v>--</v>
      </c>
      <c r="W43" s="162" t="str">
        <f t="shared" si="3"/>
        <v>SW</v>
      </c>
      <c r="X43" s="162" t="str">
        <v>obj_00368</v>
      </c>
      <c r="Y43" s="162" t="str">
        <f>IFERROR(_xll.qlRateHelperQuoteName(X43,Trigger),"")</f>
        <v>EUR1YSW15Y_Shifted</v>
      </c>
      <c r="Z43" s="184">
        <f>IFERROR(_xll.qlRateHelperRate(X43,Trigger),"")</f>
        <v>1.133E-2</v>
      </c>
      <c r="AA43" s="185">
        <f>IF(ISERROR(_xll.qlSwapRateHelperSpread($X43)),IF(ISERROR(_xll.qlFuturesRateHelperConvexityAdjustment($X43)),"",_xll.qlFuturesRateHelperConvexityAdjustment($X43)),_xll.qlSwapRateHelperSpread($X43))</f>
        <v>0</v>
      </c>
      <c r="AB43" s="163">
        <f>IFERROR(_xll.qlRateHelperEarliestDate(X43,Trigger),"")</f>
        <v>42748</v>
      </c>
      <c r="AC43" s="163">
        <f>IFERROR(_xll.qlRateHelperPillarDate(X43,Trigger),"")</f>
        <v>48226</v>
      </c>
      <c r="AD43" s="184">
        <v>1.151738057473794E-2</v>
      </c>
    </row>
    <row r="44" spans="1:30" ht="11.25" customHeight="1" x14ac:dyDescent="0.2">
      <c r="A44" s="62" t="str">
        <f>Quote!AP43</f>
        <v>FRA</v>
      </c>
      <c r="B44" s="116">
        <v>22</v>
      </c>
      <c r="C44" s="65" t="str">
        <f t="shared" si="6"/>
        <v>x34F</v>
      </c>
      <c r="D44" s="125"/>
      <c r="E44" s="125"/>
      <c r="F44" s="125"/>
      <c r="G44" s="64" t="str">
        <f t="shared" si="7"/>
        <v>Euribor1YMX#0006</v>
      </c>
      <c r="H44" s="125" t="str">
        <f>IF(ISBLANK(Quote!AS43),"",Quote!AS43)</f>
        <v/>
      </c>
      <c r="I44" s="125"/>
      <c r="J44" s="125"/>
      <c r="K44" s="125"/>
      <c r="M44" s="10" t="str">
        <f t="shared" si="4"/>
        <v>FRA</v>
      </c>
      <c r="N44" s="95" t="str">
        <f t="shared" si="5"/>
        <v>--</v>
      </c>
      <c r="O44" s="146" t="str">
        <f>IFERROR(_xll.qlRateHelperQuoteName(N44,Trigger),"--")</f>
        <v>--</v>
      </c>
      <c r="P44" s="99" t="str">
        <f>IFERROR(_xll.qlRateHelperQuoteValue($N44,Trigger),"--")</f>
        <v>--</v>
      </c>
      <c r="Q44" s="98" t="b">
        <v>0</v>
      </c>
      <c r="R44" s="95">
        <v>40</v>
      </c>
      <c r="S44" s="95">
        <v>1</v>
      </c>
      <c r="T44" s="100" t="str">
        <f>IFERROR(_xll.qlRateHelperEarliestDate(N44,Trigger),"--")</f>
        <v>--</v>
      </c>
      <c r="U44" s="100" t="str">
        <f>IFERROR(_xll.qlRateHelperPillarDate(N44,Trigger),"--")</f>
        <v>--</v>
      </c>
      <c r="W44" s="162" t="str">
        <f t="shared" si="3"/>
        <v>SW</v>
      </c>
      <c r="X44" s="162" t="str">
        <v>obj_003c0</v>
      </c>
      <c r="Y44" s="162" t="str">
        <f>IFERROR(_xll.qlRateHelperQuoteName(X44,Trigger),"")</f>
        <v>EUR1YSW16Y_Shifted</v>
      </c>
      <c r="Z44" s="184">
        <f>IFERROR(_xll.qlRateHelperRate(X44,Trigger),"")</f>
        <v>1.1732953620000002E-2</v>
      </c>
      <c r="AA44" s="185">
        <f>IF(ISERROR(_xll.qlSwapRateHelperSpread($X44)),IF(ISERROR(_xll.qlFuturesRateHelperConvexityAdjustment($X44)),"",_xll.qlFuturesRateHelperConvexityAdjustment($X44)),_xll.qlSwapRateHelperSpread($X44))</f>
        <v>0</v>
      </c>
      <c r="AB44" s="163">
        <f>IFERROR(_xll.qlRateHelperEarliestDate(X44,Trigger),"")</f>
        <v>42748</v>
      </c>
      <c r="AC44" s="163">
        <f>IFERROR(_xll.qlRateHelperPillarDate(X44,Trigger),"")</f>
        <v>48592</v>
      </c>
      <c r="AD44" s="184">
        <v>1.1942305085150933E-2</v>
      </c>
    </row>
    <row r="45" spans="1:30" ht="11.25" customHeight="1" x14ac:dyDescent="0.2">
      <c r="A45" s="62" t="str">
        <f>Quote!AP44</f>
        <v>FRA</v>
      </c>
      <c r="B45" s="116">
        <v>23</v>
      </c>
      <c r="C45" s="65" t="str">
        <f t="shared" si="6"/>
        <v>x35F</v>
      </c>
      <c r="D45" s="125"/>
      <c r="E45" s="125"/>
      <c r="F45" s="125"/>
      <c r="G45" s="64" t="str">
        <f t="shared" si="7"/>
        <v>Euribor1YMX#0006</v>
      </c>
      <c r="H45" s="125" t="str">
        <f>IF(ISBLANK(Quote!AS44),"",Quote!AS44)</f>
        <v/>
      </c>
      <c r="I45" s="125"/>
      <c r="J45" s="125"/>
      <c r="K45" s="125"/>
      <c r="M45" s="10" t="str">
        <f>A49</f>
        <v>SW</v>
      </c>
      <c r="N45" s="95" t="str">
        <f>IF(ISBLANK(K49),"--",K49)</f>
        <v>--</v>
      </c>
      <c r="O45" s="146" t="str">
        <f>IFERROR(_xll.qlRateHelperQuoteName(N45,Trigger),"--")</f>
        <v>--</v>
      </c>
      <c r="P45" s="99" t="str">
        <f>IFERROR(_xll.qlRateHelperQuoteValue($N45,Trigger),"--")</f>
        <v>--</v>
      </c>
      <c r="Q45" s="98" t="b">
        <v>0</v>
      </c>
      <c r="R45" s="95">
        <v>40</v>
      </c>
      <c r="S45" s="95">
        <v>1</v>
      </c>
      <c r="T45" s="100" t="str">
        <f>IFERROR(_xll.qlRateHelperEarliestDate(N45,Trigger),"--")</f>
        <v>--</v>
      </c>
      <c r="U45" s="100" t="str">
        <f>IFERROR(_xll.qlRateHelperPillarDate(N45,Trigger),"--")</f>
        <v>--</v>
      </c>
      <c r="W45" s="162" t="str">
        <f t="shared" si="3"/>
        <v>SW</v>
      </c>
      <c r="X45" s="162" t="str">
        <v>obj_00354</v>
      </c>
      <c r="Y45" s="162" t="str">
        <f>IFERROR(_xll.qlRateHelperQuoteName(X45,Trigger),"")</f>
        <v>EUR1YSW17Y_Shifted</v>
      </c>
      <c r="Z45" s="184">
        <f>IFERROR(_xll.qlRateHelperRate(X45,Trigger),"")</f>
        <v>1.2061738640000002E-2</v>
      </c>
      <c r="AA45" s="185">
        <f>IF(ISERROR(_xll.qlSwapRateHelperSpread($X45)),IF(ISERROR(_xll.qlFuturesRateHelperConvexityAdjustment($X45)),"",_xll.qlFuturesRateHelperConvexityAdjustment($X45)),_xll.qlSwapRateHelperSpread($X45))</f>
        <v>0</v>
      </c>
      <c r="AB45" s="163">
        <f>IFERROR(_xll.qlRateHelperEarliestDate(X45,Trigger),"")</f>
        <v>42748</v>
      </c>
      <c r="AC45" s="163">
        <f>IFERROR(_xll.qlRateHelperPillarDate(X45,Trigger),"")</f>
        <v>48957</v>
      </c>
      <c r="AD45" s="184">
        <v>1.2290844197431209E-2</v>
      </c>
    </row>
    <row r="46" spans="1:30" ht="11.25" customHeight="1" x14ac:dyDescent="0.2">
      <c r="A46" s="1" t="str">
        <f>Quote!AP45</f>
        <v>FRA</v>
      </c>
      <c r="B46" s="117">
        <v>24</v>
      </c>
      <c r="C46" s="9" t="str">
        <f t="shared" si="6"/>
        <v>x36F</v>
      </c>
      <c r="D46" s="126"/>
      <c r="E46" s="126"/>
      <c r="F46" s="126"/>
      <c r="G46" s="7" t="str">
        <f t="shared" si="7"/>
        <v>Euribor1YMX#0006</v>
      </c>
      <c r="H46" s="126" t="str">
        <f>IF(ISBLANK(Quote!AS45),"",Quote!AS45)</f>
        <v/>
      </c>
      <c r="I46" s="126"/>
      <c r="J46" s="126"/>
      <c r="K46" s="126"/>
      <c r="M46" s="10" t="str">
        <f t="shared" ref="M46:M67" si="8">A50</f>
        <v>SW</v>
      </c>
      <c r="N46" s="95" t="str">
        <f t="shared" ref="N46:N67" si="9">IF(ISBLANK(K50),"--",K50)</f>
        <v>--</v>
      </c>
      <c r="O46" s="146" t="str">
        <f>IFERROR(_xll.qlRateHelperQuoteName(N46,Trigger),"--")</f>
        <v>--</v>
      </c>
      <c r="P46" s="99" t="str">
        <f>IFERROR(_xll.qlRateHelperQuoteValue($N46,Trigger),"--")</f>
        <v>--</v>
      </c>
      <c r="Q46" s="98" t="b">
        <v>0</v>
      </c>
      <c r="R46" s="95">
        <v>40</v>
      </c>
      <c r="S46" s="95">
        <v>1</v>
      </c>
      <c r="T46" s="100" t="str">
        <f>IFERROR(_xll.qlRateHelperEarliestDate(N46,Trigger),"--")</f>
        <v>--</v>
      </c>
      <c r="U46" s="100" t="str">
        <f>IFERROR(_xll.qlRateHelperPillarDate(N46,Trigger),"--")</f>
        <v>--</v>
      </c>
      <c r="W46" s="162" t="str">
        <f t="shared" si="3"/>
        <v>SW</v>
      </c>
      <c r="X46" s="162" t="str">
        <v>obj_00387</v>
      </c>
      <c r="Y46" s="162" t="str">
        <f>IFERROR(_xll.qlRateHelperQuoteName(X46,Trigger),"")</f>
        <v>EUR1YSW18Y_Shifted</v>
      </c>
      <c r="Z46" s="184">
        <f>IFERROR(_xll.qlRateHelperRate(X46,Trigger),"")</f>
        <v>1.2329501289999999E-2</v>
      </c>
      <c r="AA46" s="185">
        <f>IF(ISERROR(_xll.qlSwapRateHelperSpread($X46)),IF(ISERROR(_xll.qlFuturesRateHelperConvexityAdjustment($X46)),"",_xll.qlFuturesRateHelperConvexityAdjustment($X46)),_xll.qlSwapRateHelperSpread($X46))</f>
        <v>0</v>
      </c>
      <c r="AB46" s="163">
        <f>IFERROR(_xll.qlRateHelperEarliestDate(X46,Trigger),"")</f>
        <v>42748</v>
      </c>
      <c r="AC46" s="163">
        <f>IFERROR(_xll.qlRateHelperPillarDate(X46,Trigger),"")</f>
        <v>49324</v>
      </c>
      <c r="AD46" s="184">
        <v>1.2574132347441924E-2</v>
      </c>
    </row>
    <row r="47" spans="1:30" ht="11.25" customHeight="1" x14ac:dyDescent="0.2">
      <c r="B47" s="49"/>
      <c r="C47" s="49"/>
      <c r="D47" s="49"/>
      <c r="E47" s="49"/>
      <c r="F47" s="49"/>
      <c r="G47" s="49"/>
      <c r="H47" s="186"/>
      <c r="I47" s="51"/>
      <c r="M47" s="10" t="str">
        <f t="shared" si="8"/>
        <v>SW</v>
      </c>
      <c r="N47" s="95" t="str">
        <f t="shared" si="9"/>
        <v>--</v>
      </c>
      <c r="O47" s="146" t="str">
        <f>IFERROR(_xll.qlRateHelperQuoteName(N47,Trigger),"--")</f>
        <v>--</v>
      </c>
      <c r="P47" s="99" t="str">
        <f>IFERROR(_xll.qlRateHelperQuoteValue($N47,Trigger),"--")</f>
        <v>--</v>
      </c>
      <c r="Q47" s="98" t="b">
        <v>0</v>
      </c>
      <c r="R47" s="95">
        <v>40</v>
      </c>
      <c r="S47" s="95">
        <v>1</v>
      </c>
      <c r="T47" s="100" t="str">
        <f>IFERROR(_xll.qlRateHelperEarliestDate(N47,Trigger),"--")</f>
        <v>--</v>
      </c>
      <c r="U47" s="100" t="str">
        <f>IFERROR(_xll.qlRateHelperPillarDate(N47,Trigger),"--")</f>
        <v>--</v>
      </c>
      <c r="W47" s="162" t="str">
        <f t="shared" si="3"/>
        <v>SW</v>
      </c>
      <c r="X47" s="162" t="str">
        <v>obj_0039f</v>
      </c>
      <c r="Y47" s="162" t="str">
        <f>IFERROR(_xll.qlRateHelperQuoteName(X47,Trigger),"")</f>
        <v>EUR1YSW19Y_Shifted</v>
      </c>
      <c r="Z47" s="184">
        <f>IFERROR(_xll.qlRateHelperRate(X47,Trigger),"")</f>
        <v>1.254141296E-2</v>
      </c>
      <c r="AA47" s="185">
        <f>IF(ISERROR(_xll.qlSwapRateHelperSpread($X47)),IF(ISERROR(_xll.qlFuturesRateHelperConvexityAdjustment($X47)),"",_xll.qlFuturesRateHelperConvexityAdjustment($X47)),_xll.qlSwapRateHelperSpread($X47))</f>
        <v>0</v>
      </c>
      <c r="AB47" s="163">
        <f>IFERROR(_xll.qlRateHelperEarliestDate(X47,Trigger),"")</f>
        <v>42748</v>
      </c>
      <c r="AC47" s="163">
        <f>IFERROR(_xll.qlRateHelperPillarDate(X47,Trigger),"")</f>
        <v>49688</v>
      </c>
      <c r="AD47" s="184">
        <v>1.2797066883315189E-2</v>
      </c>
    </row>
    <row r="48" spans="1:30" ht="11.25" customHeight="1" x14ac:dyDescent="0.2">
      <c r="A48" s="68" t="s">
        <v>9</v>
      </c>
      <c r="B48" s="68" t="s">
        <v>28</v>
      </c>
      <c r="C48" s="68" t="s">
        <v>135</v>
      </c>
      <c r="D48" s="68" t="s">
        <v>5</v>
      </c>
      <c r="E48" s="68" t="s">
        <v>32</v>
      </c>
      <c r="F48" s="68" t="s">
        <v>115</v>
      </c>
      <c r="G48" s="68" t="s">
        <v>4</v>
      </c>
      <c r="H48" s="68" t="s">
        <v>1</v>
      </c>
      <c r="I48" s="68"/>
      <c r="J48" s="68" t="s">
        <v>114</v>
      </c>
      <c r="K48" s="68" t="s">
        <v>25</v>
      </c>
      <c r="M48" s="10" t="str">
        <f t="shared" si="8"/>
        <v>SW</v>
      </c>
      <c r="N48" s="95" t="str">
        <f t="shared" si="9"/>
        <v>--</v>
      </c>
      <c r="O48" s="146" t="str">
        <f>IFERROR(_xll.qlRateHelperQuoteName(N48,Trigger),"--")</f>
        <v>--</v>
      </c>
      <c r="P48" s="99" t="str">
        <f>IFERROR(_xll.qlRateHelperQuoteValue($N48,Trigger),"--")</f>
        <v>--</v>
      </c>
      <c r="Q48" s="98" t="b">
        <v>0</v>
      </c>
      <c r="R48" s="95">
        <v>40</v>
      </c>
      <c r="S48" s="95">
        <v>1</v>
      </c>
      <c r="T48" s="100" t="str">
        <f>IFERROR(_xll.qlRateHelperEarliestDate(N48,Trigger),"--")</f>
        <v>--</v>
      </c>
      <c r="U48" s="100" t="str">
        <f>IFERROR(_xll.qlRateHelperPillarDate(N48,Trigger),"--")</f>
        <v>--</v>
      </c>
      <c r="W48" s="162" t="str">
        <f t="shared" si="3"/>
        <v>SW</v>
      </c>
      <c r="X48" s="162" t="str">
        <v>obj_0038f</v>
      </c>
      <c r="Y48" s="162" t="str">
        <f>IFERROR(_xll.qlRateHelperQuoteName(X48,Trigger),"")</f>
        <v>EUR1YSW20Y_Shifted</v>
      </c>
      <c r="Z48" s="184">
        <f>IFERROR(_xll.qlRateHelperRate(X48,Trigger),"")</f>
        <v>1.2710000000000001E-2</v>
      </c>
      <c r="AA48" s="185">
        <f>IF(ISERROR(_xll.qlSwapRateHelperSpread($X48)),IF(ISERROR(_xll.qlFuturesRateHelperConvexityAdjustment($X48)),"",_xll.qlFuturesRateHelperConvexityAdjustment($X48)),_xll.qlSwapRateHelperSpread($X48))</f>
        <v>0</v>
      </c>
      <c r="AB48" s="163">
        <f>IFERROR(_xll.qlRateHelperEarliestDate(X48,Trigger),"")</f>
        <v>42748</v>
      </c>
      <c r="AC48" s="163">
        <f>IFERROR(_xll.qlRateHelperPillarDate(X48,Trigger),"")</f>
        <v>50053</v>
      </c>
      <c r="AD48" s="184">
        <v>1.2971059258123308E-2</v>
      </c>
    </row>
    <row r="49" spans="1:30" ht="11.25" customHeight="1" x14ac:dyDescent="0.2">
      <c r="A49" s="56" t="str">
        <f>Quote!AP46</f>
        <v>SW</v>
      </c>
      <c r="B49" s="57" t="str">
        <f>Quote!AQ46</f>
        <v>SW</v>
      </c>
      <c r="C49" s="58" t="s">
        <v>6</v>
      </c>
      <c r="D49" s="58" t="s">
        <v>8</v>
      </c>
      <c r="E49" s="58" t="s">
        <v>7</v>
      </c>
      <c r="F49" s="58" t="s">
        <v>132</v>
      </c>
      <c r="G49" s="58" t="str">
        <f>$G$20</f>
        <v>Euribor1YMX#0006</v>
      </c>
      <c r="H49" s="56" t="str">
        <f>IF(ISBLANK(Quote!AS46),"",Quote!AS46)</f>
        <v/>
      </c>
      <c r="I49" s="129"/>
      <c r="J49" s="127">
        <v>0</v>
      </c>
      <c r="K49" s="129"/>
      <c r="M49" s="10" t="str">
        <f t="shared" si="8"/>
        <v>SW</v>
      </c>
      <c r="N49" s="95" t="str">
        <f t="shared" si="9"/>
        <v>--</v>
      </c>
      <c r="O49" s="146" t="str">
        <f>IFERROR(_xll.qlRateHelperQuoteName(N49,Trigger),"--")</f>
        <v>--</v>
      </c>
      <c r="P49" s="99" t="str">
        <f>IFERROR(_xll.qlRateHelperQuoteValue($N49,Trigger),"--")</f>
        <v>--</v>
      </c>
      <c r="Q49" s="98" t="b">
        <v>0</v>
      </c>
      <c r="R49" s="95">
        <v>40</v>
      </c>
      <c r="S49" s="95">
        <v>1</v>
      </c>
      <c r="T49" s="100" t="str">
        <f>IFERROR(_xll.qlRateHelperEarliestDate(N49,Trigger),"--")</f>
        <v>--</v>
      </c>
      <c r="U49" s="100" t="str">
        <f>IFERROR(_xll.qlRateHelperPillarDate(N49,Trigger),"--")</f>
        <v>--</v>
      </c>
      <c r="W49" s="162" t="str">
        <f t="shared" si="3"/>
        <v>SW</v>
      </c>
      <c r="X49" s="162" t="str">
        <v>obj_0035d</v>
      </c>
      <c r="Y49" s="162" t="str">
        <f>IFERROR(_xll.qlRateHelperQuoteName(X49,Trigger),"")</f>
        <v>EUR1YSW21Y_Shifted</v>
      </c>
      <c r="Z49" s="184">
        <f>IFERROR(_xll.qlRateHelperRate(X49,Trigger),"")</f>
        <v>1.28393308E-2</v>
      </c>
      <c r="AA49" s="185">
        <f>IF(ISERROR(_xll.qlSwapRateHelperSpread($X49)),IF(ISERROR(_xll.qlFuturesRateHelperConvexityAdjustment($X49)),"",_xll.qlFuturesRateHelperConvexityAdjustment($X49)),_xll.qlSwapRateHelperSpread($X49))</f>
        <v>0</v>
      </c>
      <c r="AB49" s="163">
        <f>IFERROR(_xll.qlRateHelperEarliestDate(X49,Trigger),"")</f>
        <v>42748</v>
      </c>
      <c r="AC49" s="163">
        <f>IFERROR(_xll.qlRateHelperPillarDate(X49,Trigger),"")</f>
        <v>50418</v>
      </c>
      <c r="AD49" s="184">
        <v>1.3103638134088508E-2</v>
      </c>
    </row>
    <row r="50" spans="1:30" ht="11.25" customHeight="1" x14ac:dyDescent="0.2">
      <c r="A50" s="62" t="str">
        <f>Quote!AP47</f>
        <v>SW</v>
      </c>
      <c r="B50" s="63" t="str">
        <f>Quote!AQ47</f>
        <v>2W</v>
      </c>
      <c r="C50" s="64" t="s">
        <v>6</v>
      </c>
      <c r="D50" s="64" t="s">
        <v>8</v>
      </c>
      <c r="E50" s="64" t="s">
        <v>7</v>
      </c>
      <c r="F50" s="64" t="s">
        <v>132</v>
      </c>
      <c r="G50" s="64" t="str">
        <f t="shared" ref="G50:G113" si="10">$G$20</f>
        <v>Euribor1YMX#0006</v>
      </c>
      <c r="H50" s="62" t="str">
        <f>IF(ISBLANK(Quote!AS47),"",Quote!AS47)</f>
        <v/>
      </c>
      <c r="I50" s="125"/>
      <c r="J50" s="128">
        <v>0</v>
      </c>
      <c r="K50" s="125"/>
      <c r="M50" s="10" t="str">
        <f t="shared" si="8"/>
        <v>SW</v>
      </c>
      <c r="N50" s="95" t="str">
        <f t="shared" si="9"/>
        <v>--</v>
      </c>
      <c r="O50" s="146" t="str">
        <f>IFERROR(_xll.qlRateHelperQuoteName(N50,Trigger),"--")</f>
        <v>--</v>
      </c>
      <c r="P50" s="99" t="str">
        <f>IFERROR(_xll.qlRateHelperQuoteValue($N50,Trigger),"--")</f>
        <v>--</v>
      </c>
      <c r="Q50" s="98" t="b">
        <v>0</v>
      </c>
      <c r="R50" s="95">
        <v>40</v>
      </c>
      <c r="S50" s="95">
        <v>1</v>
      </c>
      <c r="T50" s="100" t="str">
        <f>IFERROR(_xll.qlRateHelperEarliestDate(N50,Trigger),"--")</f>
        <v>--</v>
      </c>
      <c r="U50" s="100" t="str">
        <f>IFERROR(_xll.qlRateHelperPillarDate(N50,Trigger),"--")</f>
        <v>--</v>
      </c>
      <c r="W50" s="162" t="str">
        <f t="shared" si="3"/>
        <v>SW</v>
      </c>
      <c r="X50" s="162" t="str">
        <v>obj_003c7</v>
      </c>
      <c r="Y50" s="162" t="str">
        <f>IFERROR(_xll.qlRateHelperQuoteName(X50,Trigger),"")</f>
        <v>EUR1YSW22Y_Shifted</v>
      </c>
      <c r="Z50" s="184">
        <f>IFERROR(_xll.qlRateHelperRate(X50,Trigger),"")</f>
        <v>1.293764759E-2</v>
      </c>
      <c r="AA50" s="185">
        <f>IF(ISERROR(_xll.qlSwapRateHelperSpread($X50)),IF(ISERROR(_xll.qlFuturesRateHelperConvexityAdjustment($X50)),"",_xll.qlFuturesRateHelperConvexityAdjustment($X50)),_xll.qlSwapRateHelperSpread($X50))</f>
        <v>0</v>
      </c>
      <c r="AB50" s="163">
        <f>IFERROR(_xll.qlRateHelperEarliestDate(X50,Trigger),"")</f>
        <v>42748</v>
      </c>
      <c r="AC50" s="163">
        <f>IFERROR(_xll.qlRateHelperPillarDate(X50,Trigger),"")</f>
        <v>50783</v>
      </c>
      <c r="AD50" s="184">
        <v>1.3201936588486521E-2</v>
      </c>
    </row>
    <row r="51" spans="1:30" ht="11.25" customHeight="1" x14ac:dyDescent="0.2">
      <c r="A51" s="62" t="str">
        <f>Quote!AP48</f>
        <v>SW</v>
      </c>
      <c r="B51" s="63" t="str">
        <f>Quote!AQ48</f>
        <v>3W</v>
      </c>
      <c r="C51" s="64" t="s">
        <v>6</v>
      </c>
      <c r="D51" s="64" t="s">
        <v>8</v>
      </c>
      <c r="E51" s="64" t="s">
        <v>7</v>
      </c>
      <c r="F51" s="64" t="s">
        <v>132</v>
      </c>
      <c r="G51" s="64" t="str">
        <f t="shared" si="10"/>
        <v>Euribor1YMX#0006</v>
      </c>
      <c r="H51" s="62" t="str">
        <f>IF(ISBLANK(Quote!AS48),"",Quote!AS48)</f>
        <v/>
      </c>
      <c r="I51" s="125"/>
      <c r="J51" s="128">
        <v>0</v>
      </c>
      <c r="K51" s="125"/>
      <c r="M51" s="10" t="str">
        <f t="shared" si="8"/>
        <v>SW</v>
      </c>
      <c r="N51" s="95" t="str">
        <f t="shared" si="9"/>
        <v>--</v>
      </c>
      <c r="O51" s="146" t="str">
        <f>IFERROR(_xll.qlRateHelperQuoteName(N51,Trigger),"--")</f>
        <v>--</v>
      </c>
      <c r="P51" s="99" t="str">
        <f>IFERROR(_xll.qlRateHelperQuoteValue($N51,Trigger),"--")</f>
        <v>--</v>
      </c>
      <c r="Q51" s="98" t="b">
        <v>0</v>
      </c>
      <c r="R51" s="95">
        <v>40</v>
      </c>
      <c r="S51" s="95">
        <v>1</v>
      </c>
      <c r="T51" s="100" t="str">
        <f>IFERROR(_xll.qlRateHelperEarliestDate(N51,Trigger),"--")</f>
        <v>--</v>
      </c>
      <c r="U51" s="100" t="str">
        <f>IFERROR(_xll.qlRateHelperPillarDate(N51,Trigger),"--")</f>
        <v>--</v>
      </c>
      <c r="W51" s="162" t="str">
        <f t="shared" si="3"/>
        <v>SW</v>
      </c>
      <c r="X51" s="162" t="str">
        <v>obj_0033d</v>
      </c>
      <c r="Y51" s="162" t="str">
        <f>IFERROR(_xll.qlRateHelperQuoteName(X51,Trigger),"")</f>
        <v>EUR1YSW23Y_Shifted</v>
      </c>
      <c r="Z51" s="184">
        <f>IFERROR(_xll.qlRateHelperRate(X51,Trigger),"")</f>
        <v>1.301123121E-2</v>
      </c>
      <c r="AA51" s="185">
        <f>IF(ISERROR(_xll.qlSwapRateHelperSpread($X51)),IF(ISERROR(_xll.qlFuturesRateHelperConvexityAdjustment($X51)),"",_xll.qlFuturesRateHelperConvexityAdjustment($X51)),_xll.qlSwapRateHelperSpread($X51))</f>
        <v>0</v>
      </c>
      <c r="AB51" s="163">
        <f>IFERROR(_xll.qlRateHelperEarliestDate(X51,Trigger),"")</f>
        <v>42748</v>
      </c>
      <c r="AC51" s="163">
        <f>IFERROR(_xll.qlRateHelperPillarDate(X51,Trigger),"")</f>
        <v>51148</v>
      </c>
      <c r="AD51" s="184">
        <v>1.3272816919336055E-2</v>
      </c>
    </row>
    <row r="52" spans="1:30" ht="11.25" customHeight="1" x14ac:dyDescent="0.2">
      <c r="A52" s="62" t="str">
        <f>Quote!AP49</f>
        <v>SW</v>
      </c>
      <c r="B52" s="63" t="str">
        <f>Quote!AQ49</f>
        <v>1M</v>
      </c>
      <c r="C52" s="64" t="s">
        <v>6</v>
      </c>
      <c r="D52" s="64" t="s">
        <v>8</v>
      </c>
      <c r="E52" s="64" t="s">
        <v>7</v>
      </c>
      <c r="F52" s="64" t="s">
        <v>132</v>
      </c>
      <c r="G52" s="64" t="str">
        <f t="shared" si="10"/>
        <v>Euribor1YMX#0006</v>
      </c>
      <c r="H52" s="62" t="str">
        <f>IF(ISBLANK(Quote!AS49),"",Quote!AS49)</f>
        <v/>
      </c>
      <c r="I52" s="125"/>
      <c r="J52" s="128">
        <v>0</v>
      </c>
      <c r="K52" s="125"/>
      <c r="M52" s="10" t="str">
        <f t="shared" si="8"/>
        <v>SW</v>
      </c>
      <c r="N52" s="95" t="str">
        <f t="shared" si="9"/>
        <v>--</v>
      </c>
      <c r="O52" s="146" t="str">
        <f>IFERROR(_xll.qlRateHelperQuoteName(N52,Trigger),"--")</f>
        <v>--</v>
      </c>
      <c r="P52" s="99" t="str">
        <f>IFERROR(_xll.qlRateHelperQuoteValue($N52,Trigger),"--")</f>
        <v>--</v>
      </c>
      <c r="Q52" s="98" t="b">
        <v>0</v>
      </c>
      <c r="R52" s="95">
        <v>40</v>
      </c>
      <c r="S52" s="95">
        <v>1</v>
      </c>
      <c r="T52" s="100" t="str">
        <f>IFERROR(_xll.qlRateHelperEarliestDate(N52,Trigger),"--")</f>
        <v>--</v>
      </c>
      <c r="U52" s="100" t="str">
        <f>IFERROR(_xll.qlRateHelperPillarDate(N52,Trigger),"--")</f>
        <v>--</v>
      </c>
      <c r="W52" s="162" t="str">
        <f t="shared" si="3"/>
        <v>SW</v>
      </c>
      <c r="X52" s="162" t="str">
        <v>obj_003ac</v>
      </c>
      <c r="Y52" s="162" t="str">
        <f>IFERROR(_xll.qlRateHelperQuoteName(X52,Trigger),"")</f>
        <v>EUR1YSW24Y_Shifted</v>
      </c>
      <c r="Z52" s="184">
        <f>IFERROR(_xll.qlRateHelperRate(X52,Trigger),"")</f>
        <v>1.3067740840000001E-2</v>
      </c>
      <c r="AA52" s="185">
        <f>IF(ISERROR(_xll.qlSwapRateHelperSpread($X52)),IF(ISERROR(_xll.qlFuturesRateHelperConvexityAdjustment($X52)),"",_xll.qlFuturesRateHelperConvexityAdjustment($X52)),_xll.qlSwapRateHelperSpread($X52))</f>
        <v>0</v>
      </c>
      <c r="AB52" s="163">
        <f>IFERROR(_xll.qlRateHelperEarliestDate(X52,Trigger),"")</f>
        <v>42748</v>
      </c>
      <c r="AC52" s="163">
        <f>IFERROR(_xll.qlRateHelperPillarDate(X52,Trigger),"")</f>
        <v>51515</v>
      </c>
      <c r="AD52" s="184">
        <v>1.3323373345656806E-2</v>
      </c>
    </row>
    <row r="53" spans="1:30" ht="11.25" customHeight="1" x14ac:dyDescent="0.2">
      <c r="A53" s="62" t="str">
        <f>Quote!AP50</f>
        <v>SW</v>
      </c>
      <c r="B53" s="63" t="str">
        <f>Quote!AQ50</f>
        <v>2M</v>
      </c>
      <c r="C53" s="64" t="s">
        <v>6</v>
      </c>
      <c r="D53" s="64" t="s">
        <v>8</v>
      </c>
      <c r="E53" s="64" t="s">
        <v>7</v>
      </c>
      <c r="F53" s="64" t="s">
        <v>132</v>
      </c>
      <c r="G53" s="64" t="str">
        <f t="shared" si="10"/>
        <v>Euribor1YMX#0006</v>
      </c>
      <c r="H53" s="62" t="str">
        <f>IF(ISBLANK(Quote!AS50),"",Quote!AS50)</f>
        <v/>
      </c>
      <c r="I53" s="125"/>
      <c r="J53" s="128">
        <v>0</v>
      </c>
      <c r="K53" s="125"/>
      <c r="M53" s="10" t="str">
        <f t="shared" si="8"/>
        <v>SW</v>
      </c>
      <c r="N53" s="95" t="str">
        <f t="shared" si="9"/>
        <v>--</v>
      </c>
      <c r="O53" s="146" t="str">
        <f>IFERROR(_xll.qlRateHelperQuoteName(N53,Trigger),"--")</f>
        <v>--</v>
      </c>
      <c r="P53" s="99" t="str">
        <f>IFERROR(_xll.qlRateHelperQuoteValue($N53,Trigger),"--")</f>
        <v>--</v>
      </c>
      <c r="Q53" s="98" t="b">
        <v>0</v>
      </c>
      <c r="R53" s="95">
        <v>40</v>
      </c>
      <c r="S53" s="95">
        <v>1</v>
      </c>
      <c r="T53" s="100" t="str">
        <f>IFERROR(_xll.qlRateHelperEarliestDate(N53,Trigger),"--")</f>
        <v>--</v>
      </c>
      <c r="U53" s="100" t="str">
        <f>IFERROR(_xll.qlRateHelperPillarDate(N53,Trigger),"--")</f>
        <v>--</v>
      </c>
      <c r="W53" s="162" t="str">
        <f t="shared" si="3"/>
        <v>SW</v>
      </c>
      <c r="X53" s="162" t="str">
        <v>obj_00398</v>
      </c>
      <c r="Y53" s="162" t="str">
        <f>IFERROR(_xll.qlRateHelperQuoteName(X53,Trigger),"")</f>
        <v>EUR1YSW25Y_Shifted</v>
      </c>
      <c r="Z53" s="184">
        <f>IFERROR(_xll.qlRateHelperRate(X53,Trigger),"")</f>
        <v>1.311E-2</v>
      </c>
      <c r="AA53" s="185">
        <f>IF(ISERROR(_xll.qlSwapRateHelperSpread($X53)),IF(ISERROR(_xll.qlFuturesRateHelperConvexityAdjustment($X53)),"",_xll.qlFuturesRateHelperConvexityAdjustment($X53)),_xll.qlSwapRateHelperSpread($X53))</f>
        <v>0</v>
      </c>
      <c r="AB53" s="163">
        <f>IFERROR(_xll.qlRateHelperEarliestDate(X53,Trigger),"")</f>
        <v>42748</v>
      </c>
      <c r="AC53" s="163">
        <f>IFERROR(_xll.qlRateHelperPillarDate(X53,Trigger),"")</f>
        <v>51879</v>
      </c>
      <c r="AD53" s="184">
        <v>1.3359861017232418E-2</v>
      </c>
    </row>
    <row r="54" spans="1:30" ht="11.25" customHeight="1" x14ac:dyDescent="0.2">
      <c r="A54" s="62" t="str">
        <f>Quote!AP51</f>
        <v>SW</v>
      </c>
      <c r="B54" s="63" t="str">
        <f>Quote!AQ51</f>
        <v>3M</v>
      </c>
      <c r="C54" s="64" t="s">
        <v>6</v>
      </c>
      <c r="D54" s="64" t="s">
        <v>8</v>
      </c>
      <c r="E54" s="64" t="s">
        <v>7</v>
      </c>
      <c r="F54" s="64" t="s">
        <v>132</v>
      </c>
      <c r="G54" s="64" t="str">
        <f t="shared" si="10"/>
        <v>Euribor1YMX#0006</v>
      </c>
      <c r="H54" s="62" t="str">
        <f>IF(ISBLANK(Quote!AS51),"",Quote!AS51)</f>
        <v/>
      </c>
      <c r="I54" s="125"/>
      <c r="J54" s="128">
        <v>0</v>
      </c>
      <c r="K54" s="125"/>
      <c r="M54" s="10" t="str">
        <f t="shared" si="8"/>
        <v>SW</v>
      </c>
      <c r="N54" s="95" t="str">
        <f t="shared" si="9"/>
        <v>--</v>
      </c>
      <c r="O54" s="146" t="str">
        <f>IFERROR(_xll.qlRateHelperQuoteName(N54,Trigger),"--")</f>
        <v>--</v>
      </c>
      <c r="P54" s="99" t="str">
        <f>IFERROR(_xll.qlRateHelperQuoteValue($N54,Trigger),"--")</f>
        <v>--</v>
      </c>
      <c r="Q54" s="98" t="b">
        <v>0</v>
      </c>
      <c r="R54" s="95">
        <v>40</v>
      </c>
      <c r="S54" s="95">
        <v>1</v>
      </c>
      <c r="T54" s="100" t="str">
        <f>IFERROR(_xll.qlRateHelperEarliestDate(N54,Trigger),"--")</f>
        <v>--</v>
      </c>
      <c r="U54" s="100" t="str">
        <f>IFERROR(_xll.qlRateHelperPillarDate(N54,Trigger),"--")</f>
        <v>--</v>
      </c>
      <c r="W54" s="162" t="str">
        <f t="shared" si="3"/>
        <v>SW</v>
      </c>
      <c r="X54" s="162" t="str">
        <v>obj_00372</v>
      </c>
      <c r="Y54" s="162" t="str">
        <f>IFERROR(_xll.qlRateHelperQuoteName(X54,Trigger),"")</f>
        <v>EUR1YSW26Y_Shifted</v>
      </c>
      <c r="Z54" s="184">
        <f>IFERROR(_xll.qlRateHelperRate(X54,Trigger),"")</f>
        <v>1.3144970040000002E-2</v>
      </c>
      <c r="AA54" s="185">
        <f>IF(ISERROR(_xll.qlSwapRateHelperSpread($X54)),IF(ISERROR(_xll.qlFuturesRateHelperConvexityAdjustment($X54)),"",_xll.qlFuturesRateHelperConvexityAdjustment($X54)),_xll.qlSwapRateHelperSpread($X54))</f>
        <v>0</v>
      </c>
      <c r="AB54" s="163">
        <f>IFERROR(_xll.qlRateHelperEarliestDate(X54,Trigger),"")</f>
        <v>42748</v>
      </c>
      <c r="AC54" s="163">
        <f>IFERROR(_xll.qlRateHelperPillarDate(X54,Trigger),"")</f>
        <v>52244</v>
      </c>
      <c r="AD54" s="184">
        <v>1.3388688582009908E-2</v>
      </c>
    </row>
    <row r="55" spans="1:30" ht="11.25" customHeight="1" x14ac:dyDescent="0.2">
      <c r="A55" s="62" t="str">
        <f>Quote!AP52</f>
        <v>SW</v>
      </c>
      <c r="B55" s="63" t="str">
        <f>Quote!AQ52</f>
        <v>4M</v>
      </c>
      <c r="C55" s="64" t="s">
        <v>6</v>
      </c>
      <c r="D55" s="64" t="s">
        <v>8</v>
      </c>
      <c r="E55" s="64" t="s">
        <v>7</v>
      </c>
      <c r="F55" s="64" t="s">
        <v>132</v>
      </c>
      <c r="G55" s="64" t="str">
        <f t="shared" si="10"/>
        <v>Euribor1YMX#0006</v>
      </c>
      <c r="H55" s="62" t="str">
        <f>IF(ISBLANK(Quote!AS52),"",Quote!AS52)</f>
        <v/>
      </c>
      <c r="I55" s="125"/>
      <c r="J55" s="128">
        <v>0</v>
      </c>
      <c r="K55" s="125"/>
      <c r="M55" s="10" t="str">
        <f t="shared" si="8"/>
        <v>SW</v>
      </c>
      <c r="N55" s="95" t="str">
        <f t="shared" si="9"/>
        <v>--</v>
      </c>
      <c r="O55" s="146" t="str">
        <f>IFERROR(_xll.qlRateHelperQuoteName(N55,Trigger),"--")</f>
        <v>--</v>
      </c>
      <c r="P55" s="99" t="str">
        <f>IFERROR(_xll.qlRateHelperQuoteValue($N55,Trigger),"--")</f>
        <v>--</v>
      </c>
      <c r="Q55" s="98" t="b">
        <v>0</v>
      </c>
      <c r="R55" s="95">
        <v>40</v>
      </c>
      <c r="S55" s="95">
        <v>1</v>
      </c>
      <c r="T55" s="100" t="str">
        <f>IFERROR(_xll.qlRateHelperEarliestDate(N55,Trigger),"--")</f>
        <v>--</v>
      </c>
      <c r="U55" s="100" t="str">
        <f>IFERROR(_xll.qlRateHelperPillarDate(N55,Trigger),"--")</f>
        <v>--</v>
      </c>
      <c r="W55" s="162" t="str">
        <f t="shared" si="3"/>
        <v>SW</v>
      </c>
      <c r="X55" s="162" t="str">
        <v>obj_00342</v>
      </c>
      <c r="Y55" s="162" t="str">
        <f>IFERROR(_xll.qlRateHelperQuoteName(X55,Trigger),"")</f>
        <v>EUR1YSW27Y_Shifted</v>
      </c>
      <c r="Z55" s="184">
        <f>IFERROR(_xll.qlRateHelperRate(X55,Trigger),"")</f>
        <v>1.3174357890000002E-2</v>
      </c>
      <c r="AA55" s="185">
        <f>IF(ISERROR(_xll.qlSwapRateHelperSpread($X55)),IF(ISERROR(_xll.qlFuturesRateHelperConvexityAdjustment($X55)),"",_xll.qlFuturesRateHelperConvexityAdjustment($X55)),_xll.qlSwapRateHelperSpread($X55))</f>
        <v>0</v>
      </c>
      <c r="AB55" s="163">
        <f>IFERROR(_xll.qlRateHelperEarliestDate(X55,Trigger),"")</f>
        <v>42748</v>
      </c>
      <c r="AC55" s="163">
        <f>IFERROR(_xll.qlRateHelperPillarDate(X55,Trigger),"")</f>
        <v>52609</v>
      </c>
      <c r="AD55" s="184">
        <v>1.3411781190478124E-2</v>
      </c>
    </row>
    <row r="56" spans="1:30" ht="11.25" customHeight="1" x14ac:dyDescent="0.2">
      <c r="A56" s="62" t="str">
        <f>Quote!AP53</f>
        <v>SW</v>
      </c>
      <c r="B56" s="63" t="str">
        <f>Quote!AQ53</f>
        <v>5M</v>
      </c>
      <c r="C56" s="64" t="s">
        <v>6</v>
      </c>
      <c r="D56" s="64" t="s">
        <v>8</v>
      </c>
      <c r="E56" s="64" t="s">
        <v>7</v>
      </c>
      <c r="F56" s="64" t="s">
        <v>132</v>
      </c>
      <c r="G56" s="64" t="str">
        <f t="shared" si="10"/>
        <v>Euribor1YMX#0006</v>
      </c>
      <c r="H56" s="62" t="str">
        <f>IF(ISBLANK(Quote!AS53),"",Quote!AS53)</f>
        <v/>
      </c>
      <c r="I56" s="125"/>
      <c r="J56" s="128">
        <v>0</v>
      </c>
      <c r="K56" s="125"/>
      <c r="M56" s="10" t="str">
        <f t="shared" si="8"/>
        <v>SW</v>
      </c>
      <c r="N56" s="95" t="str">
        <f t="shared" si="9"/>
        <v>--</v>
      </c>
      <c r="O56" s="146" t="str">
        <f>IFERROR(_xll.qlRateHelperQuoteName(N56,Trigger),"--")</f>
        <v>--</v>
      </c>
      <c r="P56" s="99" t="str">
        <f>IFERROR(_xll.qlRateHelperQuoteValue($N56,Trigger),"--")</f>
        <v>--</v>
      </c>
      <c r="Q56" s="98" t="b">
        <v>0</v>
      </c>
      <c r="R56" s="95">
        <v>40</v>
      </c>
      <c r="S56" s="95">
        <v>1</v>
      </c>
      <c r="T56" s="100" t="str">
        <f>IFERROR(_xll.qlRateHelperEarliestDate(N56,Trigger),"--")</f>
        <v>--</v>
      </c>
      <c r="U56" s="100" t="str">
        <f>IFERROR(_xll.qlRateHelperPillarDate(N56,Trigger),"--")</f>
        <v>--</v>
      </c>
      <c r="W56" s="162" t="str">
        <f t="shared" si="3"/>
        <v>SW</v>
      </c>
      <c r="X56" s="162" t="str">
        <v>obj_003b8</v>
      </c>
      <c r="Y56" s="162" t="str">
        <f>IFERROR(_xll.qlRateHelperQuoteName(X56,Trigger),"")</f>
        <v>EUR1YSW28Y_Shifted</v>
      </c>
      <c r="Z56" s="184">
        <f>IFERROR(_xll.qlRateHelperRate(X56,Trigger),"")</f>
        <v>1.3200284770000001E-2</v>
      </c>
      <c r="AA56" s="185">
        <f>IF(ISERROR(_xll.qlSwapRateHelperSpread($X56)),IF(ISERROR(_xll.qlFuturesRateHelperConvexityAdjustment($X56)),"",_xll.qlFuturesRateHelperConvexityAdjustment($X56)),_xll.qlSwapRateHelperSpread($X56))</f>
        <v>0</v>
      </c>
      <c r="AB56" s="163">
        <f>IFERROR(_xll.qlRateHelperEarliestDate(X56,Trigger),"")</f>
        <v>42748</v>
      </c>
      <c r="AC56" s="163">
        <f>IFERROR(_xll.qlRateHelperPillarDate(X56,Trigger),"")</f>
        <v>52975</v>
      </c>
      <c r="AD56" s="184">
        <v>1.3430260454508324E-2</v>
      </c>
    </row>
    <row r="57" spans="1:30" ht="11.25" customHeight="1" x14ac:dyDescent="0.2">
      <c r="A57" s="62" t="str">
        <f>Quote!AP54</f>
        <v>SW</v>
      </c>
      <c r="B57" s="63" t="str">
        <f>Quote!AQ54</f>
        <v>6M</v>
      </c>
      <c r="C57" s="64" t="s">
        <v>6</v>
      </c>
      <c r="D57" s="64" t="s">
        <v>8</v>
      </c>
      <c r="E57" s="64" t="s">
        <v>7</v>
      </c>
      <c r="F57" s="64" t="s">
        <v>132</v>
      </c>
      <c r="G57" s="64" t="str">
        <f t="shared" si="10"/>
        <v>Euribor1YMX#0006</v>
      </c>
      <c r="H57" s="62" t="str">
        <f>IF(ISBLANK(Quote!AS54),"",Quote!AS54)</f>
        <v/>
      </c>
      <c r="I57" s="125"/>
      <c r="J57" s="128">
        <v>0</v>
      </c>
      <c r="K57" s="125"/>
      <c r="M57" s="10" t="str">
        <f t="shared" si="8"/>
        <v>SW</v>
      </c>
      <c r="N57" s="95" t="str">
        <f t="shared" si="9"/>
        <v>--</v>
      </c>
      <c r="O57" s="146" t="str">
        <f>IFERROR(_xll.qlRateHelperQuoteName(N57,Trigger),"--")</f>
        <v>--</v>
      </c>
      <c r="P57" s="99" t="str">
        <f>IFERROR(_xll.qlRateHelperQuoteValue($N57,Trigger),"--")</f>
        <v>--</v>
      </c>
      <c r="Q57" s="98" t="b">
        <v>0</v>
      </c>
      <c r="R57" s="95">
        <v>40</v>
      </c>
      <c r="S57" s="95">
        <v>1</v>
      </c>
      <c r="T57" s="100" t="str">
        <f>IFERROR(_xll.qlRateHelperEarliestDate(N57,Trigger),"--")</f>
        <v>--</v>
      </c>
      <c r="U57" s="100" t="str">
        <f>IFERROR(_xll.qlRateHelperPillarDate(N57,Trigger),"--")</f>
        <v>--</v>
      </c>
      <c r="W57" s="162" t="str">
        <f t="shared" si="3"/>
        <v>SW</v>
      </c>
      <c r="X57" s="162" t="str">
        <v>obj_0034b</v>
      </c>
      <c r="Y57" s="162" t="str">
        <f>IFERROR(_xll.qlRateHelperQuoteName(X57,Trigger),"")</f>
        <v>EUR1YSW29Y_Shifted</v>
      </c>
      <c r="Z57" s="184">
        <f>IFERROR(_xll.qlRateHelperRate(X57,Trigger),"")</f>
        <v>1.3221538370000001E-2</v>
      </c>
      <c r="AA57" s="185">
        <f>IF(ISERROR(_xll.qlSwapRateHelperSpread($X57)),IF(ISERROR(_xll.qlFuturesRateHelperConvexityAdjustment($X57)),"",_xll.qlFuturesRateHelperConvexityAdjustment($X57)),_xll.qlSwapRateHelperSpread($X57))</f>
        <v>0</v>
      </c>
      <c r="AB57" s="163">
        <f>IFERROR(_xll.qlRateHelperEarliestDate(X57,Trigger),"")</f>
        <v>42748</v>
      </c>
      <c r="AC57" s="163">
        <f>IFERROR(_xll.qlRateHelperPillarDate(X57,Trigger),"")</f>
        <v>53342</v>
      </c>
      <c r="AD57" s="184">
        <v>1.3445177793188667E-2</v>
      </c>
    </row>
    <row r="58" spans="1:30" ht="11.25" customHeight="1" x14ac:dyDescent="0.2">
      <c r="A58" s="62" t="str">
        <f>Quote!AP55</f>
        <v>SW</v>
      </c>
      <c r="B58" s="63" t="str">
        <f>Quote!AQ55</f>
        <v>7M</v>
      </c>
      <c r="C58" s="64" t="s">
        <v>6</v>
      </c>
      <c r="D58" s="64" t="s">
        <v>8</v>
      </c>
      <c r="E58" s="64" t="s">
        <v>7</v>
      </c>
      <c r="F58" s="64" t="s">
        <v>132</v>
      </c>
      <c r="G58" s="64" t="str">
        <f t="shared" si="10"/>
        <v>Euribor1YMX#0006</v>
      </c>
      <c r="H58" s="62" t="str">
        <f>IF(ISBLANK(Quote!AS55),"",Quote!AS55)</f>
        <v/>
      </c>
      <c r="I58" s="125"/>
      <c r="J58" s="128">
        <v>0</v>
      </c>
      <c r="K58" s="125"/>
      <c r="M58" s="10" t="str">
        <f t="shared" si="8"/>
        <v>SW</v>
      </c>
      <c r="N58" s="95" t="str">
        <f t="shared" si="9"/>
        <v>--</v>
      </c>
      <c r="O58" s="146" t="str">
        <f>IFERROR(_xll.qlRateHelperQuoteName(N58,Trigger),"--")</f>
        <v>--</v>
      </c>
      <c r="P58" s="99" t="str">
        <f>IFERROR(_xll.qlRateHelperQuoteValue($N58,Trigger),"--")</f>
        <v>--</v>
      </c>
      <c r="Q58" s="98" t="b">
        <v>0</v>
      </c>
      <c r="R58" s="95">
        <v>40</v>
      </c>
      <c r="S58" s="95">
        <v>1</v>
      </c>
      <c r="T58" s="100" t="str">
        <f>IFERROR(_xll.qlRateHelperEarliestDate(N58,Trigger),"--")</f>
        <v>--</v>
      </c>
      <c r="U58" s="100" t="str">
        <f>IFERROR(_xll.qlRateHelperPillarDate(N58,Trigger),"--")</f>
        <v>--</v>
      </c>
      <c r="W58" s="162" t="str">
        <f t="shared" si="3"/>
        <v>SW</v>
      </c>
      <c r="X58" s="162" t="str">
        <v>obj_003a3</v>
      </c>
      <c r="Y58" s="162" t="str">
        <f>IFERROR(_xll.qlRateHelperQuoteName(X58,Trigger),"")</f>
        <v>EUR1YSW30Y_Shifted</v>
      </c>
      <c r="Z58" s="184">
        <f>IFERROR(_xll.qlRateHelperRate(X58,Trigger),"")</f>
        <v>1.324E-2</v>
      </c>
      <c r="AA58" s="185">
        <f>IF(ISERROR(_xll.qlSwapRateHelperSpread($X58)),IF(ISERROR(_xll.qlFuturesRateHelperConvexityAdjustment($X58)),"",_xll.qlFuturesRateHelperConvexityAdjustment($X58)),_xll.qlSwapRateHelperSpread($X58))</f>
        <v>0</v>
      </c>
      <c r="AB58" s="163">
        <f>IFERROR(_xll.qlRateHelperEarliestDate(X58,Trigger),"")</f>
        <v>42748</v>
      </c>
      <c r="AC58" s="163">
        <f>IFERROR(_xll.qlRateHelperPillarDate(X58,Trigger),"")</f>
        <v>53706</v>
      </c>
      <c r="AD58" s="184">
        <v>1.3457476942829985E-2</v>
      </c>
    </row>
    <row r="59" spans="1:30" ht="11.25" customHeight="1" x14ac:dyDescent="0.2">
      <c r="A59" s="62" t="str">
        <f>Quote!AP56</f>
        <v>SW</v>
      </c>
      <c r="B59" s="63" t="str">
        <f>Quote!AQ56</f>
        <v>8M</v>
      </c>
      <c r="C59" s="64" t="s">
        <v>6</v>
      </c>
      <c r="D59" s="64" t="s">
        <v>8</v>
      </c>
      <c r="E59" s="64" t="s">
        <v>7</v>
      </c>
      <c r="F59" s="64" t="s">
        <v>132</v>
      </c>
      <c r="G59" s="64" t="str">
        <f t="shared" si="10"/>
        <v>Euribor1YMX#0006</v>
      </c>
      <c r="H59" s="62" t="str">
        <f>IF(ISBLANK(Quote!AS56),"",Quote!AS56)</f>
        <v/>
      </c>
      <c r="I59" s="125"/>
      <c r="J59" s="128">
        <v>0</v>
      </c>
      <c r="K59" s="125"/>
      <c r="M59" s="10" t="str">
        <f t="shared" si="8"/>
        <v>SW</v>
      </c>
      <c r="N59" s="95" t="str">
        <f t="shared" si="9"/>
        <v>--</v>
      </c>
      <c r="O59" s="146" t="str">
        <f>IFERROR(_xll.qlRateHelperQuoteName(N59,Trigger),"--")</f>
        <v>--</v>
      </c>
      <c r="P59" s="99" t="str">
        <f>IFERROR(_xll.qlRateHelperQuoteValue($N59,Trigger),"--")</f>
        <v>--</v>
      </c>
      <c r="Q59" s="98" t="b">
        <v>0</v>
      </c>
      <c r="R59" s="95">
        <v>40</v>
      </c>
      <c r="S59" s="95">
        <v>1</v>
      </c>
      <c r="T59" s="100" t="str">
        <f>IFERROR(_xll.qlRateHelperEarliestDate(N59,Trigger),"--")</f>
        <v>--</v>
      </c>
      <c r="U59" s="100" t="str">
        <f>IFERROR(_xll.qlRateHelperPillarDate(N59,Trigger),"--")</f>
        <v>--</v>
      </c>
      <c r="W59" s="162" t="str">
        <f t="shared" si="3"/>
        <v>SW</v>
      </c>
      <c r="X59" s="162" t="str">
        <v>obj_0038e</v>
      </c>
      <c r="Y59" s="162" t="str">
        <f>IFERROR(_xll.qlRateHelperQuoteName(X59,Trigger),"")</f>
        <v>EUR1YSW31Y_Shifted</v>
      </c>
      <c r="Z59" s="184">
        <f>IFERROR(_xll.qlRateHelperRate(X59,Trigger),"")</f>
        <v>1.3256374900000001E-2</v>
      </c>
      <c r="AA59" s="185">
        <f>IF(ISERROR(_xll.qlSwapRateHelperSpread($X59)),IF(ISERROR(_xll.qlFuturesRateHelperConvexityAdjustment($X59)),"",_xll.qlFuturesRateHelperConvexityAdjustment($X59)),_xll.qlSwapRateHelperSpread($X59))</f>
        <v>0</v>
      </c>
      <c r="AB59" s="163">
        <f>IFERROR(_xll.qlRateHelperEarliestDate(X59,Trigger),"")</f>
        <v>42748</v>
      </c>
      <c r="AC59" s="163">
        <f>IFERROR(_xll.qlRateHelperPillarDate(X59,Trigger),"")</f>
        <v>54070</v>
      </c>
      <c r="AD59" s="184">
        <v>1.346787834511535E-2</v>
      </c>
    </row>
    <row r="60" spans="1:30" ht="11.25" customHeight="1" x14ac:dyDescent="0.2">
      <c r="A60" s="62" t="str">
        <f>Quote!AP57</f>
        <v>SW</v>
      </c>
      <c r="B60" s="63" t="str">
        <f>Quote!AQ57</f>
        <v>9M</v>
      </c>
      <c r="C60" s="64" t="s">
        <v>6</v>
      </c>
      <c r="D60" s="64" t="s">
        <v>8</v>
      </c>
      <c r="E60" s="64" t="s">
        <v>7</v>
      </c>
      <c r="F60" s="64" t="s">
        <v>132</v>
      </c>
      <c r="G60" s="64" t="str">
        <f t="shared" si="10"/>
        <v>Euribor1YMX#0006</v>
      </c>
      <c r="H60" s="62" t="str">
        <f>IF(ISBLANK(Quote!AS57),"",Quote!AS57)</f>
        <v/>
      </c>
      <c r="I60" s="125"/>
      <c r="J60" s="128">
        <v>0</v>
      </c>
      <c r="K60" s="125"/>
      <c r="M60" s="10" t="str">
        <f t="shared" si="8"/>
        <v>SW</v>
      </c>
      <c r="N60" s="95" t="str">
        <f t="shared" si="9"/>
        <v>--</v>
      </c>
      <c r="O60" s="146" t="str">
        <f>IFERROR(_xll.qlRateHelperQuoteName(N60,Trigger),"--")</f>
        <v>--</v>
      </c>
      <c r="P60" s="99" t="str">
        <f>IFERROR(_xll.qlRateHelperQuoteValue($N60,Trigger),"--")</f>
        <v>--</v>
      </c>
      <c r="Q60" s="98" t="b">
        <v>0</v>
      </c>
      <c r="R60" s="95">
        <v>40</v>
      </c>
      <c r="S60" s="95">
        <v>1</v>
      </c>
      <c r="T60" s="100" t="str">
        <f>IFERROR(_xll.qlRateHelperEarliestDate(N60,Trigger),"--")</f>
        <v>--</v>
      </c>
      <c r="U60" s="100" t="str">
        <f>IFERROR(_xll.qlRateHelperPillarDate(N60,Trigger),"--")</f>
        <v>--</v>
      </c>
      <c r="W60" s="162" t="str">
        <f t="shared" si="3"/>
        <v>SW</v>
      </c>
      <c r="X60" s="162" t="str">
        <v>obj_003db</v>
      </c>
      <c r="Y60" s="162" t="str">
        <f>IFERROR(_xll.qlRateHelperQuoteName(X60,Trigger),"")</f>
        <v>EUR1YSW32Y_Shifted</v>
      </c>
      <c r="Z60" s="184">
        <f>IFERROR(_xll.qlRateHelperRate(X60,Trigger),"")</f>
        <v>1.3271155970000002E-2</v>
      </c>
      <c r="AA60" s="185">
        <f>IF(ISERROR(_xll.qlSwapRateHelperSpread($X60)),IF(ISERROR(_xll.qlFuturesRateHelperConvexityAdjustment($X60)),"",_xll.qlFuturesRateHelperConvexityAdjustment($X60)),_xll.qlSwapRateHelperSpread($X60))</f>
        <v>0</v>
      </c>
      <c r="AB60" s="163">
        <f>IFERROR(_xll.qlRateHelperEarliestDate(X60,Trigger),"")</f>
        <v>42748</v>
      </c>
      <c r="AC60" s="163">
        <f>IFERROR(_xll.qlRateHelperPillarDate(X60,Trigger),"")</f>
        <v>54436</v>
      </c>
      <c r="AD60" s="184">
        <v>1.3475756831002767E-2</v>
      </c>
    </row>
    <row r="61" spans="1:30" ht="11.25" customHeight="1" x14ac:dyDescent="0.2">
      <c r="A61" s="62" t="str">
        <f>Quote!AP58</f>
        <v>SW</v>
      </c>
      <c r="B61" s="63" t="str">
        <f>Quote!AQ58</f>
        <v>10M</v>
      </c>
      <c r="C61" s="64" t="s">
        <v>6</v>
      </c>
      <c r="D61" s="64" t="s">
        <v>8</v>
      </c>
      <c r="E61" s="64" t="s">
        <v>7</v>
      </c>
      <c r="F61" s="64" t="s">
        <v>132</v>
      </c>
      <c r="G61" s="64" t="str">
        <f t="shared" si="10"/>
        <v>Euribor1YMX#0006</v>
      </c>
      <c r="H61" s="62" t="str">
        <f>IF(ISBLANK(Quote!AS58),"",Quote!AS58)</f>
        <v/>
      </c>
      <c r="I61" s="125"/>
      <c r="J61" s="128">
        <v>0</v>
      </c>
      <c r="K61" s="125"/>
      <c r="M61" s="10" t="str">
        <f t="shared" si="8"/>
        <v>SW</v>
      </c>
      <c r="N61" s="95" t="str">
        <f t="shared" si="9"/>
        <v>--</v>
      </c>
      <c r="O61" s="146" t="str">
        <f>IFERROR(_xll.qlRateHelperQuoteName(N61,Trigger),"--")</f>
        <v>--</v>
      </c>
      <c r="P61" s="99" t="str">
        <f>IFERROR(_xll.qlRateHelperQuoteValue($N61,Trigger),"--")</f>
        <v>--</v>
      </c>
      <c r="Q61" s="98" t="b">
        <v>0</v>
      </c>
      <c r="R61" s="95">
        <v>40</v>
      </c>
      <c r="S61" s="95">
        <v>1</v>
      </c>
      <c r="T61" s="100" t="str">
        <f>IFERROR(_xll.qlRateHelperEarliestDate(N61,Trigger),"--")</f>
        <v>--</v>
      </c>
      <c r="U61" s="100" t="str">
        <f>IFERROR(_xll.qlRateHelperPillarDate(N61,Trigger),"--")</f>
        <v>--</v>
      </c>
      <c r="W61" s="162" t="str">
        <f t="shared" si="3"/>
        <v>SW</v>
      </c>
      <c r="X61" s="162" t="str">
        <v>obj_003ad</v>
      </c>
      <c r="Y61" s="162" t="str">
        <f>IFERROR(_xll.qlRateHelperQuoteName(X61,Trigger),"")</f>
        <v>EUR1YSW33Y_Shifted</v>
      </c>
      <c r="Z61" s="184">
        <f>IFERROR(_xll.qlRateHelperRate(X61,Trigger),"")</f>
        <v>1.328179596E-2</v>
      </c>
      <c r="AA61" s="185">
        <f>IF(ISERROR(_xll.qlSwapRateHelperSpread($X61)),IF(ISERROR(_xll.qlFuturesRateHelperConvexityAdjustment($X61)),"",_xll.qlFuturesRateHelperConvexityAdjustment($X61)),_xll.qlSwapRateHelperSpread($X61))</f>
        <v>0</v>
      </c>
      <c r="AB61" s="163">
        <f>IFERROR(_xll.qlRateHelperEarliestDate(X61,Trigger),"")</f>
        <v>42748</v>
      </c>
      <c r="AC61" s="163">
        <f>IFERROR(_xll.qlRateHelperPillarDate(X61,Trigger),"")</f>
        <v>54801</v>
      </c>
      <c r="AD61" s="184">
        <v>1.3480223932090798E-2</v>
      </c>
    </row>
    <row r="62" spans="1:30" ht="11.25" customHeight="1" x14ac:dyDescent="0.2">
      <c r="A62" s="62" t="str">
        <f>Quote!AP59</f>
        <v>SW</v>
      </c>
      <c r="B62" s="63" t="str">
        <f>Quote!AQ59</f>
        <v>11M</v>
      </c>
      <c r="C62" s="64" t="s">
        <v>6</v>
      </c>
      <c r="D62" s="64" t="s">
        <v>8</v>
      </c>
      <c r="E62" s="64" t="s">
        <v>7</v>
      </c>
      <c r="F62" s="64" t="s">
        <v>132</v>
      </c>
      <c r="G62" s="64" t="str">
        <f t="shared" si="10"/>
        <v>Euribor1YMX#0006</v>
      </c>
      <c r="H62" s="62" t="str">
        <f>IF(ISBLANK(Quote!AS59),"",Quote!AS59)</f>
        <v/>
      </c>
      <c r="I62" s="125"/>
      <c r="J62" s="128">
        <v>0</v>
      </c>
      <c r="K62" s="125"/>
      <c r="M62" s="10" t="str">
        <f t="shared" si="8"/>
        <v>SW</v>
      </c>
      <c r="N62" s="95" t="str">
        <f t="shared" si="9"/>
        <v>--</v>
      </c>
      <c r="O62" s="146" t="str">
        <f>IFERROR(_xll.qlRateHelperQuoteName(N62,Trigger),"--")</f>
        <v>--</v>
      </c>
      <c r="P62" s="99" t="str">
        <f>IFERROR(_xll.qlRateHelperQuoteValue($N62,Trigger),"--")</f>
        <v>--</v>
      </c>
      <c r="Q62" s="98" t="b">
        <v>0</v>
      </c>
      <c r="R62" s="95">
        <v>40</v>
      </c>
      <c r="S62" s="95">
        <v>1</v>
      </c>
      <c r="T62" s="100" t="str">
        <f>IFERROR(_xll.qlRateHelperEarliestDate(N62,Trigger),"--")</f>
        <v>--</v>
      </c>
      <c r="U62" s="100" t="str">
        <f>IFERROR(_xll.qlRateHelperPillarDate(N62,Trigger),"--")</f>
        <v>--</v>
      </c>
      <c r="W62" s="162" t="str">
        <f t="shared" si="3"/>
        <v>SW</v>
      </c>
      <c r="X62" s="162" t="str">
        <v>obj_00370</v>
      </c>
      <c r="Y62" s="162" t="str">
        <f>IFERROR(_xll.qlRateHelperQuoteName(X62,Trigger),"")</f>
        <v>EUR1YSW34Y_Shifted</v>
      </c>
      <c r="Z62" s="184">
        <f>IFERROR(_xll.qlRateHelperRate(X62,Trigger),"")</f>
        <v>1.3288681340000002E-2</v>
      </c>
      <c r="AA62" s="185">
        <f>IF(ISERROR(_xll.qlSwapRateHelperSpread($X62)),IF(ISERROR(_xll.qlFuturesRateHelperConvexityAdjustment($X62)),"",_xll.qlFuturesRateHelperConvexityAdjustment($X62)),_xll.qlSwapRateHelperSpread($X62))</f>
        <v>0</v>
      </c>
      <c r="AB62" s="163">
        <f>IFERROR(_xll.qlRateHelperEarliestDate(X62,Trigger),"")</f>
        <v>42748</v>
      </c>
      <c r="AC62" s="163">
        <f>IFERROR(_xll.qlRateHelperPillarDate(X62,Trigger),"")</f>
        <v>55166</v>
      </c>
      <c r="AD62" s="184">
        <v>1.348049169453943E-2</v>
      </c>
    </row>
    <row r="63" spans="1:30" ht="11.25" customHeight="1" x14ac:dyDescent="0.2">
      <c r="A63" s="62" t="str">
        <f>Quote!AP60</f>
        <v>SW</v>
      </c>
      <c r="B63" s="63" t="str">
        <f>Quote!AQ60</f>
        <v>12M</v>
      </c>
      <c r="C63" s="64" t="s">
        <v>6</v>
      </c>
      <c r="D63" s="64" t="s">
        <v>8</v>
      </c>
      <c r="E63" s="64" t="s">
        <v>7</v>
      </c>
      <c r="F63" s="64" t="s">
        <v>132</v>
      </c>
      <c r="G63" s="64" t="str">
        <f t="shared" si="10"/>
        <v>Euribor1YMX#0006</v>
      </c>
      <c r="H63" s="62" t="str">
        <f>IF(ISBLANK(Quote!AS60),"",Quote!AS60)</f>
        <v/>
      </c>
      <c r="I63" s="125"/>
      <c r="J63" s="128">
        <v>0</v>
      </c>
      <c r="K63" s="125"/>
      <c r="M63" s="10" t="str">
        <f t="shared" si="8"/>
        <v>SW</v>
      </c>
      <c r="N63" s="95" t="str">
        <f t="shared" si="9"/>
        <v>--</v>
      </c>
      <c r="O63" s="146" t="str">
        <f>IFERROR(_xll.qlRateHelperQuoteName(N63,Trigger),"--")</f>
        <v>--</v>
      </c>
      <c r="P63" s="99" t="str">
        <f>IFERROR(_xll.qlRateHelperQuoteValue($N63,Trigger),"--")</f>
        <v>--</v>
      </c>
      <c r="Q63" s="98" t="b">
        <v>0</v>
      </c>
      <c r="R63" s="95">
        <v>40</v>
      </c>
      <c r="S63" s="95">
        <v>1</v>
      </c>
      <c r="T63" s="100" t="str">
        <f>IFERROR(_xll.qlRateHelperEarliestDate(N63,Trigger),"--")</f>
        <v>--</v>
      </c>
      <c r="U63" s="100" t="str">
        <f>IFERROR(_xll.qlRateHelperPillarDate(N63,Trigger),"--")</f>
        <v>--</v>
      </c>
      <c r="W63" s="162" t="str">
        <f t="shared" si="3"/>
        <v>SW</v>
      </c>
      <c r="X63" s="162" t="str">
        <v>obj_00347</v>
      </c>
      <c r="Y63" s="162" t="str">
        <f>IFERROR(_xll.qlRateHelperQuoteName(X63,Trigger),"")</f>
        <v>EUR1YSW35Y_Shifted</v>
      </c>
      <c r="Z63" s="184">
        <f>IFERROR(_xll.qlRateHelperRate(X63,Trigger),"")</f>
        <v>1.3291221190000001E-2</v>
      </c>
      <c r="AA63" s="185">
        <f>IF(ISERROR(_xll.qlSwapRateHelperSpread($X63)),IF(ISERROR(_xll.qlFuturesRateHelperConvexityAdjustment($X63)),"",_xll.qlFuturesRateHelperConvexityAdjustment($X63)),_xll.qlSwapRateHelperSpread($X63))</f>
        <v>0</v>
      </c>
      <c r="AB63" s="163">
        <f>IFERROR(_xll.qlRateHelperEarliestDate(X63,Trigger),"")</f>
        <v>42748</v>
      </c>
      <c r="AC63" s="163">
        <f>IFERROR(_xll.qlRateHelperPillarDate(X63,Trigger),"")</f>
        <v>55533</v>
      </c>
      <c r="AD63" s="184">
        <v>1.3475707255629467E-2</v>
      </c>
    </row>
    <row r="64" spans="1:30" ht="11.25" customHeight="1" x14ac:dyDescent="0.2">
      <c r="A64" s="62" t="str">
        <f>Quote!AP61</f>
        <v>SW</v>
      </c>
      <c r="B64" s="63" t="str">
        <f>Quote!AQ61</f>
        <v>1Y</v>
      </c>
      <c r="C64" s="64" t="s">
        <v>6</v>
      </c>
      <c r="D64" s="64" t="s">
        <v>8</v>
      </c>
      <c r="E64" s="64" t="s">
        <v>7</v>
      </c>
      <c r="F64" s="64" t="s">
        <v>132</v>
      </c>
      <c r="G64" s="64" t="str">
        <f t="shared" si="10"/>
        <v>Euribor1YMX#0006</v>
      </c>
      <c r="H64" s="62" t="str">
        <f>IF(ISBLANK(Quote!AS61),"",Quote!AS61)</f>
        <v/>
      </c>
      <c r="I64" s="125"/>
      <c r="J64" s="128">
        <v>0</v>
      </c>
      <c r="K64" s="125"/>
      <c r="M64" s="10" t="str">
        <f t="shared" si="8"/>
        <v>SW</v>
      </c>
      <c r="N64" s="95" t="str">
        <f t="shared" si="9"/>
        <v>--</v>
      </c>
      <c r="O64" s="146" t="str">
        <f>IFERROR(_xll.qlRateHelperQuoteName(N64,Trigger),"--")</f>
        <v>--</v>
      </c>
      <c r="P64" s="99" t="str">
        <f>IFERROR(_xll.qlRateHelperQuoteValue($N64,Trigger),"--")</f>
        <v>--</v>
      </c>
      <c r="Q64" s="98" t="b">
        <v>0</v>
      </c>
      <c r="R64" s="95">
        <v>40</v>
      </c>
      <c r="S64" s="95">
        <v>1</v>
      </c>
      <c r="T64" s="100" t="str">
        <f>IFERROR(_xll.qlRateHelperEarliestDate(N64,Trigger),"--")</f>
        <v>--</v>
      </c>
      <c r="U64" s="100" t="str">
        <f>IFERROR(_xll.qlRateHelperPillarDate(N64,Trigger),"--")</f>
        <v>--</v>
      </c>
      <c r="W64" s="162" t="str">
        <f t="shared" si="3"/>
        <v>SW</v>
      </c>
      <c r="X64" s="162" t="str">
        <v>obj_003d1</v>
      </c>
      <c r="Y64" s="162" t="str">
        <f>IFERROR(_xll.qlRateHelperQuoteName(X64,Trigger),"")</f>
        <v>EUR1YSW36Y_Shifted</v>
      </c>
      <c r="Z64" s="184">
        <f>IFERROR(_xll.qlRateHelperRate(X64,Trigger),"")</f>
        <v>1.3289645900000001E-2</v>
      </c>
      <c r="AA64" s="185">
        <f>IF(ISERROR(_xll.qlSwapRateHelperSpread($X64)),IF(ISERROR(_xll.qlFuturesRateHelperConvexityAdjustment($X64)),"",_xll.qlFuturesRateHelperConvexityAdjustment($X64)),_xll.qlSwapRateHelperSpread($X64))</f>
        <v>0</v>
      </c>
      <c r="AB64" s="163">
        <f>IFERROR(_xll.qlRateHelperEarliestDate(X64,Trigger),"")</f>
        <v>42748</v>
      </c>
      <c r="AC64" s="163">
        <f>IFERROR(_xll.qlRateHelperPillarDate(X64,Trigger),"")</f>
        <v>55897</v>
      </c>
      <c r="AD64" s="184">
        <v>1.3465151092421324E-2</v>
      </c>
    </row>
    <row r="65" spans="1:30" ht="11.25" customHeight="1" x14ac:dyDescent="0.2">
      <c r="A65" s="62" t="str">
        <f>Quote!AP62</f>
        <v>SW</v>
      </c>
      <c r="B65" s="63" t="str">
        <f>Quote!AQ62</f>
        <v>13M</v>
      </c>
      <c r="C65" s="64" t="s">
        <v>6</v>
      </c>
      <c r="D65" s="64" t="s">
        <v>8</v>
      </c>
      <c r="E65" s="64" t="s">
        <v>7</v>
      </c>
      <c r="F65" s="64" t="s">
        <v>132</v>
      </c>
      <c r="G65" s="64" t="str">
        <f t="shared" si="10"/>
        <v>Euribor1YMX#0006</v>
      </c>
      <c r="H65" s="62" t="str">
        <f>IF(ISBLANK(Quote!AS62),"",Quote!AS62)</f>
        <v/>
      </c>
      <c r="I65" s="125"/>
      <c r="J65" s="128">
        <v>0</v>
      </c>
      <c r="K65" s="125"/>
      <c r="M65" s="10" t="str">
        <f t="shared" si="8"/>
        <v>SW</v>
      </c>
      <c r="N65" s="95" t="str">
        <f t="shared" si="9"/>
        <v>--</v>
      </c>
      <c r="O65" s="146" t="str">
        <f>IFERROR(_xll.qlRateHelperQuoteName(N65,Trigger),"--")</f>
        <v>--</v>
      </c>
      <c r="P65" s="99" t="str">
        <f>IFERROR(_xll.qlRateHelperQuoteValue($N65,Trigger),"--")</f>
        <v>--</v>
      </c>
      <c r="Q65" s="98" t="b">
        <v>0</v>
      </c>
      <c r="R65" s="95">
        <v>40</v>
      </c>
      <c r="S65" s="95">
        <v>1</v>
      </c>
      <c r="T65" s="100" t="str">
        <f>IFERROR(_xll.qlRateHelperEarliestDate(N65,Trigger),"--")</f>
        <v>--</v>
      </c>
      <c r="U65" s="100" t="str">
        <f>IFERROR(_xll.qlRateHelperPillarDate(N65,Trigger),"--")</f>
        <v>--</v>
      </c>
      <c r="W65" s="162" t="str">
        <f t="shared" si="3"/>
        <v>SW</v>
      </c>
      <c r="X65" s="162" t="str">
        <v>obj_00390</v>
      </c>
      <c r="Y65" s="162" t="str">
        <f>IFERROR(_xll.qlRateHelperQuoteName(X65,Trigger),"")</f>
        <v>EUR1YSW37Y_Shifted</v>
      </c>
      <c r="Z65" s="184">
        <f>IFERROR(_xll.qlRateHelperRate(X65,Trigger),"")</f>
        <v>1.3281772840000001E-2</v>
      </c>
      <c r="AA65" s="185">
        <f>IF(ISERROR(_xll.qlSwapRateHelperSpread($X65)),IF(ISERROR(_xll.qlFuturesRateHelperConvexityAdjustment($X65)),"",_xll.qlFuturesRateHelperConvexityAdjustment($X65)),_xll.qlSwapRateHelperSpread($X65))</f>
        <v>0</v>
      </c>
      <c r="AB65" s="163">
        <f>IFERROR(_xll.qlRateHelperEarliestDate(X65,Trigger),"")</f>
        <v>42748</v>
      </c>
      <c r="AC65" s="163">
        <f>IFERROR(_xll.qlRateHelperPillarDate(X65,Trigger),"")</f>
        <v>56262</v>
      </c>
      <c r="AD65" s="184">
        <v>1.3447951762361323E-2</v>
      </c>
    </row>
    <row r="66" spans="1:30" ht="11.25" customHeight="1" x14ac:dyDescent="0.2">
      <c r="A66" s="62" t="str">
        <f>Quote!AP63</f>
        <v>SW</v>
      </c>
      <c r="B66" s="63" t="str">
        <f>Quote!AQ63</f>
        <v>14M</v>
      </c>
      <c r="C66" s="64" t="s">
        <v>6</v>
      </c>
      <c r="D66" s="64" t="s">
        <v>8</v>
      </c>
      <c r="E66" s="64" t="s">
        <v>7</v>
      </c>
      <c r="F66" s="64" t="s">
        <v>132</v>
      </c>
      <c r="G66" s="64" t="str">
        <f t="shared" si="10"/>
        <v>Euribor1YMX#0006</v>
      </c>
      <c r="H66" s="62" t="str">
        <f>IF(ISBLANK(Quote!AS63),"",Quote!AS63)</f>
        <v/>
      </c>
      <c r="I66" s="125"/>
      <c r="J66" s="128">
        <v>0</v>
      </c>
      <c r="K66" s="125"/>
      <c r="M66" s="10" t="str">
        <f t="shared" si="8"/>
        <v>SW</v>
      </c>
      <c r="N66" s="95" t="str">
        <f t="shared" si="9"/>
        <v>--</v>
      </c>
      <c r="O66" s="146" t="str">
        <f>IFERROR(_xll.qlRateHelperQuoteName(N66,Trigger),"--")</f>
        <v>--</v>
      </c>
      <c r="P66" s="99" t="str">
        <f>IFERROR(_xll.qlRateHelperQuoteValue($N66,Trigger),"--")</f>
        <v>--</v>
      </c>
      <c r="Q66" s="98" t="b">
        <v>0</v>
      </c>
      <c r="R66" s="95">
        <v>40</v>
      </c>
      <c r="S66" s="95">
        <v>1</v>
      </c>
      <c r="T66" s="100" t="str">
        <f>IFERROR(_xll.qlRateHelperEarliestDate(N66,Trigger),"--")</f>
        <v>--</v>
      </c>
      <c r="U66" s="100" t="str">
        <f>IFERROR(_xll.qlRateHelperPillarDate(N66,Trigger),"--")</f>
        <v>--</v>
      </c>
      <c r="W66" s="162" t="str">
        <f t="shared" si="3"/>
        <v>SW</v>
      </c>
      <c r="X66" s="162" t="str">
        <v>obj_00337</v>
      </c>
      <c r="Y66" s="162" t="str">
        <f>IFERROR(_xll.qlRateHelperQuoteName(X66,Trigger),"")</f>
        <v>EUR1YSW38Y_Shifted</v>
      </c>
      <c r="Z66" s="184">
        <f>IFERROR(_xll.qlRateHelperRate(X66,Trigger),"")</f>
        <v>1.326784957E-2</v>
      </c>
      <c r="AA66" s="185">
        <f>IF(ISERROR(_xll.qlSwapRateHelperSpread($X66)),IF(ISERROR(_xll.qlFuturesRateHelperConvexityAdjustment($X66)),"",_xll.qlFuturesRateHelperConvexityAdjustment($X66)),_xll.qlSwapRateHelperSpread($X66))</f>
        <v>0</v>
      </c>
      <c r="AB66" s="163">
        <f>IFERROR(_xll.qlRateHelperEarliestDate(X66,Trigger),"")</f>
        <v>42748</v>
      </c>
      <c r="AC66" s="163">
        <f>IFERROR(_xll.qlRateHelperPillarDate(X66,Trigger),"")</f>
        <v>56627</v>
      </c>
      <c r="AD66" s="184">
        <v>1.3423319076757968E-2</v>
      </c>
    </row>
    <row r="67" spans="1:30" ht="11.25" customHeight="1" x14ac:dyDescent="0.2">
      <c r="A67" s="62" t="str">
        <f>Quote!AP64</f>
        <v>SW</v>
      </c>
      <c r="B67" s="63" t="str">
        <f>Quote!AQ64</f>
        <v>15M</v>
      </c>
      <c r="C67" s="64" t="s">
        <v>6</v>
      </c>
      <c r="D67" s="64" t="s">
        <v>8</v>
      </c>
      <c r="E67" s="64" t="s">
        <v>7</v>
      </c>
      <c r="F67" s="64" t="s">
        <v>132</v>
      </c>
      <c r="G67" s="64" t="str">
        <f t="shared" si="10"/>
        <v>Euribor1YMX#0006</v>
      </c>
      <c r="H67" s="62" t="str">
        <f>IF(ISBLANK(Quote!AS64),"",Quote!AS64)</f>
        <v/>
      </c>
      <c r="I67" s="125"/>
      <c r="J67" s="128">
        <v>0</v>
      </c>
      <c r="K67" s="125"/>
      <c r="M67" s="10" t="str">
        <f t="shared" si="8"/>
        <v>SW</v>
      </c>
      <c r="N67" s="95" t="str">
        <f t="shared" si="9"/>
        <v>--</v>
      </c>
      <c r="O67" s="146" t="str">
        <f>IFERROR(_xll.qlRateHelperQuoteName(N67,Trigger),"--")</f>
        <v>--</v>
      </c>
      <c r="P67" s="99" t="str">
        <f>IFERROR(_xll.qlRateHelperQuoteValue($N67,Trigger),"--")</f>
        <v>--</v>
      </c>
      <c r="Q67" s="98" t="b">
        <v>0</v>
      </c>
      <c r="R67" s="95">
        <v>40</v>
      </c>
      <c r="S67" s="95">
        <v>1</v>
      </c>
      <c r="T67" s="100" t="str">
        <f>IFERROR(_xll.qlRateHelperEarliestDate(N67,Trigger),"--")</f>
        <v>--</v>
      </c>
      <c r="U67" s="100" t="str">
        <f>IFERROR(_xll.qlRateHelperPillarDate(N67,Trigger),"--")</f>
        <v>--</v>
      </c>
      <c r="W67" s="162" t="str">
        <f t="shared" si="3"/>
        <v>SW</v>
      </c>
      <c r="X67" s="162" t="str">
        <v>obj_00343</v>
      </c>
      <c r="Y67" s="162" t="str">
        <f>IFERROR(_xll.qlRateHelperQuoteName(X67,Trigger),"")</f>
        <v>EUR1YSW39Y_Shifted</v>
      </c>
      <c r="Z67" s="184">
        <f>IFERROR(_xll.qlRateHelperRate(X67,Trigger),"")</f>
        <v>1.3247308880000001E-2</v>
      </c>
      <c r="AA67" s="185">
        <f>IF(ISERROR(_xll.qlSwapRateHelperSpread($X67)),IF(ISERROR(_xll.qlFuturesRateHelperConvexityAdjustment($X67)),"",_xll.qlFuturesRateHelperConvexityAdjustment($X67)),_xll.qlSwapRateHelperSpread($X67))</f>
        <v>0</v>
      </c>
      <c r="AB67" s="163">
        <f>IFERROR(_xll.qlRateHelperEarliestDate(X67,Trigger),"")</f>
        <v>42748</v>
      </c>
      <c r="AC67" s="163">
        <f>IFERROR(_xll.qlRateHelperPillarDate(X67,Trigger),"")</f>
        <v>56992</v>
      </c>
      <c r="AD67" s="184">
        <v>1.3390434765897383E-2</v>
      </c>
    </row>
    <row r="68" spans="1:30" ht="11.25" customHeight="1" x14ac:dyDescent="0.2">
      <c r="A68" s="62" t="str">
        <f>Quote!AP65</f>
        <v>SW</v>
      </c>
      <c r="B68" s="63" t="str">
        <f>Quote!AQ65</f>
        <v>16M</v>
      </c>
      <c r="C68" s="64" t="s">
        <v>6</v>
      </c>
      <c r="D68" s="64" t="s">
        <v>8</v>
      </c>
      <c r="E68" s="64" t="s">
        <v>7</v>
      </c>
      <c r="F68" s="64" t="s">
        <v>132</v>
      </c>
      <c r="G68" s="64" t="str">
        <f t="shared" si="10"/>
        <v>Euribor1YMX#0006</v>
      </c>
      <c r="H68" s="62" t="str">
        <f>IF(ISBLANK(Quote!AS65),"",Quote!AS65)</f>
        <v/>
      </c>
      <c r="I68" s="125"/>
      <c r="J68" s="128">
        <v>0</v>
      </c>
      <c r="K68" s="125"/>
      <c r="M68" s="10" t="str">
        <f t="shared" ref="M68:M96" si="11">A72</f>
        <v>SW</v>
      </c>
      <c r="N68" s="95" t="str">
        <f t="shared" ref="N68:N96" si="12">IF(ISBLANK(K72),"--",K72)</f>
        <v>--</v>
      </c>
      <c r="O68" s="146" t="str">
        <f>IFERROR(_xll.qlRateHelperQuoteName(N68,Trigger),"--")</f>
        <v>--</v>
      </c>
      <c r="P68" s="99" t="str">
        <f>IFERROR(_xll.qlRateHelperQuoteValue($N68,Trigger),"--")</f>
        <v>--</v>
      </c>
      <c r="Q68" s="98" t="b">
        <v>0</v>
      </c>
      <c r="R68" s="95">
        <v>40</v>
      </c>
      <c r="S68" s="95">
        <v>1</v>
      </c>
      <c r="T68" s="100" t="str">
        <f>IFERROR(_xll.qlRateHelperEarliestDate(N68,Trigger),"--")</f>
        <v>--</v>
      </c>
      <c r="U68" s="100" t="str">
        <f>IFERROR(_xll.qlRateHelperPillarDate(N68,Trigger),"--")</f>
        <v>--</v>
      </c>
      <c r="W68" s="162" t="str">
        <f t="shared" si="3"/>
        <v>SW</v>
      </c>
      <c r="X68" s="162" t="str">
        <v>obj_00399</v>
      </c>
      <c r="Y68" s="162" t="str">
        <f>IFERROR(_xll.qlRateHelperQuoteName(X68,Trigger),"")</f>
        <v>EUR1YSW40Y_Shifted</v>
      </c>
      <c r="Z68" s="184">
        <f>IFERROR(_xll.qlRateHelperRate(X68,Trigger),"")</f>
        <v>1.3220000000000001E-2</v>
      </c>
      <c r="AA68" s="185">
        <f>IF(ISERROR(_xll.qlSwapRateHelperSpread($X68)),IF(ISERROR(_xll.qlFuturesRateHelperConvexityAdjustment($X68)),"",_xll.qlFuturesRateHelperConvexityAdjustment($X68)),_xll.qlSwapRateHelperSpread($X68))</f>
        <v>0</v>
      </c>
      <c r="AB68" s="163">
        <f>IFERROR(_xll.qlRateHelperEarliestDate(X68,Trigger),"")</f>
        <v>42748</v>
      </c>
      <c r="AC68" s="163">
        <f>IFERROR(_xll.qlRateHelperPillarDate(X68,Trigger),"")</f>
        <v>57360</v>
      </c>
      <c r="AD68" s="184">
        <v>1.3348084184662403E-2</v>
      </c>
    </row>
    <row r="69" spans="1:30" ht="11.25" customHeight="1" x14ac:dyDescent="0.2">
      <c r="A69" s="62" t="str">
        <f>Quote!AP66</f>
        <v>SW</v>
      </c>
      <c r="B69" s="63" t="str">
        <f>Quote!AQ66</f>
        <v>17M</v>
      </c>
      <c r="C69" s="64" t="s">
        <v>6</v>
      </c>
      <c r="D69" s="64" t="s">
        <v>8</v>
      </c>
      <c r="E69" s="64" t="s">
        <v>7</v>
      </c>
      <c r="F69" s="64" t="s">
        <v>132</v>
      </c>
      <c r="G69" s="64" t="str">
        <f t="shared" si="10"/>
        <v>Euribor1YMX#0006</v>
      </c>
      <c r="H69" s="62" t="str">
        <f>IF(ISBLANK(Quote!AS66),"",Quote!AS66)</f>
        <v/>
      </c>
      <c r="I69" s="125"/>
      <c r="J69" s="128">
        <v>0</v>
      </c>
      <c r="K69" s="125"/>
      <c r="M69" s="10" t="str">
        <f t="shared" si="11"/>
        <v>SW</v>
      </c>
      <c r="N69" s="95" t="str">
        <f t="shared" si="12"/>
        <v>--</v>
      </c>
      <c r="O69" s="146" t="str">
        <f>IFERROR(_xll.qlRateHelperQuoteName(N69,Trigger),"--")</f>
        <v>--</v>
      </c>
      <c r="P69" s="99" t="str">
        <f>IFERROR(_xll.qlRateHelperQuoteValue($N69,Trigger),"--")</f>
        <v>--</v>
      </c>
      <c r="Q69" s="98" t="b">
        <v>0</v>
      </c>
      <c r="R69" s="95">
        <v>40</v>
      </c>
      <c r="S69" s="95">
        <v>1</v>
      </c>
      <c r="T69" s="100" t="str">
        <f>IFERROR(_xll.qlRateHelperEarliestDate(N69,Trigger),"--")</f>
        <v>--</v>
      </c>
      <c r="U69" s="100" t="str">
        <f>IFERROR(_xll.qlRateHelperPillarDate(N69,Trigger),"--")</f>
        <v>--</v>
      </c>
      <c r="W69" s="162" t="str">
        <f t="shared" si="3"/>
        <v>SW</v>
      </c>
      <c r="X69" s="162" t="str">
        <v>obj_003ba</v>
      </c>
      <c r="Y69" s="162" t="str">
        <f>IFERROR(_xll.qlRateHelperQuoteName(X69,Trigger),"")</f>
        <v>EUR1YSW50Y_Shifted</v>
      </c>
      <c r="Z69" s="184">
        <f>IFERROR(_xll.qlRateHelperRate(X69,Trigger),"")</f>
        <v>1.2690000000000002E-2</v>
      </c>
      <c r="AA69" s="185">
        <f>IF(ISERROR(_xll.qlSwapRateHelperSpread($X69)),IF(ISERROR(_xll.qlFuturesRateHelperConvexityAdjustment($X69)),"",_xll.qlFuturesRateHelperConvexityAdjustment($X69)),_xll.qlSwapRateHelperSpread($X69))</f>
        <v>0</v>
      </c>
      <c r="AB69" s="163">
        <f>IFERROR(_xll.qlRateHelperEarliestDate(X69,Trigger),"")</f>
        <v>42748</v>
      </c>
      <c r="AC69" s="163">
        <f>IFERROR(_xll.qlRateHelperPillarDate(X69,Trigger),"")</f>
        <v>61010</v>
      </c>
      <c r="AD69" s="184">
        <v>1.2610794564225652E-2</v>
      </c>
    </row>
    <row r="70" spans="1:30" ht="11.25" customHeight="1" x14ac:dyDescent="0.2">
      <c r="A70" s="62" t="str">
        <f>Quote!AP67</f>
        <v>SW</v>
      </c>
      <c r="B70" s="63" t="str">
        <f>Quote!AQ67</f>
        <v>18M</v>
      </c>
      <c r="C70" s="64" t="s">
        <v>6</v>
      </c>
      <c r="D70" s="64" t="s">
        <v>8</v>
      </c>
      <c r="E70" s="64" t="s">
        <v>7</v>
      </c>
      <c r="F70" s="64" t="s">
        <v>132</v>
      </c>
      <c r="G70" s="64" t="str">
        <f t="shared" si="10"/>
        <v>Euribor1YMX#0006</v>
      </c>
      <c r="H70" s="62" t="str">
        <f>IF(ISBLANK(Quote!AS67),"",Quote!AS67)</f>
        <v/>
      </c>
      <c r="I70" s="125"/>
      <c r="J70" s="128">
        <v>0</v>
      </c>
      <c r="K70" s="125"/>
      <c r="M70" s="10" t="str">
        <f t="shared" si="11"/>
        <v>SW</v>
      </c>
      <c r="N70" s="95" t="str">
        <f t="shared" si="12"/>
        <v>--</v>
      </c>
      <c r="O70" s="146" t="str">
        <f>IFERROR(_xll.qlRateHelperQuoteName(N70,Trigger),"--")</f>
        <v>--</v>
      </c>
      <c r="P70" s="99" t="str">
        <f>IFERROR(_xll.qlRateHelperQuoteValue($N70,Trigger),"--")</f>
        <v>--</v>
      </c>
      <c r="Q70" s="98" t="b">
        <v>0</v>
      </c>
      <c r="R70" s="95">
        <v>40</v>
      </c>
      <c r="S70" s="95">
        <v>1</v>
      </c>
      <c r="T70" s="100" t="str">
        <f>IFERROR(_xll.qlRateHelperEarliestDate(N70,Trigger),"--")</f>
        <v>--</v>
      </c>
      <c r="U70" s="100" t="str">
        <f>IFERROR(_xll.qlRateHelperPillarDate(N70,Trigger),"--")</f>
        <v>--</v>
      </c>
      <c r="W70" s="162" t="str">
        <f t="shared" si="3"/>
        <v>SW</v>
      </c>
      <c r="X70" s="162" t="str">
        <v>obj_0036c</v>
      </c>
      <c r="Y70" s="162" t="str">
        <f>IFERROR(_xll.qlRateHelperQuoteName(X70,Trigger),"")</f>
        <v>EUR1YSW60Y_Shifted</v>
      </c>
      <c r="Z70" s="184">
        <f>IFERROR(_xll.qlRateHelperRate(X70,Trigger),"")</f>
        <v>1.2310000000000001E-2</v>
      </c>
      <c r="AA70" s="185">
        <f>IF(ISERROR(_xll.qlSwapRateHelperSpread($X70)),IF(ISERROR(_xll.qlFuturesRateHelperConvexityAdjustment($X70)),"",_xll.qlFuturesRateHelperConvexityAdjustment($X70)),_xll.qlSwapRateHelperSpread($X70))</f>
        <v>0</v>
      </c>
      <c r="AB70" s="163">
        <f>IFERROR(_xll.qlRateHelperEarliestDate(X70,Trigger),"")</f>
        <v>42748</v>
      </c>
      <c r="AC70" s="163">
        <f>IFERROR(_xll.qlRateHelperPillarDate(X70,Trigger),"")</f>
        <v>64663</v>
      </c>
      <c r="AD70" s="184">
        <v>1.2094708723588523E-2</v>
      </c>
    </row>
    <row r="71" spans="1:30" ht="11.25" customHeight="1" x14ac:dyDescent="0.2">
      <c r="A71" s="62" t="str">
        <f>Quote!AP68</f>
        <v>SW</v>
      </c>
      <c r="B71" s="63" t="str">
        <f>Quote!AQ68</f>
        <v>19M</v>
      </c>
      <c r="C71" s="64" t="s">
        <v>6</v>
      </c>
      <c r="D71" s="64" t="s">
        <v>8</v>
      </c>
      <c r="E71" s="64" t="s">
        <v>7</v>
      </c>
      <c r="F71" s="64" t="s">
        <v>132</v>
      </c>
      <c r="G71" s="64" t="str">
        <f t="shared" si="10"/>
        <v>Euribor1YMX#0006</v>
      </c>
      <c r="H71" s="62" t="str">
        <f>IF(ISBLANK(Quote!AS68),"",Quote!AS68)</f>
        <v/>
      </c>
      <c r="I71" s="125"/>
      <c r="J71" s="128">
        <v>0</v>
      </c>
      <c r="K71" s="125"/>
      <c r="M71" s="10" t="str">
        <f t="shared" si="11"/>
        <v>SW</v>
      </c>
      <c r="N71" s="95" t="str">
        <f t="shared" si="12"/>
        <v>--</v>
      </c>
      <c r="O71" s="146" t="str">
        <f>IFERROR(_xll.qlRateHelperQuoteName(N71,Trigger),"--")</f>
        <v>--</v>
      </c>
      <c r="P71" s="99" t="str">
        <f>IFERROR(_xll.qlRateHelperQuoteValue($N71,Trigger),"--")</f>
        <v>--</v>
      </c>
      <c r="Q71" s="98" t="b">
        <v>0</v>
      </c>
      <c r="R71" s="95">
        <v>40</v>
      </c>
      <c r="S71" s="95">
        <v>1</v>
      </c>
      <c r="T71" s="100" t="str">
        <f>IFERROR(_xll.qlRateHelperEarliestDate(N71,Trigger),"--")</f>
        <v>--</v>
      </c>
      <c r="U71" s="100" t="str">
        <f>IFERROR(_xll.qlRateHelperPillarDate(N71,Trigger),"--")</f>
        <v>--</v>
      </c>
      <c r="W71" s="162" t="str">
        <f t="shared" si="3"/>
        <v/>
      </c>
      <c r="X71" s="162" t="e">
        <v>#N/A</v>
      </c>
      <c r="Y71" s="162" t="str">
        <f>IFERROR(_xll.qlRateHelperQuoteName(X71,Trigger),"")</f>
        <v/>
      </c>
      <c r="Z71" s="184" t="str">
        <f>IFERROR(_xll.qlRateHelperRate(X71,Trigger),"")</f>
        <v/>
      </c>
      <c r="AA71" s="185" t="str">
        <f>IF(ISERROR(_xll.qlSwapRateHelperSpread($X71)),IF(ISERROR(_xll.qlFuturesRateHelperConvexityAdjustment($X71)),"",_xll.qlFuturesRateHelperConvexityAdjustment($X71)),_xll.qlSwapRateHelperSpread($X71))</f>
        <v/>
      </c>
      <c r="AB71" s="163" t="str">
        <f>IFERROR(_xll.qlRateHelperEarliestDate(X71,Trigger),"")</f>
        <v/>
      </c>
      <c r="AC71" s="163" t="str">
        <f>IFERROR(_xll.qlRateHelperPillarDate(X71,Trigger),"")</f>
        <v/>
      </c>
      <c r="AD71" s="184" t="e">
        <v>#N/A</v>
      </c>
    </row>
    <row r="72" spans="1:30" ht="11.25" customHeight="1" x14ac:dyDescent="0.2">
      <c r="A72" s="62" t="str">
        <f>Quote!AP69</f>
        <v>SW</v>
      </c>
      <c r="B72" s="63" t="str">
        <f>Quote!AQ69</f>
        <v>20M</v>
      </c>
      <c r="C72" s="64" t="s">
        <v>6</v>
      </c>
      <c r="D72" s="64" t="s">
        <v>8</v>
      </c>
      <c r="E72" s="64" t="s">
        <v>7</v>
      </c>
      <c r="F72" s="64" t="s">
        <v>132</v>
      </c>
      <c r="G72" s="64" t="str">
        <f t="shared" si="10"/>
        <v>Euribor1YMX#0006</v>
      </c>
      <c r="H72" s="62" t="str">
        <f>IF(ISBLANK(Quote!AS69),"",Quote!AS69)</f>
        <v/>
      </c>
      <c r="I72" s="125"/>
      <c r="J72" s="128">
        <v>0</v>
      </c>
      <c r="K72" s="125"/>
      <c r="M72" s="10" t="str">
        <f t="shared" si="11"/>
        <v>SW</v>
      </c>
      <c r="N72" s="95" t="str">
        <f t="shared" si="12"/>
        <v>--</v>
      </c>
      <c r="O72" s="146" t="str">
        <f>IFERROR(_xll.qlRateHelperQuoteName(N72,Trigger),"--")</f>
        <v>--</v>
      </c>
      <c r="P72" s="99" t="str">
        <f>IFERROR(_xll.qlRateHelperQuoteValue($N72,Trigger),"--")</f>
        <v>--</v>
      </c>
      <c r="Q72" s="98" t="b">
        <v>0</v>
      </c>
      <c r="R72" s="95">
        <v>40</v>
      </c>
      <c r="S72" s="95">
        <v>1</v>
      </c>
      <c r="T72" s="100" t="str">
        <f>IFERROR(_xll.qlRateHelperEarliestDate(N72,Trigger),"--")</f>
        <v>--</v>
      </c>
      <c r="U72" s="100" t="str">
        <f>IFERROR(_xll.qlRateHelperPillarDate(N72,Trigger),"--")</f>
        <v>--</v>
      </c>
      <c r="W72" s="162" t="str">
        <f t="shared" ref="W72:W74" si="13">IFERROR(INDEX($M$3:$M$115,MATCH(Y72,$O$3:$O$115,0),1),"")</f>
        <v/>
      </c>
      <c r="X72" s="162" t="e">
        <v>#N/A</v>
      </c>
      <c r="Y72" s="162" t="str">
        <f>IFERROR(_xll.qlRateHelperQuoteName(X72,Trigger),"")</f>
        <v/>
      </c>
      <c r="Z72" s="184" t="str">
        <f>IFERROR(_xll.qlRateHelperRate(X72,Trigger),"")</f>
        <v/>
      </c>
      <c r="AA72" s="185" t="str">
        <f>IF(ISERROR(_xll.qlSwapRateHelperSpread($X72)),IF(ISERROR(_xll.qlFuturesRateHelperConvexityAdjustment($X72)),"",_xll.qlFuturesRateHelperConvexityAdjustment($X72)),_xll.qlSwapRateHelperSpread($X72))</f>
        <v/>
      </c>
      <c r="AB72" s="163" t="str">
        <f>IFERROR(_xll.qlRateHelperEarliestDate(X72,Trigger),"")</f>
        <v/>
      </c>
      <c r="AC72" s="163" t="str">
        <f>IFERROR(_xll.qlRateHelperPillarDate(X72,Trigger),"")</f>
        <v/>
      </c>
      <c r="AD72" s="184" t="e">
        <v>#N/A</v>
      </c>
    </row>
    <row r="73" spans="1:30" ht="11.25" customHeight="1" x14ac:dyDescent="0.2">
      <c r="A73" s="62" t="str">
        <f>Quote!AP70</f>
        <v>SW</v>
      </c>
      <c r="B73" s="63" t="str">
        <f>Quote!AQ70</f>
        <v>21M</v>
      </c>
      <c r="C73" s="64" t="s">
        <v>6</v>
      </c>
      <c r="D73" s="64" t="s">
        <v>8</v>
      </c>
      <c r="E73" s="64" t="s">
        <v>7</v>
      </c>
      <c r="F73" s="64" t="s">
        <v>132</v>
      </c>
      <c r="G73" s="64" t="str">
        <f t="shared" si="10"/>
        <v>Euribor1YMX#0006</v>
      </c>
      <c r="H73" s="62" t="str">
        <f>IF(ISBLANK(Quote!AS70),"",Quote!AS70)</f>
        <v/>
      </c>
      <c r="I73" s="125"/>
      <c r="J73" s="128">
        <v>0</v>
      </c>
      <c r="K73" s="125"/>
      <c r="M73" s="10" t="str">
        <f t="shared" si="11"/>
        <v>SW</v>
      </c>
      <c r="N73" s="95" t="str">
        <f t="shared" si="12"/>
        <v>--</v>
      </c>
      <c r="O73" s="146" t="str">
        <f>IFERROR(_xll.qlRateHelperQuoteName(N73,Trigger),"--")</f>
        <v>--</v>
      </c>
      <c r="P73" s="99" t="str">
        <f>IFERROR(_xll.qlRateHelperQuoteValue($N73,Trigger),"--")</f>
        <v>--</v>
      </c>
      <c r="Q73" s="98" t="b">
        <v>0</v>
      </c>
      <c r="R73" s="95">
        <v>40</v>
      </c>
      <c r="S73" s="95">
        <v>1</v>
      </c>
      <c r="T73" s="100" t="str">
        <f>IFERROR(_xll.qlRateHelperEarliestDate(N73,Trigger),"--")</f>
        <v>--</v>
      </c>
      <c r="U73" s="100" t="str">
        <f>IFERROR(_xll.qlRateHelperPillarDate(N73,Trigger),"--")</f>
        <v>--</v>
      </c>
      <c r="W73" s="162" t="str">
        <f t="shared" si="13"/>
        <v/>
      </c>
      <c r="X73" s="162" t="e">
        <v>#N/A</v>
      </c>
      <c r="Y73" s="162" t="str">
        <f>IFERROR(_xll.qlRateHelperQuoteName(X73,Trigger),"")</f>
        <v/>
      </c>
      <c r="Z73" s="184" t="str">
        <f>IFERROR(_xll.qlRateHelperRate(X73,Trigger),"")</f>
        <v/>
      </c>
      <c r="AA73" s="185" t="str">
        <f>IF(ISERROR(_xll.qlSwapRateHelperSpread($X73)),IF(ISERROR(_xll.qlFuturesRateHelperConvexityAdjustment($X73)),"",_xll.qlFuturesRateHelperConvexityAdjustment($X73)),_xll.qlSwapRateHelperSpread($X73))</f>
        <v/>
      </c>
      <c r="AB73" s="163" t="str">
        <f>IFERROR(_xll.qlRateHelperEarliestDate(X73,Trigger),"")</f>
        <v/>
      </c>
      <c r="AC73" s="163" t="str">
        <f>IFERROR(_xll.qlRateHelperPillarDate(X73,Trigger),"")</f>
        <v/>
      </c>
      <c r="AD73" s="184" t="e">
        <v>#N/A</v>
      </c>
    </row>
    <row r="74" spans="1:30" ht="11.25" customHeight="1" x14ac:dyDescent="0.2">
      <c r="A74" s="62" t="str">
        <f>Quote!AP71</f>
        <v>SW</v>
      </c>
      <c r="B74" s="63" t="str">
        <f>Quote!AQ71</f>
        <v>22M</v>
      </c>
      <c r="C74" s="64" t="s">
        <v>6</v>
      </c>
      <c r="D74" s="64" t="s">
        <v>8</v>
      </c>
      <c r="E74" s="64" t="s">
        <v>7</v>
      </c>
      <c r="F74" s="64" t="s">
        <v>132</v>
      </c>
      <c r="G74" s="64" t="str">
        <f t="shared" si="10"/>
        <v>Euribor1YMX#0006</v>
      </c>
      <c r="H74" s="62" t="str">
        <f>IF(ISBLANK(Quote!AS71),"",Quote!AS71)</f>
        <v/>
      </c>
      <c r="I74" s="125"/>
      <c r="J74" s="128">
        <v>0</v>
      </c>
      <c r="K74" s="125"/>
      <c r="M74" s="10" t="str">
        <f t="shared" si="11"/>
        <v>SW</v>
      </c>
      <c r="N74" s="95" t="str">
        <f t="shared" si="12"/>
        <v>--</v>
      </c>
      <c r="O74" s="146" t="str">
        <f>IFERROR(_xll.qlRateHelperQuoteName(N74,Trigger),"--")</f>
        <v>--</v>
      </c>
      <c r="P74" s="99" t="str">
        <f>IFERROR(_xll.qlRateHelperQuoteValue($N74,Trigger),"--")</f>
        <v>--</v>
      </c>
      <c r="Q74" s="98" t="b">
        <v>0</v>
      </c>
      <c r="R74" s="95">
        <v>40</v>
      </c>
      <c r="S74" s="95">
        <v>1</v>
      </c>
      <c r="T74" s="100" t="str">
        <f>IFERROR(_xll.qlRateHelperEarliestDate(N74,Trigger),"--")</f>
        <v>--</v>
      </c>
      <c r="U74" s="100" t="str">
        <f>IFERROR(_xll.qlRateHelperPillarDate(N74,Trigger),"--")</f>
        <v>--</v>
      </c>
      <c r="W74" s="162" t="str">
        <f t="shared" si="13"/>
        <v/>
      </c>
      <c r="X74" s="162" t="e">
        <v>#N/A</v>
      </c>
      <c r="Y74" s="162" t="str">
        <f>IFERROR(_xll.qlRateHelperQuoteName(X74,Trigger),"")</f>
        <v/>
      </c>
      <c r="Z74" s="184" t="str">
        <f>IFERROR(_xll.qlRateHelperRate(X74,Trigger),"")</f>
        <v/>
      </c>
      <c r="AA74" s="185" t="str">
        <f>IF(ISERROR(_xll.qlSwapRateHelperSpread($X74)),IF(ISERROR(_xll.qlFuturesRateHelperConvexityAdjustment($X74)),"",_xll.qlFuturesRateHelperConvexityAdjustment($X74)),_xll.qlSwapRateHelperSpread($X74))</f>
        <v/>
      </c>
      <c r="AB74" s="163" t="str">
        <f>IFERROR(_xll.qlRateHelperEarliestDate(X74,Trigger),"")</f>
        <v/>
      </c>
      <c r="AC74" s="163" t="str">
        <f>IFERROR(_xll.qlRateHelperPillarDate(X74,Trigger),"")</f>
        <v/>
      </c>
      <c r="AD74" s="184" t="e">
        <v>#N/A</v>
      </c>
    </row>
    <row r="75" spans="1:30" ht="11.25" customHeight="1" x14ac:dyDescent="0.2">
      <c r="A75" s="62" t="str">
        <f>Quote!AP72</f>
        <v>SW</v>
      </c>
      <c r="B75" s="63" t="str">
        <f>Quote!AQ72</f>
        <v>23M</v>
      </c>
      <c r="C75" s="64" t="s">
        <v>6</v>
      </c>
      <c r="D75" s="64" t="s">
        <v>8</v>
      </c>
      <c r="E75" s="64" t="s">
        <v>7</v>
      </c>
      <c r="F75" s="64" t="s">
        <v>132</v>
      </c>
      <c r="G75" s="64" t="str">
        <f t="shared" si="10"/>
        <v>Euribor1YMX#0006</v>
      </c>
      <c r="H75" s="62" t="str">
        <f>IF(ISBLANK(Quote!AS72),"",Quote!AS72)</f>
        <v/>
      </c>
      <c r="I75" s="125"/>
      <c r="J75" s="128">
        <v>0</v>
      </c>
      <c r="K75" s="125"/>
      <c r="M75" s="10" t="str">
        <f t="shared" si="11"/>
        <v>SW</v>
      </c>
      <c r="N75" s="95" t="str">
        <f t="shared" si="12"/>
        <v>--</v>
      </c>
      <c r="O75" s="146" t="str">
        <f>IFERROR(_xll.qlRateHelperQuoteName(N75,Trigger),"--")</f>
        <v>--</v>
      </c>
      <c r="P75" s="99" t="str">
        <f>IFERROR(_xll.qlRateHelperQuoteValue($N75,Trigger),"--")</f>
        <v>--</v>
      </c>
      <c r="Q75" s="98" t="b">
        <v>0</v>
      </c>
      <c r="R75" s="95">
        <v>40</v>
      </c>
      <c r="S75" s="95">
        <v>1</v>
      </c>
      <c r="T75" s="100" t="str">
        <f>IFERROR(_xll.qlRateHelperEarliestDate(N75,Trigger),"--")</f>
        <v>--</v>
      </c>
      <c r="U75" s="100" t="str">
        <f>IFERROR(_xll.qlRateHelperPillarDate(N75,Trigger),"--")</f>
        <v>--</v>
      </c>
      <c r="W75" s="162" t="str">
        <f t="shared" ref="W75:W103" si="14">IFERROR(INDEX($M$3:$M$115,MATCH(Y75,$O$3:$O$115,0),1),"")</f>
        <v/>
      </c>
      <c r="X75" s="162" t="e">
        <v>#N/A</v>
      </c>
      <c r="Y75" s="162" t="str">
        <f>IFERROR(_xll.qlRateHelperQuoteName(X75,Trigger),"")</f>
        <v/>
      </c>
      <c r="Z75" s="184" t="str">
        <f>IFERROR(_xll.qlRateHelperRate(X75,Trigger),"")</f>
        <v/>
      </c>
      <c r="AA75" s="185" t="str">
        <f>IF(ISERROR(_xll.qlSwapRateHelperSpread($X75)),IF(ISERROR(_xll.qlFuturesRateHelperConvexityAdjustment($X75)),"",_xll.qlFuturesRateHelperConvexityAdjustment($X75)),_xll.qlSwapRateHelperSpread($X75))</f>
        <v/>
      </c>
      <c r="AB75" s="163" t="str">
        <f>IFERROR(_xll.qlRateHelperEarliestDate(X75,Trigger),"")</f>
        <v/>
      </c>
      <c r="AC75" s="163" t="str">
        <f>IFERROR(_xll.qlRateHelperPillarDate(X75,Trigger),"")</f>
        <v/>
      </c>
      <c r="AD75" s="184" t="e">
        <v>#N/A</v>
      </c>
    </row>
    <row r="76" spans="1:30" ht="11.25" customHeight="1" x14ac:dyDescent="0.2">
      <c r="A76" s="62" t="str">
        <f>Quote!AP73</f>
        <v>SW</v>
      </c>
      <c r="B76" s="63" t="str">
        <f>Quote!AQ73</f>
        <v>2Y</v>
      </c>
      <c r="C76" s="64" t="s">
        <v>6</v>
      </c>
      <c r="D76" s="64" t="s">
        <v>8</v>
      </c>
      <c r="E76" s="64" t="s">
        <v>7</v>
      </c>
      <c r="F76" s="64" t="s">
        <v>132</v>
      </c>
      <c r="G76" s="64" t="str">
        <f t="shared" si="10"/>
        <v>Euribor1YMX#0006</v>
      </c>
      <c r="H76" s="62" t="str">
        <f>IF(ISBLANK(Quote!AS73),"",Quote!AS73)</f>
        <v/>
      </c>
      <c r="I76" s="125"/>
      <c r="J76" s="128">
        <v>0</v>
      </c>
      <c r="K76" s="125"/>
      <c r="M76" s="10" t="str">
        <f t="shared" si="11"/>
        <v>SW</v>
      </c>
      <c r="N76" s="95" t="str">
        <f t="shared" si="12"/>
        <v>obj_003d2#0006</v>
      </c>
      <c r="O76" s="146" t="str">
        <f>IFERROR(_xll.qlRateHelperQuoteName(N76,Trigger),"--")</f>
        <v>EUR1YSW3Y_Shifted</v>
      </c>
      <c r="P76" s="99">
        <f>IFERROR(_xll.qlRateHelperQuoteValue($N76,Trigger),"--")</f>
        <v>2.3000000000000001E-4</v>
      </c>
      <c r="Q76" s="98" t="b">
        <v>1</v>
      </c>
      <c r="R76" s="95">
        <v>40</v>
      </c>
      <c r="S76" s="95">
        <v>1</v>
      </c>
      <c r="T76" s="100">
        <f>IFERROR(_xll.qlRateHelperEarliestDate(N76,Trigger),"--")</f>
        <v>42748</v>
      </c>
      <c r="U76" s="100">
        <f>IFERROR(_xll.qlRateHelperPillarDate(N76,Trigger),"--")</f>
        <v>43843</v>
      </c>
      <c r="W76" s="162" t="str">
        <f t="shared" si="14"/>
        <v/>
      </c>
      <c r="X76" s="162" t="e">
        <v>#N/A</v>
      </c>
      <c r="Y76" s="162" t="str">
        <f>IFERROR(_xll.qlRateHelperQuoteName(X76,Trigger),"")</f>
        <v/>
      </c>
      <c r="Z76" s="184" t="str">
        <f>IFERROR(_xll.qlRateHelperRate(X76,Trigger),"")</f>
        <v/>
      </c>
      <c r="AA76" s="185" t="str">
        <f>IF(ISERROR(_xll.qlSwapRateHelperSpread($X76)),IF(ISERROR(_xll.qlFuturesRateHelperConvexityAdjustment($X76)),"",_xll.qlFuturesRateHelperConvexityAdjustment($X76)),_xll.qlSwapRateHelperSpread($X76))</f>
        <v/>
      </c>
      <c r="AB76" s="163" t="str">
        <f>IFERROR(_xll.qlRateHelperEarliestDate(X76,Trigger),"")</f>
        <v/>
      </c>
      <c r="AC76" s="163" t="str">
        <f>IFERROR(_xll.qlRateHelperPillarDate(X76,Trigger),"")</f>
        <v/>
      </c>
      <c r="AD76" s="184" t="e">
        <v>#N/A</v>
      </c>
    </row>
    <row r="77" spans="1:30" ht="11.25" customHeight="1" x14ac:dyDescent="0.2">
      <c r="A77" s="62" t="str">
        <f>Quote!AP74</f>
        <v>SW</v>
      </c>
      <c r="B77" s="63" t="str">
        <f>Quote!AQ74</f>
        <v>2Y3M</v>
      </c>
      <c r="C77" s="64" t="s">
        <v>6</v>
      </c>
      <c r="D77" s="64" t="s">
        <v>8</v>
      </c>
      <c r="E77" s="64" t="s">
        <v>7</v>
      </c>
      <c r="F77" s="64" t="s">
        <v>132</v>
      </c>
      <c r="G77" s="64" t="str">
        <f t="shared" si="10"/>
        <v>Euribor1YMX#0006</v>
      </c>
      <c r="H77" s="62" t="str">
        <f>IF(ISBLANK(Quote!AS74),"",Quote!AS74)</f>
        <v/>
      </c>
      <c r="I77" s="125"/>
      <c r="J77" s="128">
        <v>0</v>
      </c>
      <c r="K77" s="125"/>
      <c r="M77" s="10" t="str">
        <f t="shared" si="11"/>
        <v>SW</v>
      </c>
      <c r="N77" s="95" t="str">
        <f t="shared" si="12"/>
        <v>obj_003d4#0006</v>
      </c>
      <c r="O77" s="146" t="str">
        <f>IFERROR(_xll.qlRateHelperQuoteName(N77,Trigger),"--")</f>
        <v>EUR1YSW4Y_Shifted</v>
      </c>
      <c r="P77" s="99">
        <f>IFERROR(_xll.qlRateHelperQuoteValue($N77,Trigger),"--")</f>
        <v>1.1200000000000001E-3</v>
      </c>
      <c r="Q77" s="98" t="b">
        <v>1</v>
      </c>
      <c r="R77" s="95">
        <v>40</v>
      </c>
      <c r="S77" s="95">
        <v>1</v>
      </c>
      <c r="T77" s="100">
        <f>IFERROR(_xll.qlRateHelperEarliestDate(N77,Trigger),"--")</f>
        <v>42748</v>
      </c>
      <c r="U77" s="100">
        <f>IFERROR(_xll.qlRateHelperPillarDate(N77,Trigger),"--")</f>
        <v>44209</v>
      </c>
      <c r="W77" s="162" t="str">
        <f t="shared" si="14"/>
        <v/>
      </c>
      <c r="X77" s="162" t="e">
        <v>#N/A</v>
      </c>
      <c r="Y77" s="162" t="str">
        <f>IFERROR(_xll.qlRateHelperQuoteName(X77,Trigger),"")</f>
        <v/>
      </c>
      <c r="Z77" s="184" t="str">
        <f>IFERROR(_xll.qlRateHelperRate(X77,Trigger),"")</f>
        <v/>
      </c>
      <c r="AA77" s="185" t="str">
        <f>IF(ISERROR(_xll.qlSwapRateHelperSpread($X77)),IF(ISERROR(_xll.qlFuturesRateHelperConvexityAdjustment($X77)),"",_xll.qlFuturesRateHelperConvexityAdjustment($X77)),_xll.qlSwapRateHelperSpread($X77))</f>
        <v/>
      </c>
      <c r="AB77" s="163" t="str">
        <f>IFERROR(_xll.qlRateHelperEarliestDate(X77,Trigger),"")</f>
        <v/>
      </c>
      <c r="AC77" s="163" t="str">
        <f>IFERROR(_xll.qlRateHelperPillarDate(X77,Trigger),"")</f>
        <v/>
      </c>
      <c r="AD77" s="184" t="e">
        <v>#N/A</v>
      </c>
    </row>
    <row r="78" spans="1:30" ht="11.25" customHeight="1" x14ac:dyDescent="0.2">
      <c r="A78" s="62" t="str">
        <f>Quote!AP75</f>
        <v>SW</v>
      </c>
      <c r="B78" s="63" t="str">
        <f>Quote!AQ75</f>
        <v>2Y6M</v>
      </c>
      <c r="C78" s="64" t="s">
        <v>6</v>
      </c>
      <c r="D78" s="64" t="s">
        <v>8</v>
      </c>
      <c r="E78" s="64" t="s">
        <v>7</v>
      </c>
      <c r="F78" s="64" t="s">
        <v>132</v>
      </c>
      <c r="G78" s="64" t="str">
        <f t="shared" si="10"/>
        <v>Euribor1YMX#0006</v>
      </c>
      <c r="H78" s="62" t="str">
        <f>IF(ISBLANK(Quote!AS75),"",Quote!AS75)</f>
        <v/>
      </c>
      <c r="I78" s="125"/>
      <c r="J78" s="128">
        <v>0</v>
      </c>
      <c r="K78" s="125"/>
      <c r="M78" s="10" t="str">
        <f t="shared" si="11"/>
        <v>SW</v>
      </c>
      <c r="N78" s="95" t="str">
        <f t="shared" si="12"/>
        <v>obj_003af#0006</v>
      </c>
      <c r="O78" s="146" t="str">
        <f>IFERROR(_xll.qlRateHelperQuoteName(N78,Trigger),"--")</f>
        <v>EUR1YSW5Y_Shifted</v>
      </c>
      <c r="P78" s="99">
        <f>IFERROR(_xll.qlRateHelperQuoteValue($N78,Trigger),"--")</f>
        <v>2.1700000000000001E-3</v>
      </c>
      <c r="Q78" s="98" t="b">
        <v>1</v>
      </c>
      <c r="R78" s="95">
        <v>40</v>
      </c>
      <c r="S78" s="95">
        <v>1</v>
      </c>
      <c r="T78" s="100">
        <f>IFERROR(_xll.qlRateHelperEarliestDate(N78,Trigger),"--")</f>
        <v>42748</v>
      </c>
      <c r="U78" s="100">
        <f>IFERROR(_xll.qlRateHelperPillarDate(N78,Trigger),"--")</f>
        <v>44574</v>
      </c>
      <c r="W78" s="162" t="str">
        <f t="shared" si="14"/>
        <v/>
      </c>
      <c r="X78" s="162" t="e">
        <v>#N/A</v>
      </c>
      <c r="Y78" s="162" t="str">
        <f>IFERROR(_xll.qlRateHelperQuoteName(X78,Trigger),"")</f>
        <v/>
      </c>
      <c r="Z78" s="184" t="str">
        <f>IFERROR(_xll.qlRateHelperRate(X78,Trigger),"")</f>
        <v/>
      </c>
      <c r="AA78" s="185" t="str">
        <f>IF(ISERROR(_xll.qlSwapRateHelperSpread($X78)),IF(ISERROR(_xll.qlFuturesRateHelperConvexityAdjustment($X78)),"",_xll.qlFuturesRateHelperConvexityAdjustment($X78)),_xll.qlSwapRateHelperSpread($X78))</f>
        <v/>
      </c>
      <c r="AB78" s="163" t="str">
        <f>IFERROR(_xll.qlRateHelperEarliestDate(X78,Trigger),"")</f>
        <v/>
      </c>
      <c r="AC78" s="163" t="str">
        <f>IFERROR(_xll.qlRateHelperPillarDate(X78,Trigger),"")</f>
        <v/>
      </c>
      <c r="AD78" s="184" t="e">
        <v>#N/A</v>
      </c>
    </row>
    <row r="79" spans="1:30" ht="11.25" customHeight="1" x14ac:dyDescent="0.2">
      <c r="A79" s="221" t="str">
        <f>Quote!AP76</f>
        <v>SW</v>
      </c>
      <c r="B79" s="280" t="str">
        <f>Quote!AQ76</f>
        <v>2Y9M</v>
      </c>
      <c r="C79" s="223" t="s">
        <v>6</v>
      </c>
      <c r="D79" s="223" t="s">
        <v>8</v>
      </c>
      <c r="E79" s="223" t="s">
        <v>7</v>
      </c>
      <c r="F79" s="223" t="s">
        <v>132</v>
      </c>
      <c r="G79" s="223" t="str">
        <f t="shared" si="10"/>
        <v>Euribor1YMX#0006</v>
      </c>
      <c r="H79" s="221" t="str">
        <f>IF(ISBLANK(Quote!AS76),"",Quote!AS76)</f>
        <v/>
      </c>
      <c r="I79" s="278"/>
      <c r="J79" s="224">
        <v>0</v>
      </c>
      <c r="K79" s="278"/>
      <c r="M79" s="10" t="str">
        <f t="shared" si="11"/>
        <v>SW</v>
      </c>
      <c r="N79" s="95" t="str">
        <f t="shared" si="12"/>
        <v>obj_003d7#0006</v>
      </c>
      <c r="O79" s="146" t="str">
        <f>IFERROR(_xll.qlRateHelperQuoteName(N79,Trigger),"--")</f>
        <v>EUR1YSW6Y_Shifted</v>
      </c>
      <c r="P79" s="99">
        <f>IFERROR(_xll.qlRateHelperQuoteValue($N79,Trigger),"--")</f>
        <v>3.32E-3</v>
      </c>
      <c r="Q79" s="98" t="b">
        <v>1</v>
      </c>
      <c r="R79" s="95">
        <v>40</v>
      </c>
      <c r="S79" s="95">
        <v>1</v>
      </c>
      <c r="T79" s="100">
        <f>IFERROR(_xll.qlRateHelperEarliestDate(N79,Trigger),"--")</f>
        <v>42748</v>
      </c>
      <c r="U79" s="100">
        <f>IFERROR(_xll.qlRateHelperPillarDate(N79,Trigger),"--")</f>
        <v>44939</v>
      </c>
      <c r="W79" s="162" t="str">
        <f t="shared" si="14"/>
        <v/>
      </c>
      <c r="X79" s="162" t="e">
        <v>#N/A</v>
      </c>
      <c r="Y79" s="162" t="str">
        <f>IFERROR(_xll.qlRateHelperQuoteName(X79,Trigger),"")</f>
        <v/>
      </c>
      <c r="Z79" s="184" t="str">
        <f>IFERROR(_xll.qlRateHelperRate(X79,Trigger),"")</f>
        <v/>
      </c>
      <c r="AA79" s="185" t="str">
        <f>IF(ISERROR(_xll.qlSwapRateHelperSpread($X79)),IF(ISERROR(_xll.qlFuturesRateHelperConvexityAdjustment($X79)),"",_xll.qlFuturesRateHelperConvexityAdjustment($X79)),_xll.qlSwapRateHelperSpread($X79))</f>
        <v/>
      </c>
      <c r="AB79" s="163" t="str">
        <f>IFERROR(_xll.qlRateHelperEarliestDate(X79,Trigger),"")</f>
        <v/>
      </c>
      <c r="AC79" s="163" t="str">
        <f>IFERROR(_xll.qlRateHelperPillarDate(X79,Trigger),"")</f>
        <v/>
      </c>
      <c r="AD79" s="184" t="e">
        <v>#N/A</v>
      </c>
    </row>
    <row r="80" spans="1:30" ht="11.25" customHeight="1" x14ac:dyDescent="0.2">
      <c r="A80" s="62" t="str">
        <f>Quote!AP77</f>
        <v>SW</v>
      </c>
      <c r="B80" s="63" t="str">
        <f>Quote!AQ77</f>
        <v>3Y</v>
      </c>
      <c r="C80" s="64" t="s">
        <v>6</v>
      </c>
      <c r="D80" s="64" t="s">
        <v>8</v>
      </c>
      <c r="E80" s="64" t="s">
        <v>7</v>
      </c>
      <c r="F80" s="64" t="s">
        <v>132</v>
      </c>
      <c r="G80" s="64" t="str">
        <f t="shared" si="10"/>
        <v>Euribor1YMX#0006</v>
      </c>
      <c r="H80" s="62" t="str">
        <f>IF(ISBLANK(Quote!AS77),"",Quote!AS77)</f>
        <v>EUR1YSW3Y=#0006</v>
      </c>
      <c r="I80" s="62" t="str">
        <f>_xll.qlCompositeQuote(Currency&amp;"1Y"&amp;A80&amp;B80&amp;"_Shifted",H80,BumpValue,"+",Permanent,Trigger,ObjectOverwrite)</f>
        <v>EUR1YSW3Y_Shifted#0006</v>
      </c>
      <c r="J80" s="128">
        <v>0</v>
      </c>
      <c r="K80" s="67" t="str">
        <f>_xll.qlSwapRateHelper2(,IF(Sensitivity,I80,H80),2,B80,Calendar,+D80,E80,F80,G80,J80,C80,Discounting,PillarDate,,Permanent,Trigger,ObjectOverwrite)</f>
        <v>obj_003d2#0006</v>
      </c>
      <c r="M80" s="10" t="str">
        <f t="shared" si="11"/>
        <v>SW</v>
      </c>
      <c r="N80" s="95" t="str">
        <f t="shared" si="12"/>
        <v>obj_0036e#0006</v>
      </c>
      <c r="O80" s="146" t="str">
        <f>IFERROR(_xll.qlRateHelperQuoteName(N80,Trigger),"--")</f>
        <v>EUR1YSW7Y_Shifted</v>
      </c>
      <c r="P80" s="99">
        <f>IFERROR(_xll.qlRateHelperQuoteValue($N80,Trigger),"--")</f>
        <v>4.5199999999999997E-3</v>
      </c>
      <c r="Q80" s="98" t="b">
        <v>1</v>
      </c>
      <c r="R80" s="95">
        <v>40</v>
      </c>
      <c r="S80" s="95">
        <v>1</v>
      </c>
      <c r="T80" s="100">
        <f>IFERROR(_xll.qlRateHelperEarliestDate(N80,Trigger),"--")</f>
        <v>42748</v>
      </c>
      <c r="U80" s="100">
        <f>IFERROR(_xll.qlRateHelperPillarDate(N80,Trigger),"--")</f>
        <v>45306</v>
      </c>
      <c r="W80" s="162" t="str">
        <f t="shared" si="14"/>
        <v/>
      </c>
      <c r="X80" s="162" t="e">
        <v>#N/A</v>
      </c>
      <c r="Y80" s="162" t="str">
        <f>IFERROR(_xll.qlRateHelperQuoteName(X80,Trigger),"")</f>
        <v/>
      </c>
      <c r="Z80" s="184" t="str">
        <f>IFERROR(_xll.qlRateHelperRate(X80,Trigger),"")</f>
        <v/>
      </c>
      <c r="AA80" s="185" t="str">
        <f>IF(ISERROR(_xll.qlSwapRateHelperSpread($X80)),IF(ISERROR(_xll.qlFuturesRateHelperConvexityAdjustment($X80)),"",_xll.qlFuturesRateHelperConvexityAdjustment($X80)),_xll.qlSwapRateHelperSpread($X80))</f>
        <v/>
      </c>
      <c r="AB80" s="163" t="str">
        <f>IFERROR(_xll.qlRateHelperEarliestDate(X80,Trigger),"")</f>
        <v/>
      </c>
      <c r="AC80" s="163" t="str">
        <f>IFERROR(_xll.qlRateHelperPillarDate(X80,Trigger),"")</f>
        <v/>
      </c>
      <c r="AD80" s="184" t="e">
        <v>#N/A</v>
      </c>
    </row>
    <row r="81" spans="1:30" x14ac:dyDescent="0.2">
      <c r="A81" s="62" t="str">
        <f>Quote!AP78</f>
        <v>SW</v>
      </c>
      <c r="B81" s="63" t="str">
        <f>Quote!AQ78</f>
        <v>4Y</v>
      </c>
      <c r="C81" s="64" t="s">
        <v>6</v>
      </c>
      <c r="D81" s="64" t="s">
        <v>8</v>
      </c>
      <c r="E81" s="64" t="s">
        <v>7</v>
      </c>
      <c r="F81" s="64" t="s">
        <v>132</v>
      </c>
      <c r="G81" s="64" t="str">
        <f t="shared" si="10"/>
        <v>Euribor1YMX#0006</v>
      </c>
      <c r="H81" s="62" t="str">
        <f>IF(ISBLANK(Quote!AS78),"",Quote!AS78)</f>
        <v>EUR1YSW4Y=#0006</v>
      </c>
      <c r="I81" s="62" t="str">
        <f>_xll.qlCompositeQuote(Currency&amp;"1Y"&amp;A81&amp;B81&amp;"_Shifted",H81,BumpValue,"+",Permanent,Trigger,ObjectOverwrite)</f>
        <v>EUR1YSW4Y_Shifted#0006</v>
      </c>
      <c r="J81" s="128">
        <v>0</v>
      </c>
      <c r="K81" s="67" t="str">
        <f>_xll.qlSwapRateHelper2(,IF(Sensitivity,I81,H81),2,B81,Calendar,+D81,E81,F81,G81,J81,C81,Discounting,PillarDate,,Permanent,Trigger,ObjectOverwrite)</f>
        <v>obj_003d4#0006</v>
      </c>
      <c r="M81" s="10" t="str">
        <f t="shared" si="11"/>
        <v>SW</v>
      </c>
      <c r="N81" s="95" t="str">
        <f t="shared" si="12"/>
        <v>obj_00340#0006</v>
      </c>
      <c r="O81" s="146" t="str">
        <f>IFERROR(_xll.qlRateHelperQuoteName(N81,Trigger),"--")</f>
        <v>EUR1YSW8Y_Shifted</v>
      </c>
      <c r="P81" s="99">
        <f>IFERROR(_xll.qlRateHelperQuoteValue($N81,Trigger),"--")</f>
        <v>5.7100000000000007E-3</v>
      </c>
      <c r="Q81" s="98" t="b">
        <v>1</v>
      </c>
      <c r="R81" s="95">
        <v>40</v>
      </c>
      <c r="S81" s="95">
        <v>1</v>
      </c>
      <c r="T81" s="100">
        <f>IFERROR(_xll.qlRateHelperEarliestDate(N81,Trigger),"--")</f>
        <v>42748</v>
      </c>
      <c r="U81" s="100">
        <f>IFERROR(_xll.qlRateHelperPillarDate(N81,Trigger),"--")</f>
        <v>45670</v>
      </c>
      <c r="W81" s="162" t="str">
        <f t="shared" si="14"/>
        <v/>
      </c>
      <c r="X81" s="162" t="e">
        <v>#N/A</v>
      </c>
      <c r="Y81" s="162" t="str">
        <f>IFERROR(_xll.qlRateHelperQuoteName(X81,Trigger),"")</f>
        <v/>
      </c>
      <c r="Z81" s="184" t="str">
        <f>IFERROR(_xll.qlRateHelperRate(X81,Trigger),"")</f>
        <v/>
      </c>
      <c r="AA81" s="185" t="str">
        <f>IF(ISERROR(_xll.qlSwapRateHelperSpread($X81)),IF(ISERROR(_xll.qlFuturesRateHelperConvexityAdjustment($X81)),"",_xll.qlFuturesRateHelperConvexityAdjustment($X81)),_xll.qlSwapRateHelperSpread($X81))</f>
        <v/>
      </c>
      <c r="AB81" s="163" t="str">
        <f>IFERROR(_xll.qlRateHelperEarliestDate(X81,Trigger),"")</f>
        <v/>
      </c>
      <c r="AC81" s="163" t="str">
        <f>IFERROR(_xll.qlRateHelperPillarDate(X81,Trigger),"")</f>
        <v/>
      </c>
      <c r="AD81" s="184" t="e">
        <v>#N/A</v>
      </c>
    </row>
    <row r="82" spans="1:30" x14ac:dyDescent="0.2">
      <c r="A82" s="62" t="str">
        <f>Quote!AP79</f>
        <v>SW</v>
      </c>
      <c r="B82" s="63" t="str">
        <f>Quote!AQ79</f>
        <v>5Y</v>
      </c>
      <c r="C82" s="64" t="s">
        <v>6</v>
      </c>
      <c r="D82" s="64" t="s">
        <v>8</v>
      </c>
      <c r="E82" s="64" t="s">
        <v>7</v>
      </c>
      <c r="F82" s="64" t="s">
        <v>132</v>
      </c>
      <c r="G82" s="64" t="str">
        <f t="shared" si="10"/>
        <v>Euribor1YMX#0006</v>
      </c>
      <c r="H82" s="62" t="str">
        <f>IF(ISBLANK(Quote!AS79),"",Quote!AS79)</f>
        <v>EUR1YSW5Y=#0006</v>
      </c>
      <c r="I82" s="62" t="str">
        <f>_xll.qlCompositeQuote(Currency&amp;"1Y"&amp;A82&amp;B82&amp;"_Shifted",H82,BumpValue,"+",Permanent,Trigger,ObjectOverwrite)</f>
        <v>EUR1YSW5Y_Shifted#0006</v>
      </c>
      <c r="J82" s="128">
        <v>0</v>
      </c>
      <c r="K82" s="67" t="str">
        <f>_xll.qlSwapRateHelper2(,IF(Sensitivity,I82,H82),2,B82,Calendar,+D82,E82,F82,G82,J82,C82,Discounting,PillarDate,,Permanent,Trigger,ObjectOverwrite)</f>
        <v>obj_003af#0006</v>
      </c>
      <c r="M82" s="10" t="str">
        <f t="shared" si="11"/>
        <v>SW</v>
      </c>
      <c r="N82" s="95" t="str">
        <f t="shared" si="12"/>
        <v>obj_00373#0006</v>
      </c>
      <c r="O82" s="146" t="str">
        <f>IFERROR(_xll.qlRateHelperQuoteName(N82,Trigger),"--")</f>
        <v>EUR1YSW9Y_Shifted</v>
      </c>
      <c r="P82" s="99">
        <f>IFERROR(_xll.qlRateHelperQuoteValue($N82,Trigger),"--")</f>
        <v>6.8700000000000002E-3</v>
      </c>
      <c r="Q82" s="98" t="b">
        <v>1</v>
      </c>
      <c r="R82" s="95">
        <v>40</v>
      </c>
      <c r="S82" s="95">
        <v>1</v>
      </c>
      <c r="T82" s="100">
        <f>IFERROR(_xll.qlRateHelperEarliestDate(N82,Trigger),"--")</f>
        <v>42748</v>
      </c>
      <c r="U82" s="100">
        <f>IFERROR(_xll.qlRateHelperPillarDate(N82,Trigger),"--")</f>
        <v>46035</v>
      </c>
      <c r="W82" s="162" t="str">
        <f t="shared" si="14"/>
        <v/>
      </c>
      <c r="X82" s="162" t="e">
        <v>#N/A</v>
      </c>
      <c r="Y82" s="162" t="str">
        <f>IFERROR(_xll.qlRateHelperQuoteName(X82,Trigger),"")</f>
        <v/>
      </c>
      <c r="Z82" s="184" t="str">
        <f>IFERROR(_xll.qlRateHelperRate(X82,Trigger),"")</f>
        <v/>
      </c>
      <c r="AA82" s="185" t="str">
        <f>IF(ISERROR(_xll.qlSwapRateHelperSpread($X82)),IF(ISERROR(_xll.qlFuturesRateHelperConvexityAdjustment($X82)),"",_xll.qlFuturesRateHelperConvexityAdjustment($X82)),_xll.qlSwapRateHelperSpread($X82))</f>
        <v/>
      </c>
      <c r="AB82" s="163" t="str">
        <f>IFERROR(_xll.qlRateHelperEarliestDate(X82,Trigger),"")</f>
        <v/>
      </c>
      <c r="AC82" s="163" t="str">
        <f>IFERROR(_xll.qlRateHelperPillarDate(X82,Trigger),"")</f>
        <v/>
      </c>
      <c r="AD82" s="184" t="e">
        <v>#N/A</v>
      </c>
    </row>
    <row r="83" spans="1:30" x14ac:dyDescent="0.2">
      <c r="A83" s="62" t="str">
        <f>Quote!AP80</f>
        <v>SW</v>
      </c>
      <c r="B83" s="63" t="str">
        <f>Quote!AQ80</f>
        <v>6Y</v>
      </c>
      <c r="C83" s="64" t="s">
        <v>6</v>
      </c>
      <c r="D83" s="64" t="s">
        <v>8</v>
      </c>
      <c r="E83" s="64" t="s">
        <v>7</v>
      </c>
      <c r="F83" s="64" t="s">
        <v>132</v>
      </c>
      <c r="G83" s="64" t="str">
        <f t="shared" si="10"/>
        <v>Euribor1YMX#0006</v>
      </c>
      <c r="H83" s="62" t="str">
        <f>IF(ISBLANK(Quote!AS80),"",Quote!AS80)</f>
        <v>EUR1YSW6Y=#0006</v>
      </c>
      <c r="I83" s="62" t="str">
        <f>_xll.qlCompositeQuote(Currency&amp;"1Y"&amp;A83&amp;B83&amp;"_Shifted",H83,BumpValue,"+",Permanent,Trigger,ObjectOverwrite)</f>
        <v>EUR1YSW6Y_Shifted#0006</v>
      </c>
      <c r="J83" s="128">
        <v>0</v>
      </c>
      <c r="K83" s="67" t="str">
        <f>_xll.qlSwapRateHelper2(,IF(Sensitivity,I83,H83),2,B83,Calendar,+D83,E83,F83,G83,J83,C83,Discounting,PillarDate,,Permanent,Trigger,ObjectOverwrite)</f>
        <v>obj_003d7#0006</v>
      </c>
      <c r="M83" s="10" t="str">
        <f t="shared" si="11"/>
        <v>SW</v>
      </c>
      <c r="N83" s="95" t="str">
        <f t="shared" si="12"/>
        <v>obj_003a2#0006</v>
      </c>
      <c r="O83" s="146" t="str">
        <f>IFERROR(_xll.qlRateHelperQuoteName(N83,Trigger),"--")</f>
        <v>EUR1YSW10Y_Shifted</v>
      </c>
      <c r="P83" s="99">
        <f>IFERROR(_xll.qlRateHelperQuoteValue($N83,Trigger),"--")</f>
        <v>7.9100000000000004E-3</v>
      </c>
      <c r="Q83" s="98" t="b">
        <v>1</v>
      </c>
      <c r="R83" s="95">
        <v>40</v>
      </c>
      <c r="S83" s="95">
        <v>1</v>
      </c>
      <c r="T83" s="100">
        <f>IFERROR(_xll.qlRateHelperEarliestDate(N83,Trigger),"--")</f>
        <v>42748</v>
      </c>
      <c r="U83" s="100">
        <f>IFERROR(_xll.qlRateHelperPillarDate(N83,Trigger),"--")</f>
        <v>46400</v>
      </c>
      <c r="W83" s="162" t="str">
        <f t="shared" si="14"/>
        <v/>
      </c>
      <c r="X83" s="162" t="e">
        <v>#N/A</v>
      </c>
      <c r="Y83" s="162" t="str">
        <f>IFERROR(_xll.qlRateHelperQuoteName(X83,Trigger),"")</f>
        <v/>
      </c>
      <c r="Z83" s="184" t="str">
        <f>IFERROR(_xll.qlRateHelperRate(X83,Trigger),"")</f>
        <v/>
      </c>
      <c r="AA83" s="185" t="str">
        <f>IF(ISERROR(_xll.qlSwapRateHelperSpread($X83)),IF(ISERROR(_xll.qlFuturesRateHelperConvexityAdjustment($X83)),"",_xll.qlFuturesRateHelperConvexityAdjustment($X83)),_xll.qlSwapRateHelperSpread($X83))</f>
        <v/>
      </c>
      <c r="AB83" s="163" t="str">
        <f>IFERROR(_xll.qlRateHelperEarliestDate(X83,Trigger),"")</f>
        <v/>
      </c>
      <c r="AC83" s="163" t="str">
        <f>IFERROR(_xll.qlRateHelperPillarDate(X83,Trigger),"")</f>
        <v/>
      </c>
      <c r="AD83" s="184" t="e">
        <v>#N/A</v>
      </c>
    </row>
    <row r="84" spans="1:30" x14ac:dyDescent="0.2">
      <c r="A84" s="62" t="str">
        <f>Quote!AP81</f>
        <v>SW</v>
      </c>
      <c r="B84" s="63" t="str">
        <f>Quote!AQ81</f>
        <v>7Y</v>
      </c>
      <c r="C84" s="64" t="s">
        <v>6</v>
      </c>
      <c r="D84" s="64" t="s">
        <v>8</v>
      </c>
      <c r="E84" s="64" t="s">
        <v>7</v>
      </c>
      <c r="F84" s="64" t="s">
        <v>132</v>
      </c>
      <c r="G84" s="64" t="str">
        <f t="shared" si="10"/>
        <v>Euribor1YMX#0006</v>
      </c>
      <c r="H84" s="62" t="str">
        <f>IF(ISBLANK(Quote!AS81),"",Quote!AS81)</f>
        <v>EUR1YSW7Y=#0006</v>
      </c>
      <c r="I84" s="62" t="str">
        <f>_xll.qlCompositeQuote(Currency&amp;"1Y"&amp;A84&amp;B84&amp;"_Shifted",H84,BumpValue,"+",Permanent,Trigger,ObjectOverwrite)</f>
        <v>EUR1YSW7Y_Shifted#0006</v>
      </c>
      <c r="J84" s="128">
        <v>0</v>
      </c>
      <c r="K84" s="67" t="str">
        <f>_xll.qlSwapRateHelper2(,IF(Sensitivity,I84,H84),2,B84,Calendar,+D84,E84,F84,G84,J84,C84,Discounting,PillarDate,,Permanent,Trigger,ObjectOverwrite)</f>
        <v>obj_0036e#0006</v>
      </c>
      <c r="M84" s="10" t="str">
        <f t="shared" si="11"/>
        <v>SW</v>
      </c>
      <c r="N84" s="95" t="str">
        <f t="shared" si="12"/>
        <v>obj_00384#0006</v>
      </c>
      <c r="O84" s="146" t="str">
        <f>IFERROR(_xll.qlRateHelperQuoteName(N84,Trigger),"--")</f>
        <v>EUR1YSW11Y_Shifted</v>
      </c>
      <c r="P84" s="99">
        <f>IFERROR(_xll.qlRateHelperQuoteValue($N84,Trigger),"--")</f>
        <v>8.8171829500000003E-3</v>
      </c>
      <c r="Q84" s="98" t="b">
        <v>1</v>
      </c>
      <c r="R84" s="95">
        <v>40</v>
      </c>
      <c r="S84" s="95">
        <v>1</v>
      </c>
      <c r="T84" s="100">
        <f>IFERROR(_xll.qlRateHelperEarliestDate(N84,Trigger),"--")</f>
        <v>42748</v>
      </c>
      <c r="U84" s="100">
        <f>IFERROR(_xll.qlRateHelperPillarDate(N84,Trigger),"--")</f>
        <v>46765</v>
      </c>
      <c r="W84" s="162" t="str">
        <f t="shared" si="14"/>
        <v/>
      </c>
      <c r="X84" s="162" t="e">
        <v>#N/A</v>
      </c>
      <c r="Y84" s="162" t="str">
        <f>IFERROR(_xll.qlRateHelperQuoteName(X84,Trigger),"")</f>
        <v/>
      </c>
      <c r="Z84" s="184" t="str">
        <f>IFERROR(_xll.qlRateHelperRate(X84,Trigger),"")</f>
        <v/>
      </c>
      <c r="AA84" s="185" t="str">
        <f>IF(ISERROR(_xll.qlSwapRateHelperSpread($X84)),IF(ISERROR(_xll.qlFuturesRateHelperConvexityAdjustment($X84)),"",_xll.qlFuturesRateHelperConvexityAdjustment($X84)),_xll.qlSwapRateHelperSpread($X84))</f>
        <v/>
      </c>
      <c r="AB84" s="163" t="str">
        <f>IFERROR(_xll.qlRateHelperEarliestDate(X84,Trigger),"")</f>
        <v/>
      </c>
      <c r="AC84" s="163" t="str">
        <f>IFERROR(_xll.qlRateHelperPillarDate(X84,Trigger),"")</f>
        <v/>
      </c>
      <c r="AD84" s="184" t="e">
        <v>#N/A</v>
      </c>
    </row>
    <row r="85" spans="1:30" x14ac:dyDescent="0.2">
      <c r="A85" s="62" t="str">
        <f>Quote!AP82</f>
        <v>SW</v>
      </c>
      <c r="B85" s="63" t="str">
        <f>Quote!AQ82</f>
        <v>8Y</v>
      </c>
      <c r="C85" s="64" t="s">
        <v>6</v>
      </c>
      <c r="D85" s="64" t="s">
        <v>8</v>
      </c>
      <c r="E85" s="64" t="s">
        <v>7</v>
      </c>
      <c r="F85" s="64" t="s">
        <v>132</v>
      </c>
      <c r="G85" s="64" t="str">
        <f t="shared" si="10"/>
        <v>Euribor1YMX#0006</v>
      </c>
      <c r="H85" s="62" t="str">
        <f>IF(ISBLANK(Quote!AS82),"",Quote!AS82)</f>
        <v>EUR1YSW8Y=#0006</v>
      </c>
      <c r="I85" s="62" t="str">
        <f>_xll.qlCompositeQuote(Currency&amp;"1Y"&amp;A85&amp;B85&amp;"_Shifted",H85,BumpValue,"+",Permanent,Trigger,ObjectOverwrite)</f>
        <v>EUR1YSW8Y_Shifted#0006</v>
      </c>
      <c r="J85" s="128">
        <v>0</v>
      </c>
      <c r="K85" s="67" t="str">
        <f>_xll.qlSwapRateHelper2(,IF(Sensitivity,I85,H85),2,B85,Calendar,+D85,E85,F85,G85,J85,C85,Discounting,PillarDate,,Permanent,Trigger,ObjectOverwrite)</f>
        <v>obj_00340#0006</v>
      </c>
      <c r="M85" s="10" t="str">
        <f t="shared" si="11"/>
        <v>SW</v>
      </c>
      <c r="N85" s="95" t="str">
        <f t="shared" si="12"/>
        <v>obj_00379#0006</v>
      </c>
      <c r="O85" s="146" t="str">
        <f>IFERROR(_xll.qlRateHelperQuoteName(N85,Trigger),"--")</f>
        <v>EUR1YSW12Y_Shifted</v>
      </c>
      <c r="P85" s="99">
        <f>IFERROR(_xll.qlRateHelperQuoteValue($N85,Trigger),"--")</f>
        <v>9.6100000000000005E-3</v>
      </c>
      <c r="Q85" s="98" t="b">
        <v>1</v>
      </c>
      <c r="R85" s="95">
        <v>40</v>
      </c>
      <c r="S85" s="95">
        <v>1</v>
      </c>
      <c r="T85" s="100">
        <f>IFERROR(_xll.qlRateHelperEarliestDate(N85,Trigger),"--")</f>
        <v>42748</v>
      </c>
      <c r="U85" s="100">
        <f>IFERROR(_xll.qlRateHelperPillarDate(N85,Trigger),"--")</f>
        <v>47133</v>
      </c>
      <c r="W85" s="162" t="str">
        <f t="shared" si="14"/>
        <v/>
      </c>
      <c r="X85" s="162" t="e">
        <v>#N/A</v>
      </c>
      <c r="Y85" s="162" t="str">
        <f>IFERROR(_xll.qlRateHelperQuoteName(X85,Trigger),"")</f>
        <v/>
      </c>
      <c r="Z85" s="184" t="str">
        <f>IFERROR(_xll.qlRateHelperRate(X85,Trigger),"")</f>
        <v/>
      </c>
      <c r="AA85" s="185" t="str">
        <f>IF(ISERROR(_xll.qlSwapRateHelperSpread($X85)),IF(ISERROR(_xll.qlFuturesRateHelperConvexityAdjustment($X85)),"",_xll.qlFuturesRateHelperConvexityAdjustment($X85)),_xll.qlSwapRateHelperSpread($X85))</f>
        <v/>
      </c>
      <c r="AB85" s="163" t="str">
        <f>IFERROR(_xll.qlRateHelperEarliestDate(X85,Trigger),"")</f>
        <v/>
      </c>
      <c r="AC85" s="163" t="str">
        <f>IFERROR(_xll.qlRateHelperPillarDate(X85,Trigger),"")</f>
        <v/>
      </c>
      <c r="AD85" s="184" t="e">
        <v>#N/A</v>
      </c>
    </row>
    <row r="86" spans="1:30" x14ac:dyDescent="0.2">
      <c r="A86" s="62" t="str">
        <f>Quote!AP83</f>
        <v>SW</v>
      </c>
      <c r="B86" s="63" t="str">
        <f>Quote!AQ83</f>
        <v>9Y</v>
      </c>
      <c r="C86" s="64" t="s">
        <v>6</v>
      </c>
      <c r="D86" s="64" t="s">
        <v>8</v>
      </c>
      <c r="E86" s="64" t="s">
        <v>7</v>
      </c>
      <c r="F86" s="64" t="s">
        <v>132</v>
      </c>
      <c r="G86" s="64" t="str">
        <f t="shared" si="10"/>
        <v>Euribor1YMX#0006</v>
      </c>
      <c r="H86" s="62" t="str">
        <f>IF(ISBLANK(Quote!AS83),"",Quote!AS83)</f>
        <v>EUR1YSW9Y=#0006</v>
      </c>
      <c r="I86" s="62" t="str">
        <f>_xll.qlCompositeQuote(Currency&amp;"1Y"&amp;A86&amp;B86&amp;"_Shifted",H86,BumpValue,"+",Permanent,Trigger,ObjectOverwrite)</f>
        <v>EUR1YSW9Y_Shifted#0006</v>
      </c>
      <c r="J86" s="128">
        <v>0</v>
      </c>
      <c r="K86" s="67" t="str">
        <f>_xll.qlSwapRateHelper2(,IF(Sensitivity,I86,H86),2,B86,Calendar,+D86,E86,F86,G86,J86,C86,Discounting,PillarDate,,Permanent,Trigger,ObjectOverwrite)</f>
        <v>obj_00373#0006</v>
      </c>
      <c r="M86" s="10" t="str">
        <f t="shared" si="11"/>
        <v>SW</v>
      </c>
      <c r="N86" s="95" t="str">
        <f t="shared" si="12"/>
        <v>obj_00361#0006</v>
      </c>
      <c r="O86" s="146" t="str">
        <f>IFERROR(_xll.qlRateHelperQuoteName(N86,Trigger),"--")</f>
        <v>EUR1YSW13Y_Shifted</v>
      </c>
      <c r="P86" s="99">
        <f>IFERROR(_xll.qlRateHelperQuoteValue($N86,Trigger),"--")</f>
        <v>1.0280087989999999E-2</v>
      </c>
      <c r="Q86" s="98" t="b">
        <v>1</v>
      </c>
      <c r="R86" s="95">
        <v>40</v>
      </c>
      <c r="S86" s="95">
        <v>1</v>
      </c>
      <c r="T86" s="100">
        <f>IFERROR(_xll.qlRateHelperEarliestDate(N86,Trigger),"--")</f>
        <v>42748</v>
      </c>
      <c r="U86" s="100">
        <f>IFERROR(_xll.qlRateHelperPillarDate(N86,Trigger),"--")</f>
        <v>47497</v>
      </c>
      <c r="W86" s="162" t="str">
        <f t="shared" si="14"/>
        <v/>
      </c>
      <c r="X86" s="162" t="e">
        <v>#N/A</v>
      </c>
      <c r="Y86" s="162" t="str">
        <f>IFERROR(_xll.qlRateHelperQuoteName(X86,Trigger),"")</f>
        <v/>
      </c>
      <c r="Z86" s="184" t="str">
        <f>IFERROR(_xll.qlRateHelperRate(X86,Trigger),"")</f>
        <v/>
      </c>
      <c r="AA86" s="185" t="str">
        <f>IF(ISERROR(_xll.qlSwapRateHelperSpread($X86)),IF(ISERROR(_xll.qlFuturesRateHelperConvexityAdjustment($X86)),"",_xll.qlFuturesRateHelperConvexityAdjustment($X86)),_xll.qlSwapRateHelperSpread($X86))</f>
        <v/>
      </c>
      <c r="AB86" s="163" t="str">
        <f>IFERROR(_xll.qlRateHelperEarliestDate(X86,Trigger),"")</f>
        <v/>
      </c>
      <c r="AC86" s="163" t="str">
        <f>IFERROR(_xll.qlRateHelperPillarDate(X86,Trigger),"")</f>
        <v/>
      </c>
      <c r="AD86" s="184" t="e">
        <v>#N/A</v>
      </c>
    </row>
    <row r="87" spans="1:30" x14ac:dyDescent="0.2">
      <c r="A87" s="62" t="str">
        <f>Quote!AP84</f>
        <v>SW</v>
      </c>
      <c r="B87" s="63" t="str">
        <f>Quote!AQ84</f>
        <v>10Y</v>
      </c>
      <c r="C87" s="64" t="s">
        <v>6</v>
      </c>
      <c r="D87" s="64" t="s">
        <v>8</v>
      </c>
      <c r="E87" s="64" t="s">
        <v>7</v>
      </c>
      <c r="F87" s="64" t="s">
        <v>132</v>
      </c>
      <c r="G87" s="64" t="str">
        <f t="shared" si="10"/>
        <v>Euribor1YMX#0006</v>
      </c>
      <c r="H87" s="62" t="str">
        <f>IF(ISBLANK(Quote!AS84),"",Quote!AS84)</f>
        <v>EUR1YSW10Y=#0006</v>
      </c>
      <c r="I87" s="62" t="str">
        <f>_xll.qlCompositeQuote(Currency&amp;"1Y"&amp;A87&amp;B87&amp;"_Shifted",H87,BumpValue,"+",Permanent,Trigger,ObjectOverwrite)</f>
        <v>EUR1YSW10Y_Shifted#0006</v>
      </c>
      <c r="J87" s="128">
        <v>0</v>
      </c>
      <c r="K87" s="67" t="str">
        <f>_xll.qlSwapRateHelper2(,IF(Sensitivity,I87,H87),2,B87,Calendar,+D87,E87,F87,G87,J87,C87,Discounting,PillarDate,,Permanent,Trigger,ObjectOverwrite)</f>
        <v>obj_003a2#0006</v>
      </c>
      <c r="M87" s="10" t="str">
        <f t="shared" si="11"/>
        <v>SW</v>
      </c>
      <c r="N87" s="95" t="str">
        <f t="shared" si="12"/>
        <v>obj_00374#0006</v>
      </c>
      <c r="O87" s="146" t="str">
        <f>IFERROR(_xll.qlRateHelperQuoteName(N87,Trigger),"--")</f>
        <v>EUR1YSW14Y_Shifted</v>
      </c>
      <c r="P87" s="99">
        <f>IFERROR(_xll.qlRateHelperQuoteValue($N87,Trigger),"--")</f>
        <v>1.0849485730000002E-2</v>
      </c>
      <c r="Q87" s="98" t="b">
        <v>1</v>
      </c>
      <c r="R87" s="95">
        <v>40</v>
      </c>
      <c r="S87" s="95">
        <v>1</v>
      </c>
      <c r="T87" s="100">
        <f>IFERROR(_xll.qlRateHelperEarliestDate(N87,Trigger),"--")</f>
        <v>42748</v>
      </c>
      <c r="U87" s="100">
        <f>IFERROR(_xll.qlRateHelperPillarDate(N87,Trigger),"--")</f>
        <v>47861</v>
      </c>
      <c r="W87" s="162" t="str">
        <f t="shared" si="14"/>
        <v/>
      </c>
      <c r="X87" s="162" t="e">
        <v>#N/A</v>
      </c>
      <c r="Y87" s="162" t="str">
        <f>IFERROR(_xll.qlRateHelperQuoteName(X87,Trigger),"")</f>
        <v/>
      </c>
      <c r="Z87" s="184" t="str">
        <f>IFERROR(_xll.qlRateHelperRate(X87,Trigger),"")</f>
        <v/>
      </c>
      <c r="AA87" s="185" t="str">
        <f>IF(ISERROR(_xll.qlSwapRateHelperSpread($X87)),IF(ISERROR(_xll.qlFuturesRateHelperConvexityAdjustment($X87)),"",_xll.qlFuturesRateHelperConvexityAdjustment($X87)),_xll.qlSwapRateHelperSpread($X87))</f>
        <v/>
      </c>
      <c r="AB87" s="163" t="str">
        <f>IFERROR(_xll.qlRateHelperEarliestDate(X87,Trigger),"")</f>
        <v/>
      </c>
      <c r="AC87" s="163" t="str">
        <f>IFERROR(_xll.qlRateHelperPillarDate(X87,Trigger),"")</f>
        <v/>
      </c>
      <c r="AD87" s="184" t="e">
        <v>#N/A</v>
      </c>
    </row>
    <row r="88" spans="1:30" x14ac:dyDescent="0.2">
      <c r="A88" s="62" t="str">
        <f>Quote!AP85</f>
        <v>SW</v>
      </c>
      <c r="B88" s="63" t="str">
        <f>Quote!AQ85</f>
        <v>11Y</v>
      </c>
      <c r="C88" s="64" t="s">
        <v>6</v>
      </c>
      <c r="D88" s="64" t="s">
        <v>8</v>
      </c>
      <c r="E88" s="64" t="s">
        <v>7</v>
      </c>
      <c r="F88" s="64" t="s">
        <v>132</v>
      </c>
      <c r="G88" s="64" t="str">
        <f t="shared" si="10"/>
        <v>Euribor1YMX#0006</v>
      </c>
      <c r="H88" s="62" t="str">
        <f>IF(ISBLANK(Quote!AS85),"",Quote!AS85)</f>
        <v>EUR1YSW11Y=#0006</v>
      </c>
      <c r="I88" s="62" t="str">
        <f>_xll.qlCompositeQuote(Currency&amp;"1Y"&amp;A88&amp;B88&amp;"_Shifted",H88,BumpValue,"+",Permanent,Trigger,ObjectOverwrite)</f>
        <v>EUR1YSW11Y_Shifted#0006</v>
      </c>
      <c r="J88" s="128">
        <v>0</v>
      </c>
      <c r="K88" s="67" t="str">
        <f>_xll.qlSwapRateHelper2(,IF(Sensitivity,I88,H88),2,B88,Calendar,+D88,E88,F88,G88,J88,C88,Discounting,PillarDate,,Permanent,Trigger,ObjectOverwrite)</f>
        <v>obj_00384#0006</v>
      </c>
      <c r="M88" s="10" t="str">
        <f t="shared" si="11"/>
        <v>SW</v>
      </c>
      <c r="N88" s="95" t="str">
        <f t="shared" si="12"/>
        <v>obj_00368#0006</v>
      </c>
      <c r="O88" s="146" t="str">
        <f>IFERROR(_xll.qlRateHelperQuoteName(N88,Trigger),"--")</f>
        <v>EUR1YSW15Y_Shifted</v>
      </c>
      <c r="P88" s="99">
        <f>IFERROR(_xll.qlRateHelperQuoteValue($N88,Trigger),"--")</f>
        <v>1.133E-2</v>
      </c>
      <c r="Q88" s="98" t="b">
        <v>1</v>
      </c>
      <c r="R88" s="95">
        <v>40</v>
      </c>
      <c r="S88" s="95">
        <v>1</v>
      </c>
      <c r="T88" s="100">
        <f>IFERROR(_xll.qlRateHelperEarliestDate(N88,Trigger),"--")</f>
        <v>42748</v>
      </c>
      <c r="U88" s="100">
        <f>IFERROR(_xll.qlRateHelperPillarDate(N88,Trigger),"--")</f>
        <v>48226</v>
      </c>
      <c r="W88" s="162" t="str">
        <f t="shared" si="14"/>
        <v/>
      </c>
      <c r="X88" s="162" t="e">
        <v>#N/A</v>
      </c>
      <c r="Y88" s="162" t="str">
        <f>IFERROR(_xll.qlRateHelperQuoteName(X88,Trigger),"")</f>
        <v/>
      </c>
      <c r="Z88" s="184" t="str">
        <f>IFERROR(_xll.qlRateHelperRate(X88,Trigger),"")</f>
        <v/>
      </c>
      <c r="AA88" s="185" t="str">
        <f>IF(ISERROR(_xll.qlSwapRateHelperSpread($X88)),IF(ISERROR(_xll.qlFuturesRateHelperConvexityAdjustment($X88)),"",_xll.qlFuturesRateHelperConvexityAdjustment($X88)),_xll.qlSwapRateHelperSpread($X88))</f>
        <v/>
      </c>
      <c r="AB88" s="163" t="str">
        <f>IFERROR(_xll.qlRateHelperEarliestDate(X88,Trigger),"")</f>
        <v/>
      </c>
      <c r="AC88" s="163" t="str">
        <f>IFERROR(_xll.qlRateHelperPillarDate(X88,Trigger),"")</f>
        <v/>
      </c>
      <c r="AD88" s="184" t="e">
        <v>#N/A</v>
      </c>
    </row>
    <row r="89" spans="1:30" x14ac:dyDescent="0.2">
      <c r="A89" s="62" t="str">
        <f>Quote!AP86</f>
        <v>SW</v>
      </c>
      <c r="B89" s="63" t="str">
        <f>Quote!AQ86</f>
        <v>12Y</v>
      </c>
      <c r="C89" s="64" t="s">
        <v>6</v>
      </c>
      <c r="D89" s="64" t="s">
        <v>8</v>
      </c>
      <c r="E89" s="64" t="s">
        <v>7</v>
      </c>
      <c r="F89" s="64" t="s">
        <v>132</v>
      </c>
      <c r="G89" s="64" t="str">
        <f t="shared" si="10"/>
        <v>Euribor1YMX#0006</v>
      </c>
      <c r="H89" s="62" t="str">
        <f>IF(ISBLANK(Quote!AS86),"",Quote!AS86)</f>
        <v>EUR1YSW12Y=#0006</v>
      </c>
      <c r="I89" s="62" t="str">
        <f>_xll.qlCompositeQuote(Currency&amp;"1Y"&amp;A89&amp;B89&amp;"_Shifted",H89,BumpValue,"+",Permanent,Trigger,ObjectOverwrite)</f>
        <v>EUR1YSW12Y_Shifted#0006</v>
      </c>
      <c r="J89" s="128">
        <v>0</v>
      </c>
      <c r="K89" s="67" t="str">
        <f>_xll.qlSwapRateHelper2(,IF(Sensitivity,I89,H89),2,B89,Calendar,+D89,E89,F89,G89,J89,C89,Discounting,PillarDate,,Permanent,Trigger,ObjectOverwrite)</f>
        <v>obj_00379#0006</v>
      </c>
      <c r="M89" s="10" t="str">
        <f t="shared" si="11"/>
        <v>SW</v>
      </c>
      <c r="N89" s="95" t="str">
        <f t="shared" si="12"/>
        <v>obj_003c0#0006</v>
      </c>
      <c r="O89" s="146" t="str">
        <f>IFERROR(_xll.qlRateHelperQuoteName(N89,Trigger),"--")</f>
        <v>EUR1YSW16Y_Shifted</v>
      </c>
      <c r="P89" s="99">
        <f>IFERROR(_xll.qlRateHelperQuoteValue($N89,Trigger),"--")</f>
        <v>1.1732953620000002E-2</v>
      </c>
      <c r="Q89" s="98" t="b">
        <v>1</v>
      </c>
      <c r="R89" s="95">
        <v>40</v>
      </c>
      <c r="S89" s="95">
        <v>1</v>
      </c>
      <c r="T89" s="100">
        <f>IFERROR(_xll.qlRateHelperEarliestDate(N89,Trigger),"--")</f>
        <v>42748</v>
      </c>
      <c r="U89" s="100">
        <f>IFERROR(_xll.qlRateHelperPillarDate(N89,Trigger),"--")</f>
        <v>48592</v>
      </c>
      <c r="W89" s="162" t="str">
        <f t="shared" si="14"/>
        <v/>
      </c>
      <c r="X89" s="162" t="e">
        <v>#N/A</v>
      </c>
      <c r="Y89" s="162" t="str">
        <f>IFERROR(_xll.qlRateHelperQuoteName(X89,Trigger),"")</f>
        <v/>
      </c>
      <c r="Z89" s="184" t="str">
        <f>IFERROR(_xll.qlRateHelperRate(X89,Trigger),"")</f>
        <v/>
      </c>
      <c r="AA89" s="185" t="str">
        <f>IF(ISERROR(_xll.qlSwapRateHelperSpread($X89)),IF(ISERROR(_xll.qlFuturesRateHelperConvexityAdjustment($X89)),"",_xll.qlFuturesRateHelperConvexityAdjustment($X89)),_xll.qlSwapRateHelperSpread($X89))</f>
        <v/>
      </c>
      <c r="AB89" s="163" t="str">
        <f>IFERROR(_xll.qlRateHelperEarliestDate(X89,Trigger),"")</f>
        <v/>
      </c>
      <c r="AC89" s="163" t="str">
        <f>IFERROR(_xll.qlRateHelperPillarDate(X89,Trigger),"")</f>
        <v/>
      </c>
      <c r="AD89" s="184" t="e">
        <v>#N/A</v>
      </c>
    </row>
    <row r="90" spans="1:30" x14ac:dyDescent="0.2">
      <c r="A90" s="62" t="str">
        <f>Quote!AP87</f>
        <v>SW</v>
      </c>
      <c r="B90" s="63" t="str">
        <f>Quote!AQ87</f>
        <v>13Y</v>
      </c>
      <c r="C90" s="64" t="s">
        <v>6</v>
      </c>
      <c r="D90" s="64" t="s">
        <v>8</v>
      </c>
      <c r="E90" s="64" t="s">
        <v>7</v>
      </c>
      <c r="F90" s="64" t="s">
        <v>132</v>
      </c>
      <c r="G90" s="64" t="str">
        <f t="shared" si="10"/>
        <v>Euribor1YMX#0006</v>
      </c>
      <c r="H90" s="62" t="str">
        <f>IF(ISBLANK(Quote!AS87),"",Quote!AS87)</f>
        <v>EUR1YSW13Y=#0006</v>
      </c>
      <c r="I90" s="62" t="str">
        <f>_xll.qlCompositeQuote(Currency&amp;"1Y"&amp;A90&amp;B90&amp;"_Shifted",H90,BumpValue,"+",Permanent,Trigger,ObjectOverwrite)</f>
        <v>EUR1YSW13Y_Shifted#0006</v>
      </c>
      <c r="J90" s="128">
        <v>0</v>
      </c>
      <c r="K90" s="67" t="str">
        <f>_xll.qlSwapRateHelper2(,IF(Sensitivity,I90,H90),2,B90,Calendar,+D90,E90,F90,G90,J90,C90,Discounting,PillarDate,,Permanent,Trigger,ObjectOverwrite)</f>
        <v>obj_00361#0006</v>
      </c>
      <c r="L90" s="49" t="s">
        <v>34</v>
      </c>
      <c r="M90" s="10" t="str">
        <f t="shared" si="11"/>
        <v>SW</v>
      </c>
      <c r="N90" s="95" t="str">
        <f t="shared" si="12"/>
        <v>obj_00354#0006</v>
      </c>
      <c r="O90" s="146" t="str">
        <f>IFERROR(_xll.qlRateHelperQuoteName(N90,Trigger),"--")</f>
        <v>EUR1YSW17Y_Shifted</v>
      </c>
      <c r="P90" s="99">
        <f>IFERROR(_xll.qlRateHelperQuoteValue($N90,Trigger),"--")</f>
        <v>1.2061738640000002E-2</v>
      </c>
      <c r="Q90" s="98" t="b">
        <v>1</v>
      </c>
      <c r="R90" s="95">
        <v>40</v>
      </c>
      <c r="S90" s="95">
        <v>1</v>
      </c>
      <c r="T90" s="100">
        <f>IFERROR(_xll.qlRateHelperEarliestDate(N90,Trigger),"--")</f>
        <v>42748</v>
      </c>
      <c r="U90" s="100">
        <f>IFERROR(_xll.qlRateHelperPillarDate(N90,Trigger),"--")</f>
        <v>48957</v>
      </c>
      <c r="W90" s="162" t="str">
        <f t="shared" si="14"/>
        <v/>
      </c>
      <c r="X90" s="162" t="e">
        <v>#N/A</v>
      </c>
      <c r="Y90" s="162" t="str">
        <f>IFERROR(_xll.qlRateHelperQuoteName(X90,Trigger),"")</f>
        <v/>
      </c>
      <c r="Z90" s="184" t="str">
        <f>IFERROR(_xll.qlRateHelperRate(X90,Trigger),"")</f>
        <v/>
      </c>
      <c r="AA90" s="185" t="str">
        <f>IF(ISERROR(_xll.qlSwapRateHelperSpread($X90)),IF(ISERROR(_xll.qlFuturesRateHelperConvexityAdjustment($X90)),"",_xll.qlFuturesRateHelperConvexityAdjustment($X90)),_xll.qlSwapRateHelperSpread($X90))</f>
        <v/>
      </c>
      <c r="AB90" s="163" t="str">
        <f>IFERROR(_xll.qlRateHelperEarliestDate(X90,Trigger),"")</f>
        <v/>
      </c>
      <c r="AC90" s="163" t="str">
        <f>IFERROR(_xll.qlRateHelperPillarDate(X90,Trigger),"")</f>
        <v/>
      </c>
      <c r="AD90" s="184" t="e">
        <v>#N/A</v>
      </c>
    </row>
    <row r="91" spans="1:30" x14ac:dyDescent="0.2">
      <c r="A91" s="62" t="str">
        <f>Quote!AP88</f>
        <v>SW</v>
      </c>
      <c r="B91" s="63" t="str">
        <f>Quote!AQ88</f>
        <v>14Y</v>
      </c>
      <c r="C91" s="64" t="s">
        <v>6</v>
      </c>
      <c r="D91" s="64" t="s">
        <v>8</v>
      </c>
      <c r="E91" s="64" t="s">
        <v>7</v>
      </c>
      <c r="F91" s="64" t="s">
        <v>132</v>
      </c>
      <c r="G91" s="64" t="str">
        <f t="shared" si="10"/>
        <v>Euribor1YMX#0006</v>
      </c>
      <c r="H91" s="62" t="str">
        <f>IF(ISBLANK(Quote!AS88),"",Quote!AS88)</f>
        <v>EUR1YSW14Y=#0006</v>
      </c>
      <c r="I91" s="62" t="str">
        <f>_xll.qlCompositeQuote(Currency&amp;"1Y"&amp;A91&amp;B91&amp;"_Shifted",H91,BumpValue,"+",Permanent,Trigger,ObjectOverwrite)</f>
        <v>EUR1YSW14Y_Shifted#0006</v>
      </c>
      <c r="J91" s="128">
        <v>0</v>
      </c>
      <c r="K91" s="67" t="str">
        <f>_xll.qlSwapRateHelper2(,IF(Sensitivity,I91,H91),2,B91,Calendar,+D91,E91,F91,G91,J91,C91,Discounting,PillarDate,,Permanent,Trigger,ObjectOverwrite)</f>
        <v>obj_00374#0006</v>
      </c>
      <c r="M91" s="10" t="str">
        <f t="shared" si="11"/>
        <v>SW</v>
      </c>
      <c r="N91" s="95" t="str">
        <f t="shared" si="12"/>
        <v>obj_00387#0006</v>
      </c>
      <c r="O91" s="146" t="str">
        <f>IFERROR(_xll.qlRateHelperQuoteName(N91,Trigger),"--")</f>
        <v>EUR1YSW18Y_Shifted</v>
      </c>
      <c r="P91" s="99">
        <f>IFERROR(_xll.qlRateHelperQuoteValue($N91,Trigger),"--")</f>
        <v>1.2329501289999999E-2</v>
      </c>
      <c r="Q91" s="98" t="b">
        <v>1</v>
      </c>
      <c r="R91" s="95">
        <v>40</v>
      </c>
      <c r="S91" s="95">
        <v>1</v>
      </c>
      <c r="T91" s="100">
        <f>IFERROR(_xll.qlRateHelperEarliestDate(N91,Trigger),"--")</f>
        <v>42748</v>
      </c>
      <c r="U91" s="100">
        <f>IFERROR(_xll.qlRateHelperPillarDate(N91,Trigger),"--")</f>
        <v>49324</v>
      </c>
      <c r="W91" s="162" t="str">
        <f t="shared" si="14"/>
        <v/>
      </c>
      <c r="X91" s="162" t="e">
        <v>#N/A</v>
      </c>
      <c r="Y91" s="162" t="str">
        <f>IFERROR(_xll.qlRateHelperQuoteName(X91,Trigger),"")</f>
        <v/>
      </c>
      <c r="Z91" s="184" t="str">
        <f>IFERROR(_xll.qlRateHelperRate(X91,Trigger),"")</f>
        <v/>
      </c>
      <c r="AA91" s="185" t="str">
        <f>IF(ISERROR(_xll.qlSwapRateHelperSpread($X91)),IF(ISERROR(_xll.qlFuturesRateHelperConvexityAdjustment($X91)),"",_xll.qlFuturesRateHelperConvexityAdjustment($X91)),_xll.qlSwapRateHelperSpread($X91))</f>
        <v/>
      </c>
      <c r="AB91" s="163" t="str">
        <f>IFERROR(_xll.qlRateHelperEarliestDate(X91,Trigger),"")</f>
        <v/>
      </c>
      <c r="AC91" s="163" t="str">
        <f>IFERROR(_xll.qlRateHelperPillarDate(X91,Trigger),"")</f>
        <v/>
      </c>
      <c r="AD91" s="184" t="e">
        <v>#N/A</v>
      </c>
    </row>
    <row r="92" spans="1:30" x14ac:dyDescent="0.2">
      <c r="A92" s="62" t="str">
        <f>Quote!AP89</f>
        <v>SW</v>
      </c>
      <c r="B92" s="63" t="str">
        <f>Quote!AQ89</f>
        <v>15Y</v>
      </c>
      <c r="C92" s="64" t="s">
        <v>6</v>
      </c>
      <c r="D92" s="64" t="s">
        <v>8</v>
      </c>
      <c r="E92" s="64" t="s">
        <v>7</v>
      </c>
      <c r="F92" s="64" t="s">
        <v>132</v>
      </c>
      <c r="G92" s="64" t="str">
        <f t="shared" si="10"/>
        <v>Euribor1YMX#0006</v>
      </c>
      <c r="H92" s="62" t="str">
        <f>IF(ISBLANK(Quote!AS89),"",Quote!AS89)</f>
        <v>EUR1YSW15Y=#0006</v>
      </c>
      <c r="I92" s="62" t="str">
        <f>_xll.qlCompositeQuote(Currency&amp;"1Y"&amp;A92&amp;B92&amp;"_Shifted",H92,BumpValue,"+",Permanent,Trigger,ObjectOverwrite)</f>
        <v>EUR1YSW15Y_Shifted#0006</v>
      </c>
      <c r="J92" s="128">
        <v>0</v>
      </c>
      <c r="K92" s="67" t="str">
        <f>_xll.qlSwapRateHelper2(,IF(Sensitivity,I92,H92),2,B92,Calendar,+D92,E92,F92,G92,J92,C92,Discounting,PillarDate,,Permanent,Trigger,ObjectOverwrite)</f>
        <v>obj_00368#0006</v>
      </c>
      <c r="M92" s="10" t="str">
        <f t="shared" si="11"/>
        <v>SW</v>
      </c>
      <c r="N92" s="95" t="str">
        <f t="shared" si="12"/>
        <v>obj_0039f#0006</v>
      </c>
      <c r="O92" s="146" t="str">
        <f>IFERROR(_xll.qlRateHelperQuoteName(N92,Trigger),"--")</f>
        <v>EUR1YSW19Y_Shifted</v>
      </c>
      <c r="P92" s="99">
        <f>IFERROR(_xll.qlRateHelperQuoteValue($N92,Trigger),"--")</f>
        <v>1.254141296E-2</v>
      </c>
      <c r="Q92" s="98" t="b">
        <v>1</v>
      </c>
      <c r="R92" s="95">
        <v>40</v>
      </c>
      <c r="S92" s="95">
        <v>1</v>
      </c>
      <c r="T92" s="100">
        <f>IFERROR(_xll.qlRateHelperEarliestDate(N92,Trigger),"--")</f>
        <v>42748</v>
      </c>
      <c r="U92" s="100">
        <f>IFERROR(_xll.qlRateHelperPillarDate(N92,Trigger),"--")</f>
        <v>49688</v>
      </c>
      <c r="W92" s="162" t="str">
        <f t="shared" si="14"/>
        <v/>
      </c>
      <c r="X92" s="162" t="e">
        <v>#N/A</v>
      </c>
      <c r="Y92" s="162" t="str">
        <f>IFERROR(_xll.qlRateHelperQuoteName(X92,Trigger),"")</f>
        <v/>
      </c>
      <c r="Z92" s="184" t="str">
        <f>IFERROR(_xll.qlRateHelperRate(X92,Trigger),"")</f>
        <v/>
      </c>
      <c r="AA92" s="185" t="str">
        <f>IF(ISERROR(_xll.qlSwapRateHelperSpread($X92)),IF(ISERROR(_xll.qlFuturesRateHelperConvexityAdjustment($X92)),"",_xll.qlFuturesRateHelperConvexityAdjustment($X92)),_xll.qlSwapRateHelperSpread($X92))</f>
        <v/>
      </c>
      <c r="AB92" s="163" t="str">
        <f>IFERROR(_xll.qlRateHelperEarliestDate(X92,Trigger),"")</f>
        <v/>
      </c>
      <c r="AC92" s="163" t="str">
        <f>IFERROR(_xll.qlRateHelperPillarDate(X92,Trigger),"")</f>
        <v/>
      </c>
      <c r="AD92" s="184" t="e">
        <v>#N/A</v>
      </c>
    </row>
    <row r="93" spans="1:30" x14ac:dyDescent="0.2">
      <c r="A93" s="62" t="str">
        <f>Quote!AP90</f>
        <v>SW</v>
      </c>
      <c r="B93" s="63" t="str">
        <f>Quote!AQ90</f>
        <v>16Y</v>
      </c>
      <c r="C93" s="64" t="s">
        <v>6</v>
      </c>
      <c r="D93" s="64" t="s">
        <v>8</v>
      </c>
      <c r="E93" s="64" t="s">
        <v>7</v>
      </c>
      <c r="F93" s="64" t="s">
        <v>132</v>
      </c>
      <c r="G93" s="64" t="str">
        <f t="shared" si="10"/>
        <v>Euribor1YMX#0006</v>
      </c>
      <c r="H93" s="62" t="str">
        <f>IF(ISBLANK(Quote!AS90),"",Quote!AS90)</f>
        <v>EUR1YSW16Y=#0006</v>
      </c>
      <c r="I93" s="62" t="str">
        <f>_xll.qlCompositeQuote(Currency&amp;"1Y"&amp;A93&amp;B93&amp;"_Shifted",H93,BumpValue,"+",Permanent,Trigger,ObjectOverwrite)</f>
        <v>EUR1YSW16Y_Shifted#0006</v>
      </c>
      <c r="J93" s="128">
        <v>0</v>
      </c>
      <c r="K93" s="67" t="str">
        <f>_xll.qlSwapRateHelper2(,IF(Sensitivity,I93,H93),2,B93,Calendar,+D93,E93,F93,G93,J93,C93,Discounting,PillarDate,,Permanent,Trigger,ObjectOverwrite)</f>
        <v>obj_003c0#0006</v>
      </c>
      <c r="M93" s="10" t="str">
        <f t="shared" si="11"/>
        <v>SW</v>
      </c>
      <c r="N93" s="95" t="str">
        <f t="shared" si="12"/>
        <v>obj_0038f#0006</v>
      </c>
      <c r="O93" s="146" t="str">
        <f>IFERROR(_xll.qlRateHelperQuoteName(N93,Trigger),"--")</f>
        <v>EUR1YSW20Y_Shifted</v>
      </c>
      <c r="P93" s="99">
        <f>IFERROR(_xll.qlRateHelperQuoteValue($N93,Trigger),"--")</f>
        <v>1.2710000000000001E-2</v>
      </c>
      <c r="Q93" s="98" t="b">
        <v>1</v>
      </c>
      <c r="R93" s="95">
        <v>40</v>
      </c>
      <c r="S93" s="95">
        <v>1</v>
      </c>
      <c r="T93" s="100">
        <f>IFERROR(_xll.qlRateHelperEarliestDate(N93,Trigger),"--")</f>
        <v>42748</v>
      </c>
      <c r="U93" s="100">
        <f>IFERROR(_xll.qlRateHelperPillarDate(N93,Trigger),"--")</f>
        <v>50053</v>
      </c>
      <c r="W93" s="162" t="str">
        <f t="shared" si="14"/>
        <v/>
      </c>
      <c r="X93" s="162" t="e">
        <v>#N/A</v>
      </c>
      <c r="Y93" s="162" t="str">
        <f>IFERROR(_xll.qlRateHelperQuoteName(X93,Trigger),"")</f>
        <v/>
      </c>
      <c r="Z93" s="184" t="str">
        <f>IFERROR(_xll.qlRateHelperRate(X93,Trigger),"")</f>
        <v/>
      </c>
      <c r="AA93" s="185" t="str">
        <f>IF(ISERROR(_xll.qlSwapRateHelperSpread($X93)),IF(ISERROR(_xll.qlFuturesRateHelperConvexityAdjustment($X93)),"",_xll.qlFuturesRateHelperConvexityAdjustment($X93)),_xll.qlSwapRateHelperSpread($X93))</f>
        <v/>
      </c>
      <c r="AB93" s="163" t="str">
        <f>IFERROR(_xll.qlRateHelperEarliestDate(X93,Trigger),"")</f>
        <v/>
      </c>
      <c r="AC93" s="163" t="str">
        <f>IFERROR(_xll.qlRateHelperPillarDate(X93,Trigger),"")</f>
        <v/>
      </c>
      <c r="AD93" s="184" t="e">
        <v>#N/A</v>
      </c>
    </row>
    <row r="94" spans="1:30" x14ac:dyDescent="0.2">
      <c r="A94" s="62" t="str">
        <f>Quote!AP91</f>
        <v>SW</v>
      </c>
      <c r="B94" s="63" t="str">
        <f>Quote!AQ91</f>
        <v>17Y</v>
      </c>
      <c r="C94" s="64" t="s">
        <v>6</v>
      </c>
      <c r="D94" s="64" t="s">
        <v>8</v>
      </c>
      <c r="E94" s="64" t="s">
        <v>7</v>
      </c>
      <c r="F94" s="64" t="s">
        <v>132</v>
      </c>
      <c r="G94" s="64" t="str">
        <f t="shared" si="10"/>
        <v>Euribor1YMX#0006</v>
      </c>
      <c r="H94" s="62" t="str">
        <f>IF(ISBLANK(Quote!AS91),"",Quote!AS91)</f>
        <v>EUR1YSW17Y=#0006</v>
      </c>
      <c r="I94" s="62" t="str">
        <f>_xll.qlCompositeQuote(Currency&amp;"1Y"&amp;A94&amp;B94&amp;"_Shifted",H94,BumpValue,"+",Permanent,Trigger,ObjectOverwrite)</f>
        <v>EUR1YSW17Y_Shifted#0006</v>
      </c>
      <c r="J94" s="128">
        <v>0</v>
      </c>
      <c r="K94" s="67" t="str">
        <f>_xll.qlSwapRateHelper2(,IF(Sensitivity,I94,H94),2,B94,Calendar,+D94,E94,F94,G94,J94,C94,Discounting,PillarDate,,Permanent,Trigger,ObjectOverwrite)</f>
        <v>obj_00354#0006</v>
      </c>
      <c r="M94" s="10" t="str">
        <f t="shared" si="11"/>
        <v>SW</v>
      </c>
      <c r="N94" s="95" t="str">
        <f t="shared" si="12"/>
        <v>obj_0035d#0006</v>
      </c>
      <c r="O94" s="146" t="str">
        <f>IFERROR(_xll.qlRateHelperQuoteName(N94,Trigger),"--")</f>
        <v>EUR1YSW21Y_Shifted</v>
      </c>
      <c r="P94" s="99">
        <f>IFERROR(_xll.qlRateHelperQuoteValue($N94,Trigger),"--")</f>
        <v>1.28393308E-2</v>
      </c>
      <c r="Q94" s="98" t="b">
        <v>1</v>
      </c>
      <c r="R94" s="95">
        <v>40</v>
      </c>
      <c r="S94" s="95">
        <v>1</v>
      </c>
      <c r="T94" s="100">
        <f>IFERROR(_xll.qlRateHelperEarliestDate(N94,Trigger),"--")</f>
        <v>42748</v>
      </c>
      <c r="U94" s="100">
        <f>IFERROR(_xll.qlRateHelperPillarDate(N94,Trigger),"--")</f>
        <v>50418</v>
      </c>
      <c r="W94" s="162" t="str">
        <f t="shared" si="14"/>
        <v/>
      </c>
      <c r="X94" s="162" t="e">
        <v>#N/A</v>
      </c>
      <c r="Y94" s="162" t="str">
        <f>IFERROR(_xll.qlRateHelperQuoteName(X94,Trigger),"")</f>
        <v/>
      </c>
      <c r="Z94" s="184" t="str">
        <f>IFERROR(_xll.qlRateHelperRate(X94,Trigger),"")</f>
        <v/>
      </c>
      <c r="AA94" s="185" t="str">
        <f>IF(ISERROR(_xll.qlSwapRateHelperSpread($X94)),IF(ISERROR(_xll.qlFuturesRateHelperConvexityAdjustment($X94)),"",_xll.qlFuturesRateHelperConvexityAdjustment($X94)),_xll.qlSwapRateHelperSpread($X94))</f>
        <v/>
      </c>
      <c r="AB94" s="163" t="str">
        <f>IFERROR(_xll.qlRateHelperEarliestDate(X94,Trigger),"")</f>
        <v/>
      </c>
      <c r="AC94" s="163" t="str">
        <f>IFERROR(_xll.qlRateHelperPillarDate(X94,Trigger),"")</f>
        <v/>
      </c>
      <c r="AD94" s="184" t="e">
        <v>#N/A</v>
      </c>
    </row>
    <row r="95" spans="1:30" x14ac:dyDescent="0.2">
      <c r="A95" s="62" t="str">
        <f>Quote!AP92</f>
        <v>SW</v>
      </c>
      <c r="B95" s="63" t="str">
        <f>Quote!AQ92</f>
        <v>18Y</v>
      </c>
      <c r="C95" s="64" t="s">
        <v>6</v>
      </c>
      <c r="D95" s="64" t="s">
        <v>8</v>
      </c>
      <c r="E95" s="64" t="s">
        <v>7</v>
      </c>
      <c r="F95" s="64" t="s">
        <v>132</v>
      </c>
      <c r="G95" s="64" t="str">
        <f t="shared" si="10"/>
        <v>Euribor1YMX#0006</v>
      </c>
      <c r="H95" s="62" t="str">
        <f>IF(ISBLANK(Quote!AS92),"",Quote!AS92)</f>
        <v>EUR1YSW18Y=#0006</v>
      </c>
      <c r="I95" s="62" t="str">
        <f>_xll.qlCompositeQuote(Currency&amp;"1Y"&amp;A95&amp;B95&amp;"_Shifted",H95,BumpValue,"+",Permanent,Trigger,ObjectOverwrite)</f>
        <v>EUR1YSW18Y_Shifted#0006</v>
      </c>
      <c r="J95" s="128">
        <v>0</v>
      </c>
      <c r="K95" s="67" t="str">
        <f>_xll.qlSwapRateHelper2(,IF(Sensitivity,I95,H95),2,B95,Calendar,+D95,E95,F95,G95,J95,C95,Discounting,PillarDate,,Permanent,Trigger,ObjectOverwrite)</f>
        <v>obj_00387#0006</v>
      </c>
      <c r="M95" s="10" t="str">
        <f t="shared" si="11"/>
        <v>SW</v>
      </c>
      <c r="N95" s="95" t="str">
        <f t="shared" si="12"/>
        <v>obj_003c7#0006</v>
      </c>
      <c r="O95" s="146" t="str">
        <f>IFERROR(_xll.qlRateHelperQuoteName(N95,Trigger),"--")</f>
        <v>EUR1YSW22Y_Shifted</v>
      </c>
      <c r="P95" s="99">
        <f>IFERROR(_xll.qlRateHelperQuoteValue($N95,Trigger),"--")</f>
        <v>1.293764759E-2</v>
      </c>
      <c r="Q95" s="98" t="b">
        <v>1</v>
      </c>
      <c r="R95" s="95">
        <v>40</v>
      </c>
      <c r="S95" s="95">
        <v>1</v>
      </c>
      <c r="T95" s="100">
        <f>IFERROR(_xll.qlRateHelperEarliestDate(N95,Trigger),"--")</f>
        <v>42748</v>
      </c>
      <c r="U95" s="100">
        <f>IFERROR(_xll.qlRateHelperPillarDate(N95,Trigger),"--")</f>
        <v>50783</v>
      </c>
      <c r="W95" s="162" t="str">
        <f t="shared" si="14"/>
        <v/>
      </c>
      <c r="X95" s="162" t="e">
        <v>#N/A</v>
      </c>
      <c r="Y95" s="162" t="str">
        <f>IFERROR(_xll.qlRateHelperQuoteName(X95,Trigger),"")</f>
        <v/>
      </c>
      <c r="Z95" s="184" t="str">
        <f>IFERROR(_xll.qlRateHelperRate(X95,Trigger),"")</f>
        <v/>
      </c>
      <c r="AA95" s="185" t="str">
        <f>IF(ISERROR(_xll.qlSwapRateHelperSpread($X95)),IF(ISERROR(_xll.qlFuturesRateHelperConvexityAdjustment($X95)),"",_xll.qlFuturesRateHelperConvexityAdjustment($X95)),_xll.qlSwapRateHelperSpread($X95))</f>
        <v/>
      </c>
      <c r="AB95" s="163" t="str">
        <f>IFERROR(_xll.qlRateHelperEarliestDate(X95,Trigger),"")</f>
        <v/>
      </c>
      <c r="AC95" s="163" t="str">
        <f>IFERROR(_xll.qlRateHelperPillarDate(X95,Trigger),"")</f>
        <v/>
      </c>
      <c r="AD95" s="184" t="e">
        <v>#N/A</v>
      </c>
    </row>
    <row r="96" spans="1:30" x14ac:dyDescent="0.2">
      <c r="A96" s="62" t="str">
        <f>Quote!AP93</f>
        <v>SW</v>
      </c>
      <c r="B96" s="63" t="str">
        <f>Quote!AQ93</f>
        <v>19Y</v>
      </c>
      <c r="C96" s="64" t="s">
        <v>6</v>
      </c>
      <c r="D96" s="64" t="s">
        <v>8</v>
      </c>
      <c r="E96" s="64" t="s">
        <v>7</v>
      </c>
      <c r="F96" s="64" t="s">
        <v>132</v>
      </c>
      <c r="G96" s="64" t="str">
        <f t="shared" si="10"/>
        <v>Euribor1YMX#0006</v>
      </c>
      <c r="H96" s="62" t="str">
        <f>IF(ISBLANK(Quote!AS93),"",Quote!AS93)</f>
        <v>EUR1YSW19Y=#0006</v>
      </c>
      <c r="I96" s="62" t="str">
        <f>_xll.qlCompositeQuote(Currency&amp;"1Y"&amp;A96&amp;B96&amp;"_Shifted",H96,BumpValue,"+",Permanent,Trigger,ObjectOverwrite)</f>
        <v>EUR1YSW19Y_Shifted#0006</v>
      </c>
      <c r="J96" s="128">
        <v>0</v>
      </c>
      <c r="K96" s="67" t="str">
        <f>_xll.qlSwapRateHelper2(,IF(Sensitivity,I96,H96),2,B96,Calendar,+D96,E96,F96,G96,J96,C96,Discounting,PillarDate,,Permanent,Trigger,ObjectOverwrite)</f>
        <v>obj_0039f#0006</v>
      </c>
      <c r="M96" s="10" t="str">
        <f t="shared" si="11"/>
        <v>SW</v>
      </c>
      <c r="N96" s="95" t="str">
        <f t="shared" si="12"/>
        <v>obj_0033d#0006</v>
      </c>
      <c r="O96" s="146" t="str">
        <f>IFERROR(_xll.qlRateHelperQuoteName(N96,Trigger),"--")</f>
        <v>EUR1YSW23Y_Shifted</v>
      </c>
      <c r="P96" s="99">
        <f>IFERROR(_xll.qlRateHelperQuoteValue($N96,Trigger),"--")</f>
        <v>1.301123121E-2</v>
      </c>
      <c r="Q96" s="98" t="b">
        <v>1</v>
      </c>
      <c r="R96" s="95">
        <v>40</v>
      </c>
      <c r="S96" s="95">
        <v>1</v>
      </c>
      <c r="T96" s="100">
        <f>IFERROR(_xll.qlRateHelperEarliestDate(N96,Trigger),"--")</f>
        <v>42748</v>
      </c>
      <c r="U96" s="100">
        <f>IFERROR(_xll.qlRateHelperPillarDate(N96,Trigger),"--")</f>
        <v>51148</v>
      </c>
      <c r="W96" s="162" t="str">
        <f t="shared" si="14"/>
        <v/>
      </c>
      <c r="X96" s="162" t="e">
        <v>#N/A</v>
      </c>
      <c r="Y96" s="162" t="str">
        <f>IFERROR(_xll.qlRateHelperQuoteName(X96,Trigger),"")</f>
        <v/>
      </c>
      <c r="Z96" s="184" t="str">
        <f>IFERROR(_xll.qlRateHelperRate(X96,Trigger),"")</f>
        <v/>
      </c>
      <c r="AA96" s="185" t="str">
        <f>IF(ISERROR(_xll.qlSwapRateHelperSpread($X96)),IF(ISERROR(_xll.qlFuturesRateHelperConvexityAdjustment($X96)),"",_xll.qlFuturesRateHelperConvexityAdjustment($X96)),_xll.qlSwapRateHelperSpread($X96))</f>
        <v/>
      </c>
      <c r="AB96" s="163" t="str">
        <f>IFERROR(_xll.qlRateHelperEarliestDate(X96,Trigger),"")</f>
        <v/>
      </c>
      <c r="AC96" s="163" t="str">
        <f>IFERROR(_xll.qlRateHelperPillarDate(X96,Trigger),"")</f>
        <v/>
      </c>
      <c r="AD96" s="184" t="e">
        <v>#N/A</v>
      </c>
    </row>
    <row r="97" spans="1:30" x14ac:dyDescent="0.2">
      <c r="A97" s="62" t="str">
        <f>Quote!AP94</f>
        <v>SW</v>
      </c>
      <c r="B97" s="63" t="str">
        <f>Quote!AQ94</f>
        <v>20Y</v>
      </c>
      <c r="C97" s="64" t="s">
        <v>6</v>
      </c>
      <c r="D97" s="64" t="s">
        <v>8</v>
      </c>
      <c r="E97" s="64" t="s">
        <v>7</v>
      </c>
      <c r="F97" s="64" t="s">
        <v>132</v>
      </c>
      <c r="G97" s="64" t="str">
        <f t="shared" si="10"/>
        <v>Euribor1YMX#0006</v>
      </c>
      <c r="H97" s="62" t="str">
        <f>IF(ISBLANK(Quote!AS94),"",Quote!AS94)</f>
        <v>EUR1YSW20Y=#0006</v>
      </c>
      <c r="I97" s="62" t="str">
        <f>_xll.qlCompositeQuote(Currency&amp;"1Y"&amp;A97&amp;B97&amp;"_Shifted",H97,BumpValue,"+",Permanent,Trigger,ObjectOverwrite)</f>
        <v>EUR1YSW20Y_Shifted#0006</v>
      </c>
      <c r="J97" s="128">
        <v>0</v>
      </c>
      <c r="K97" s="67" t="str">
        <f>_xll.qlSwapRateHelper2(,IF(Sensitivity,I97,H97),2,B97,Calendar,+D97,E97,F97,G97,J97,C97,Discounting,PillarDate,,Permanent,Trigger,ObjectOverwrite)</f>
        <v>obj_0038f#0006</v>
      </c>
      <c r="M97" s="10" t="str">
        <f t="shared" ref="M97:M115" si="15">A101</f>
        <v>SW</v>
      </c>
      <c r="N97" s="95" t="str">
        <f t="shared" ref="N97:N115" si="16">IF(ISBLANK(K101),"--",K101)</f>
        <v>obj_003ac#0006</v>
      </c>
      <c r="O97" s="146" t="str">
        <f>IFERROR(_xll.qlRateHelperQuoteName(N97,Trigger),"--")</f>
        <v>EUR1YSW24Y_Shifted</v>
      </c>
      <c r="P97" s="99">
        <f>IFERROR(_xll.qlRateHelperQuoteValue($N97,Trigger),"--")</f>
        <v>1.3067740840000001E-2</v>
      </c>
      <c r="Q97" s="98" t="b">
        <v>1</v>
      </c>
      <c r="R97" s="95">
        <v>40</v>
      </c>
      <c r="S97" s="95">
        <v>1</v>
      </c>
      <c r="T97" s="100">
        <f>IFERROR(_xll.qlRateHelperEarliestDate(N97,Trigger),"--")</f>
        <v>42748</v>
      </c>
      <c r="U97" s="100">
        <f>IFERROR(_xll.qlRateHelperPillarDate(N97,Trigger),"--")</f>
        <v>51515</v>
      </c>
      <c r="W97" s="162" t="str">
        <f t="shared" si="14"/>
        <v/>
      </c>
      <c r="X97" s="162" t="e">
        <v>#N/A</v>
      </c>
      <c r="Y97" s="162" t="str">
        <f>IFERROR(_xll.qlRateHelperQuoteName(X97,Trigger),"")</f>
        <v/>
      </c>
      <c r="Z97" s="184" t="str">
        <f>IFERROR(_xll.qlRateHelperRate(X97,Trigger),"")</f>
        <v/>
      </c>
      <c r="AA97" s="185" t="str">
        <f>IF(ISERROR(_xll.qlSwapRateHelperSpread($X97)),IF(ISERROR(_xll.qlFuturesRateHelperConvexityAdjustment($X97)),"",_xll.qlFuturesRateHelperConvexityAdjustment($X97)),_xll.qlSwapRateHelperSpread($X97))</f>
        <v/>
      </c>
      <c r="AB97" s="163" t="str">
        <f>IFERROR(_xll.qlRateHelperEarliestDate(X97,Trigger),"")</f>
        <v/>
      </c>
      <c r="AC97" s="163" t="str">
        <f>IFERROR(_xll.qlRateHelperPillarDate(X97,Trigger),"")</f>
        <v/>
      </c>
      <c r="AD97" s="184" t="e">
        <v>#N/A</v>
      </c>
    </row>
    <row r="98" spans="1:30" x14ac:dyDescent="0.2">
      <c r="A98" s="62" t="str">
        <f>Quote!AP95</f>
        <v>SW</v>
      </c>
      <c r="B98" s="63" t="str">
        <f>Quote!AQ95</f>
        <v>21Y</v>
      </c>
      <c r="C98" s="64" t="s">
        <v>6</v>
      </c>
      <c r="D98" s="64" t="s">
        <v>8</v>
      </c>
      <c r="E98" s="64" t="s">
        <v>7</v>
      </c>
      <c r="F98" s="64" t="s">
        <v>132</v>
      </c>
      <c r="G98" s="64" t="str">
        <f t="shared" si="10"/>
        <v>Euribor1YMX#0006</v>
      </c>
      <c r="H98" s="62" t="str">
        <f>IF(ISBLANK(Quote!AS95),"",Quote!AS95)</f>
        <v>EUR1YSW21Y=#0006</v>
      </c>
      <c r="I98" s="62" t="str">
        <f>_xll.qlCompositeQuote(Currency&amp;"1Y"&amp;A98&amp;B98&amp;"_Shifted",H98,BumpValue,"+",Permanent,Trigger,ObjectOverwrite)</f>
        <v>EUR1YSW21Y_Shifted#0006</v>
      </c>
      <c r="J98" s="128">
        <v>0</v>
      </c>
      <c r="K98" s="67" t="str">
        <f>_xll.qlSwapRateHelper2(,IF(Sensitivity,I98,H98),2,B98,Calendar,+D98,E98,F98,G98,J98,C98,Discounting,PillarDate,,Permanent,Trigger,ObjectOverwrite)</f>
        <v>obj_0035d#0006</v>
      </c>
      <c r="M98" s="10" t="str">
        <f t="shared" si="15"/>
        <v>SW</v>
      </c>
      <c r="N98" s="95" t="str">
        <f t="shared" si="16"/>
        <v>obj_00398#0006</v>
      </c>
      <c r="O98" s="146" t="str">
        <f>IFERROR(_xll.qlRateHelperQuoteName(N98,Trigger),"--")</f>
        <v>EUR1YSW25Y_Shifted</v>
      </c>
      <c r="P98" s="99">
        <f>IFERROR(_xll.qlRateHelperQuoteValue($N98,Trigger),"--")</f>
        <v>1.311E-2</v>
      </c>
      <c r="Q98" s="98" t="b">
        <v>1</v>
      </c>
      <c r="R98" s="95">
        <v>40</v>
      </c>
      <c r="S98" s="95">
        <v>1</v>
      </c>
      <c r="T98" s="100">
        <f>IFERROR(_xll.qlRateHelperEarliestDate(N98,Trigger),"--")</f>
        <v>42748</v>
      </c>
      <c r="U98" s="100">
        <f>IFERROR(_xll.qlRateHelperPillarDate(N98,Trigger),"--")</f>
        <v>51879</v>
      </c>
      <c r="W98" s="162" t="str">
        <f t="shared" si="14"/>
        <v/>
      </c>
      <c r="X98" s="162" t="e">
        <v>#N/A</v>
      </c>
      <c r="Y98" s="162" t="str">
        <f>IFERROR(_xll.qlRateHelperQuoteName(X98,Trigger),"")</f>
        <v/>
      </c>
      <c r="Z98" s="184" t="str">
        <f>IFERROR(_xll.qlRateHelperRate(X98,Trigger),"")</f>
        <v/>
      </c>
      <c r="AA98" s="185" t="str">
        <f>IF(ISERROR(_xll.qlSwapRateHelperSpread($X98)),IF(ISERROR(_xll.qlFuturesRateHelperConvexityAdjustment($X98)),"",_xll.qlFuturesRateHelperConvexityAdjustment($X98)),_xll.qlSwapRateHelperSpread($X98))</f>
        <v/>
      </c>
      <c r="AB98" s="163" t="str">
        <f>IFERROR(_xll.qlRateHelperEarliestDate(X98,Trigger),"")</f>
        <v/>
      </c>
      <c r="AC98" s="163" t="str">
        <f>IFERROR(_xll.qlRateHelperPillarDate(X98,Trigger),"")</f>
        <v/>
      </c>
      <c r="AD98" s="184" t="e">
        <v>#N/A</v>
      </c>
    </row>
    <row r="99" spans="1:30" x14ac:dyDescent="0.2">
      <c r="A99" s="62" t="str">
        <f>Quote!AP96</f>
        <v>SW</v>
      </c>
      <c r="B99" s="63" t="str">
        <f>Quote!AQ96</f>
        <v>22Y</v>
      </c>
      <c r="C99" s="64" t="s">
        <v>6</v>
      </c>
      <c r="D99" s="64" t="s">
        <v>8</v>
      </c>
      <c r="E99" s="64" t="s">
        <v>7</v>
      </c>
      <c r="F99" s="64" t="s">
        <v>132</v>
      </c>
      <c r="G99" s="64" t="str">
        <f t="shared" si="10"/>
        <v>Euribor1YMX#0006</v>
      </c>
      <c r="H99" s="62" t="str">
        <f>IF(ISBLANK(Quote!AS96),"",Quote!AS96)</f>
        <v>EUR1YSW22Y=#0006</v>
      </c>
      <c r="I99" s="62" t="str">
        <f>_xll.qlCompositeQuote(Currency&amp;"1Y"&amp;A99&amp;B99&amp;"_Shifted",H99,BumpValue,"+",Permanent,Trigger,ObjectOverwrite)</f>
        <v>EUR1YSW22Y_Shifted#0006</v>
      </c>
      <c r="J99" s="128">
        <v>0</v>
      </c>
      <c r="K99" s="67" t="str">
        <f>_xll.qlSwapRateHelper2(,IF(Sensitivity,I99,H99),2,B99,Calendar,+D99,E99,F99,G99,J99,C99,Discounting,PillarDate,,Permanent,Trigger,ObjectOverwrite)</f>
        <v>obj_003c7#0006</v>
      </c>
      <c r="M99" s="10" t="str">
        <f t="shared" si="15"/>
        <v>SW</v>
      </c>
      <c r="N99" s="95" t="str">
        <f t="shared" si="16"/>
        <v>obj_00372#0006</v>
      </c>
      <c r="O99" s="146" t="str">
        <f>IFERROR(_xll.qlRateHelperQuoteName(N99,Trigger),"--")</f>
        <v>EUR1YSW26Y_Shifted</v>
      </c>
      <c r="P99" s="99">
        <f>IFERROR(_xll.qlRateHelperQuoteValue($N99,Trigger),"--")</f>
        <v>1.3144970040000002E-2</v>
      </c>
      <c r="Q99" s="98" t="b">
        <v>1</v>
      </c>
      <c r="R99" s="95">
        <v>40</v>
      </c>
      <c r="S99" s="95">
        <v>1</v>
      </c>
      <c r="T99" s="100">
        <f>IFERROR(_xll.qlRateHelperEarliestDate(N99,Trigger),"--")</f>
        <v>42748</v>
      </c>
      <c r="U99" s="100">
        <f>IFERROR(_xll.qlRateHelperPillarDate(N99,Trigger),"--")</f>
        <v>52244</v>
      </c>
      <c r="W99" s="162" t="str">
        <f t="shared" si="14"/>
        <v/>
      </c>
      <c r="X99" s="162" t="e">
        <v>#N/A</v>
      </c>
      <c r="Y99" s="162" t="str">
        <f>IFERROR(_xll.qlRateHelperQuoteName(X99,Trigger),"")</f>
        <v/>
      </c>
      <c r="Z99" s="184" t="str">
        <f>IFERROR(_xll.qlRateHelperRate(X99,Trigger),"")</f>
        <v/>
      </c>
      <c r="AA99" s="185" t="str">
        <f>IF(ISERROR(_xll.qlSwapRateHelperSpread($X99)),IF(ISERROR(_xll.qlFuturesRateHelperConvexityAdjustment($X99)),"",_xll.qlFuturesRateHelperConvexityAdjustment($X99)),_xll.qlSwapRateHelperSpread($X99))</f>
        <v/>
      </c>
      <c r="AB99" s="163" t="str">
        <f>IFERROR(_xll.qlRateHelperEarliestDate(X99,Trigger),"")</f>
        <v/>
      </c>
      <c r="AC99" s="163" t="str">
        <f>IFERROR(_xll.qlRateHelperPillarDate(X99,Trigger),"")</f>
        <v/>
      </c>
      <c r="AD99" s="184" t="e">
        <v>#N/A</v>
      </c>
    </row>
    <row r="100" spans="1:30" x14ac:dyDescent="0.2">
      <c r="A100" s="62" t="str">
        <f>Quote!AP97</f>
        <v>SW</v>
      </c>
      <c r="B100" s="63" t="str">
        <f>Quote!AQ97</f>
        <v>23Y</v>
      </c>
      <c r="C100" s="64" t="s">
        <v>6</v>
      </c>
      <c r="D100" s="64" t="s">
        <v>8</v>
      </c>
      <c r="E100" s="64" t="s">
        <v>7</v>
      </c>
      <c r="F100" s="64" t="s">
        <v>132</v>
      </c>
      <c r="G100" s="64" t="str">
        <f t="shared" si="10"/>
        <v>Euribor1YMX#0006</v>
      </c>
      <c r="H100" s="62" t="str">
        <f>IF(ISBLANK(Quote!AS97),"",Quote!AS97)</f>
        <v>EUR1YSW23Y=#0006</v>
      </c>
      <c r="I100" s="62" t="str">
        <f>_xll.qlCompositeQuote(Currency&amp;"1Y"&amp;A100&amp;B100&amp;"_Shifted",H100,BumpValue,"+",Permanent,Trigger,ObjectOverwrite)</f>
        <v>EUR1YSW23Y_Shifted#0006</v>
      </c>
      <c r="J100" s="128">
        <v>0</v>
      </c>
      <c r="K100" s="67" t="str">
        <f>_xll.qlSwapRateHelper2(,IF(Sensitivity,I100,H100),2,B100,Calendar,+D100,E100,F100,G100,J100,C100,Discounting,PillarDate,,Permanent,Trigger,ObjectOverwrite)</f>
        <v>obj_0033d#0006</v>
      </c>
      <c r="M100" s="10" t="str">
        <f t="shared" si="15"/>
        <v>SW</v>
      </c>
      <c r="N100" s="95" t="str">
        <f t="shared" si="16"/>
        <v>obj_00342#0006</v>
      </c>
      <c r="O100" s="146" t="str">
        <f>IFERROR(_xll.qlRateHelperQuoteName(N100,Trigger),"--")</f>
        <v>EUR1YSW27Y_Shifted</v>
      </c>
      <c r="P100" s="99">
        <f>IFERROR(_xll.qlRateHelperQuoteValue($N100,Trigger),"--")</f>
        <v>1.3174357890000002E-2</v>
      </c>
      <c r="Q100" s="98" t="b">
        <v>1</v>
      </c>
      <c r="R100" s="95">
        <v>40</v>
      </c>
      <c r="S100" s="95">
        <v>1</v>
      </c>
      <c r="T100" s="100">
        <f>IFERROR(_xll.qlRateHelperEarliestDate(N100,Trigger),"--")</f>
        <v>42748</v>
      </c>
      <c r="U100" s="100">
        <f>IFERROR(_xll.qlRateHelperPillarDate(N100,Trigger),"--")</f>
        <v>52609</v>
      </c>
      <c r="W100" s="162" t="str">
        <f t="shared" si="14"/>
        <v/>
      </c>
      <c r="X100" s="162" t="e">
        <v>#N/A</v>
      </c>
      <c r="Y100" s="162" t="str">
        <f>IFERROR(_xll.qlRateHelperQuoteName(X100,Trigger),"")</f>
        <v/>
      </c>
      <c r="Z100" s="184" t="str">
        <f>IFERROR(_xll.qlRateHelperRate(X100,Trigger),"")</f>
        <v/>
      </c>
      <c r="AA100" s="185" t="str">
        <f>IF(ISERROR(_xll.qlSwapRateHelperSpread($X100)),IF(ISERROR(_xll.qlFuturesRateHelperConvexityAdjustment($X100)),"",_xll.qlFuturesRateHelperConvexityAdjustment($X100)),_xll.qlSwapRateHelperSpread($X100))</f>
        <v/>
      </c>
      <c r="AB100" s="163" t="str">
        <f>IFERROR(_xll.qlRateHelperEarliestDate(X100,Trigger),"")</f>
        <v/>
      </c>
      <c r="AC100" s="163" t="str">
        <f>IFERROR(_xll.qlRateHelperPillarDate(X100,Trigger),"")</f>
        <v/>
      </c>
      <c r="AD100" s="184" t="e">
        <v>#N/A</v>
      </c>
    </row>
    <row r="101" spans="1:30" x14ac:dyDescent="0.2">
      <c r="A101" s="62" t="str">
        <f>Quote!AP98</f>
        <v>SW</v>
      </c>
      <c r="B101" s="63" t="str">
        <f>Quote!AQ98</f>
        <v>24Y</v>
      </c>
      <c r="C101" s="64" t="s">
        <v>6</v>
      </c>
      <c r="D101" s="64" t="s">
        <v>8</v>
      </c>
      <c r="E101" s="64" t="s">
        <v>7</v>
      </c>
      <c r="F101" s="64" t="s">
        <v>132</v>
      </c>
      <c r="G101" s="64" t="str">
        <f t="shared" si="10"/>
        <v>Euribor1YMX#0006</v>
      </c>
      <c r="H101" s="62" t="str">
        <f>IF(ISBLANK(Quote!AS98),"",Quote!AS98)</f>
        <v>EUR1YSW24Y=#0006</v>
      </c>
      <c r="I101" s="62" t="str">
        <f>_xll.qlCompositeQuote(Currency&amp;"1Y"&amp;A101&amp;B101&amp;"_Shifted",H101,BumpValue,"+",Permanent,Trigger,ObjectOverwrite)</f>
        <v>EUR1YSW24Y_Shifted#0006</v>
      </c>
      <c r="J101" s="128">
        <v>0</v>
      </c>
      <c r="K101" s="67" t="str">
        <f>_xll.qlSwapRateHelper2(,IF(Sensitivity,I101,H101),2,B101,Calendar,+D101,E101,F101,G101,J101,C101,Discounting,PillarDate,,Permanent,Trigger,ObjectOverwrite)</f>
        <v>obj_003ac#0006</v>
      </c>
      <c r="M101" s="10" t="str">
        <f t="shared" si="15"/>
        <v>SW</v>
      </c>
      <c r="N101" s="95" t="str">
        <f t="shared" si="16"/>
        <v>obj_003b8#0006</v>
      </c>
      <c r="O101" s="146" t="str">
        <f>IFERROR(_xll.qlRateHelperQuoteName(N101,Trigger),"--")</f>
        <v>EUR1YSW28Y_Shifted</v>
      </c>
      <c r="P101" s="99">
        <f>IFERROR(_xll.qlRateHelperQuoteValue($N101,Trigger),"--")</f>
        <v>1.3200284770000001E-2</v>
      </c>
      <c r="Q101" s="98" t="b">
        <v>1</v>
      </c>
      <c r="R101" s="95">
        <v>40</v>
      </c>
      <c r="S101" s="95">
        <v>1</v>
      </c>
      <c r="T101" s="100">
        <f>IFERROR(_xll.qlRateHelperEarliestDate(N101,Trigger),"--")</f>
        <v>42748</v>
      </c>
      <c r="U101" s="100">
        <f>IFERROR(_xll.qlRateHelperPillarDate(N101,Trigger),"--")</f>
        <v>52975</v>
      </c>
      <c r="W101" s="162" t="str">
        <f t="shared" si="14"/>
        <v/>
      </c>
      <c r="X101" s="162" t="e">
        <v>#N/A</v>
      </c>
      <c r="Y101" s="162" t="str">
        <f>IFERROR(_xll.qlRateHelperQuoteName(X101,Trigger),"")</f>
        <v/>
      </c>
      <c r="Z101" s="184" t="str">
        <f>IFERROR(_xll.qlRateHelperRate(X101,Trigger),"")</f>
        <v/>
      </c>
      <c r="AA101" s="185" t="str">
        <f>IF(ISERROR(_xll.qlSwapRateHelperSpread($X101)),IF(ISERROR(_xll.qlFuturesRateHelperConvexityAdjustment($X101)),"",_xll.qlFuturesRateHelperConvexityAdjustment($X101)),_xll.qlSwapRateHelperSpread($X101))</f>
        <v/>
      </c>
      <c r="AB101" s="163" t="str">
        <f>IFERROR(_xll.qlRateHelperEarliestDate(X101,Trigger),"")</f>
        <v/>
      </c>
      <c r="AC101" s="163" t="str">
        <f>IFERROR(_xll.qlRateHelperPillarDate(X101,Trigger),"")</f>
        <v/>
      </c>
      <c r="AD101" s="184" t="e">
        <v>#N/A</v>
      </c>
    </row>
    <row r="102" spans="1:30" x14ac:dyDescent="0.2">
      <c r="A102" s="62" t="str">
        <f>Quote!AP99</f>
        <v>SW</v>
      </c>
      <c r="B102" s="63" t="str">
        <f>Quote!AQ99</f>
        <v>25Y</v>
      </c>
      <c r="C102" s="64" t="s">
        <v>6</v>
      </c>
      <c r="D102" s="64" t="s">
        <v>8</v>
      </c>
      <c r="E102" s="64" t="s">
        <v>7</v>
      </c>
      <c r="F102" s="64" t="s">
        <v>132</v>
      </c>
      <c r="G102" s="64" t="str">
        <f t="shared" si="10"/>
        <v>Euribor1YMX#0006</v>
      </c>
      <c r="H102" s="62" t="str">
        <f>IF(ISBLANK(Quote!AS99),"",Quote!AS99)</f>
        <v>EUR1YSW25Y=#0006</v>
      </c>
      <c r="I102" s="62" t="str">
        <f>_xll.qlCompositeQuote(Currency&amp;"1Y"&amp;A102&amp;B102&amp;"_Shifted",H102,BumpValue,"+",Permanent,Trigger,ObjectOverwrite)</f>
        <v>EUR1YSW25Y_Shifted#0006</v>
      </c>
      <c r="J102" s="128">
        <v>0</v>
      </c>
      <c r="K102" s="67" t="str">
        <f>_xll.qlSwapRateHelper2(,IF(Sensitivity,I102,H102),2,B102,Calendar,+D102,E102,F102,G102,J102,C102,Discounting,PillarDate,,Permanent,Trigger,ObjectOverwrite)</f>
        <v>obj_00398#0006</v>
      </c>
      <c r="M102" s="10" t="str">
        <f t="shared" si="15"/>
        <v>SW</v>
      </c>
      <c r="N102" s="95" t="str">
        <f t="shared" si="16"/>
        <v>obj_0034b#0006</v>
      </c>
      <c r="O102" s="146" t="str">
        <f>IFERROR(_xll.qlRateHelperQuoteName(N102,Trigger),"--")</f>
        <v>EUR1YSW29Y_Shifted</v>
      </c>
      <c r="P102" s="99">
        <f>IFERROR(_xll.qlRateHelperQuoteValue($N102,Trigger),"--")</f>
        <v>1.3221538370000001E-2</v>
      </c>
      <c r="Q102" s="98" t="b">
        <v>1</v>
      </c>
      <c r="R102" s="95">
        <v>40</v>
      </c>
      <c r="S102" s="95">
        <v>1</v>
      </c>
      <c r="T102" s="100">
        <f>IFERROR(_xll.qlRateHelperEarliestDate(N102,Trigger),"--")</f>
        <v>42748</v>
      </c>
      <c r="U102" s="100">
        <f>IFERROR(_xll.qlRateHelperPillarDate(N102,Trigger),"--")</f>
        <v>53342</v>
      </c>
      <c r="W102" s="162" t="str">
        <f t="shared" si="14"/>
        <v/>
      </c>
      <c r="X102" s="162" t="e">
        <v>#N/A</v>
      </c>
      <c r="Y102" s="162" t="str">
        <f>IFERROR(_xll.qlRateHelperQuoteName(X102,Trigger),"")</f>
        <v/>
      </c>
      <c r="Z102" s="184" t="str">
        <f>IFERROR(_xll.qlRateHelperRate(X102,Trigger),"")</f>
        <v/>
      </c>
      <c r="AA102" s="185" t="str">
        <f>IF(ISERROR(_xll.qlSwapRateHelperSpread($X102)),IF(ISERROR(_xll.qlFuturesRateHelperConvexityAdjustment($X102)),"",_xll.qlFuturesRateHelperConvexityAdjustment($X102)),_xll.qlSwapRateHelperSpread($X102))</f>
        <v/>
      </c>
      <c r="AB102" s="163" t="str">
        <f>IFERROR(_xll.qlRateHelperEarliestDate(X102,Trigger),"")</f>
        <v/>
      </c>
      <c r="AC102" s="163" t="str">
        <f>IFERROR(_xll.qlRateHelperPillarDate(X102,Trigger),"")</f>
        <v/>
      </c>
      <c r="AD102" s="184" t="e">
        <v>#N/A</v>
      </c>
    </row>
    <row r="103" spans="1:30" x14ac:dyDescent="0.2">
      <c r="A103" s="62" t="str">
        <f>Quote!AP100</f>
        <v>SW</v>
      </c>
      <c r="B103" s="63" t="str">
        <f>Quote!AQ100</f>
        <v>26Y</v>
      </c>
      <c r="C103" s="64" t="s">
        <v>6</v>
      </c>
      <c r="D103" s="64" t="s">
        <v>8</v>
      </c>
      <c r="E103" s="64" t="s">
        <v>7</v>
      </c>
      <c r="F103" s="64" t="s">
        <v>132</v>
      </c>
      <c r="G103" s="64" t="str">
        <f t="shared" si="10"/>
        <v>Euribor1YMX#0006</v>
      </c>
      <c r="H103" s="62" t="str">
        <f>IF(ISBLANK(Quote!AS100),"",Quote!AS100)</f>
        <v>EUR1YSW26Y=#0006</v>
      </c>
      <c r="I103" s="62" t="str">
        <f>_xll.qlCompositeQuote(Currency&amp;"1Y"&amp;A103&amp;B103&amp;"_Shifted",H103,BumpValue,"+",Permanent,Trigger,ObjectOverwrite)</f>
        <v>EUR1YSW26Y_Shifted#0006</v>
      </c>
      <c r="J103" s="128">
        <v>0</v>
      </c>
      <c r="K103" s="67" t="str">
        <f>_xll.qlSwapRateHelper2(,IF(Sensitivity,I103,H103),2,B103,Calendar,+D103,E103,F103,G103,J103,C103,Discounting,PillarDate,,Permanent,Trigger,ObjectOverwrite)</f>
        <v>obj_00372#0006</v>
      </c>
      <c r="M103" s="10" t="str">
        <f t="shared" si="15"/>
        <v>SW</v>
      </c>
      <c r="N103" s="95" t="str">
        <f t="shared" si="16"/>
        <v>obj_003a3#0006</v>
      </c>
      <c r="O103" s="146" t="str">
        <f>IFERROR(_xll.qlRateHelperQuoteName(N103,Trigger),"--")</f>
        <v>EUR1YSW30Y_Shifted</v>
      </c>
      <c r="P103" s="99">
        <f>IFERROR(_xll.qlRateHelperQuoteValue($N103,Trigger),"--")</f>
        <v>1.324E-2</v>
      </c>
      <c r="Q103" s="98" t="b">
        <v>1</v>
      </c>
      <c r="R103" s="95">
        <v>40</v>
      </c>
      <c r="S103" s="95">
        <v>1</v>
      </c>
      <c r="T103" s="100">
        <f>IFERROR(_xll.qlRateHelperEarliestDate(N103,Trigger),"--")</f>
        <v>42748</v>
      </c>
      <c r="U103" s="100">
        <f>IFERROR(_xll.qlRateHelperPillarDate(N103,Trigger),"--")</f>
        <v>53706</v>
      </c>
      <c r="W103" s="162" t="str">
        <f t="shared" si="14"/>
        <v/>
      </c>
      <c r="X103" s="162" t="e">
        <v>#N/A</v>
      </c>
      <c r="Y103" s="162" t="str">
        <f>IFERROR(_xll.qlRateHelperQuoteName(X103,Trigger),"")</f>
        <v/>
      </c>
      <c r="Z103" s="184" t="str">
        <f>IFERROR(_xll.qlRateHelperRate(X103,Trigger),"")</f>
        <v/>
      </c>
      <c r="AA103" s="185" t="str">
        <f>IF(ISERROR(_xll.qlSwapRateHelperSpread($X103)),IF(ISERROR(_xll.qlFuturesRateHelperConvexityAdjustment($X103)),"",_xll.qlFuturesRateHelperConvexityAdjustment($X103)),_xll.qlSwapRateHelperSpread($X103))</f>
        <v/>
      </c>
      <c r="AB103" s="163" t="str">
        <f>IFERROR(_xll.qlRateHelperEarliestDate(X103,Trigger),"")</f>
        <v/>
      </c>
      <c r="AC103" s="163" t="str">
        <f>IFERROR(_xll.qlRateHelperPillarDate(X103,Trigger),"")</f>
        <v/>
      </c>
      <c r="AD103" s="184" t="e">
        <v>#N/A</v>
      </c>
    </row>
    <row r="104" spans="1:30" x14ac:dyDescent="0.2">
      <c r="A104" s="62" t="str">
        <f>Quote!AP101</f>
        <v>SW</v>
      </c>
      <c r="B104" s="63" t="str">
        <f>Quote!AQ101</f>
        <v>27Y</v>
      </c>
      <c r="C104" s="64" t="s">
        <v>6</v>
      </c>
      <c r="D104" s="64" t="s">
        <v>8</v>
      </c>
      <c r="E104" s="64" t="s">
        <v>7</v>
      </c>
      <c r="F104" s="64" t="s">
        <v>132</v>
      </c>
      <c r="G104" s="64" t="str">
        <f t="shared" si="10"/>
        <v>Euribor1YMX#0006</v>
      </c>
      <c r="H104" s="62" t="str">
        <f>IF(ISBLANK(Quote!AS101),"",Quote!AS101)</f>
        <v>EUR1YSW27Y=#0006</v>
      </c>
      <c r="I104" s="62" t="str">
        <f>_xll.qlCompositeQuote(Currency&amp;"1Y"&amp;A104&amp;B104&amp;"_Shifted",H104,BumpValue,"+",Permanent,Trigger,ObjectOverwrite)</f>
        <v>EUR1YSW27Y_Shifted#0006</v>
      </c>
      <c r="J104" s="128">
        <v>0</v>
      </c>
      <c r="K104" s="67" t="str">
        <f>_xll.qlSwapRateHelper2(,IF(Sensitivity,I104,H104),2,B104,Calendar,+D104,E104,F104,G104,J104,C104,Discounting,PillarDate,,Permanent,Trigger,ObjectOverwrite)</f>
        <v>obj_00342#0006</v>
      </c>
      <c r="M104" s="10" t="str">
        <f t="shared" si="15"/>
        <v>SW</v>
      </c>
      <c r="N104" s="95" t="str">
        <f t="shared" si="16"/>
        <v>obj_0038e#0006</v>
      </c>
      <c r="O104" s="146" t="str">
        <f>IFERROR(_xll.qlRateHelperQuoteName(N104,Trigger),"--")</f>
        <v>EUR1YSW31Y_Shifted</v>
      </c>
      <c r="P104" s="99">
        <f>IFERROR(_xll.qlRateHelperQuoteValue($N104,Trigger),"--")</f>
        <v>1.3256374900000001E-2</v>
      </c>
      <c r="Q104" s="98" t="b">
        <v>1</v>
      </c>
      <c r="R104" s="95">
        <v>40</v>
      </c>
      <c r="S104" s="95">
        <v>1</v>
      </c>
      <c r="T104" s="100">
        <f>IFERROR(_xll.qlRateHelperEarliestDate(N104,Trigger),"--")</f>
        <v>42748</v>
      </c>
      <c r="U104" s="100">
        <f>IFERROR(_xll.qlRateHelperPillarDate(N104,Trigger),"--")</f>
        <v>54070</v>
      </c>
      <c r="W104" s="162"/>
      <c r="X104" s="162" t="e">
        <v>#N/A</v>
      </c>
      <c r="Y104" s="162" t="str">
        <f>IFERROR(_xll.qlRateHelperQuoteName(X104,Trigger),"")</f>
        <v/>
      </c>
      <c r="Z104" s="184" t="str">
        <f>IFERROR(_xll.qlRateHelperRate(X104,Trigger),"")</f>
        <v/>
      </c>
      <c r="AA104" s="185" t="str">
        <f>IF(ISERROR(_xll.qlSwapRateHelperSpread($X104)),IF(ISERROR(_xll.qlFuturesRateHelperConvexityAdjustment($X104)),"",_xll.qlFuturesRateHelperConvexityAdjustment($X104)),_xll.qlSwapRateHelperSpread($X104))</f>
        <v/>
      </c>
      <c r="AB104" s="163" t="str">
        <f>IFERROR(_xll.qlRateHelperEarliestDate(X104,Trigger),"")</f>
        <v/>
      </c>
      <c r="AC104" s="163" t="str">
        <f>IFERROR(_xll.qlRateHelperPillarDate(X104,Trigger),"")</f>
        <v/>
      </c>
      <c r="AD104" s="184" t="e">
        <v>#N/A</v>
      </c>
    </row>
    <row r="105" spans="1:30" x14ac:dyDescent="0.2">
      <c r="A105" s="62" t="str">
        <f>Quote!AP102</f>
        <v>SW</v>
      </c>
      <c r="B105" s="63" t="str">
        <f>Quote!AQ102</f>
        <v>28Y</v>
      </c>
      <c r="C105" s="64" t="s">
        <v>6</v>
      </c>
      <c r="D105" s="64" t="s">
        <v>8</v>
      </c>
      <c r="E105" s="64" t="s">
        <v>7</v>
      </c>
      <c r="F105" s="64" t="s">
        <v>132</v>
      </c>
      <c r="G105" s="64" t="str">
        <f t="shared" si="10"/>
        <v>Euribor1YMX#0006</v>
      </c>
      <c r="H105" s="62" t="str">
        <f>IF(ISBLANK(Quote!AS102),"",Quote!AS102)</f>
        <v>EUR1YSW28Y=#0006</v>
      </c>
      <c r="I105" s="62" t="str">
        <f>_xll.qlCompositeQuote(Currency&amp;"1Y"&amp;A105&amp;B105&amp;"_Shifted",H105,BumpValue,"+",Permanent,Trigger,ObjectOverwrite)</f>
        <v>EUR1YSW28Y_Shifted#0006</v>
      </c>
      <c r="J105" s="128">
        <v>0</v>
      </c>
      <c r="K105" s="67" t="str">
        <f>_xll.qlSwapRateHelper2(,IF(Sensitivity,I105,H105),2,B105,Calendar,+D105,E105,F105,G105,J105,C105,Discounting,PillarDate,,Permanent,Trigger,ObjectOverwrite)</f>
        <v>obj_003b8#0006</v>
      </c>
      <c r="M105" s="10" t="str">
        <f t="shared" si="15"/>
        <v>SW</v>
      </c>
      <c r="N105" s="95" t="str">
        <f t="shared" si="16"/>
        <v>obj_003db#0006</v>
      </c>
      <c r="O105" s="146" t="str">
        <f>IFERROR(_xll.qlRateHelperQuoteName(N105,Trigger),"--")</f>
        <v>EUR1YSW32Y_Shifted</v>
      </c>
      <c r="P105" s="99">
        <f>IFERROR(_xll.qlRateHelperQuoteValue($N105,Trigger),"--")</f>
        <v>1.3271155970000002E-2</v>
      </c>
      <c r="Q105" s="98" t="b">
        <v>1</v>
      </c>
      <c r="R105" s="95">
        <v>40</v>
      </c>
      <c r="S105" s="95">
        <v>1</v>
      </c>
      <c r="T105" s="100">
        <f>IFERROR(_xll.qlRateHelperEarliestDate(N105,Trigger),"--")</f>
        <v>42748</v>
      </c>
      <c r="U105" s="100">
        <f>IFERROR(_xll.qlRateHelperPillarDate(N105,Trigger),"--")</f>
        <v>54436</v>
      </c>
      <c r="W105" s="162"/>
      <c r="X105" s="162" t="e">
        <v>#N/A</v>
      </c>
      <c r="Y105" s="162" t="str">
        <f>IFERROR(_xll.qlRateHelperQuoteName(X105,Trigger),"")</f>
        <v/>
      </c>
      <c r="Z105" s="184" t="str">
        <f>IFERROR(_xll.qlRateHelperRate(X105,Trigger),"")</f>
        <v/>
      </c>
      <c r="AA105" s="185" t="str">
        <f>IF(ISERROR(_xll.qlSwapRateHelperSpread($X105)),IF(ISERROR(_xll.qlFuturesRateHelperConvexityAdjustment($X105)),"",_xll.qlFuturesRateHelperConvexityAdjustment($X105)),_xll.qlSwapRateHelperSpread($X105))</f>
        <v/>
      </c>
      <c r="AB105" s="163" t="str">
        <f>IFERROR(_xll.qlRateHelperEarliestDate(X105,Trigger),"")</f>
        <v/>
      </c>
      <c r="AC105" s="163" t="str">
        <f>IFERROR(_xll.qlRateHelperPillarDate(X105,Trigger),"")</f>
        <v/>
      </c>
      <c r="AD105" s="184" t="e">
        <v>#N/A</v>
      </c>
    </row>
    <row r="106" spans="1:30" x14ac:dyDescent="0.2">
      <c r="A106" s="62" t="str">
        <f>Quote!AP103</f>
        <v>SW</v>
      </c>
      <c r="B106" s="63" t="str">
        <f>Quote!AQ103</f>
        <v>29Y</v>
      </c>
      <c r="C106" s="64" t="s">
        <v>6</v>
      </c>
      <c r="D106" s="64" t="s">
        <v>8</v>
      </c>
      <c r="E106" s="64" t="s">
        <v>7</v>
      </c>
      <c r="F106" s="64" t="s">
        <v>132</v>
      </c>
      <c r="G106" s="64" t="str">
        <f t="shared" si="10"/>
        <v>Euribor1YMX#0006</v>
      </c>
      <c r="H106" s="62" t="str">
        <f>IF(ISBLANK(Quote!AS103),"",Quote!AS103)</f>
        <v>EUR1YSW29Y=#0006</v>
      </c>
      <c r="I106" s="62" t="str">
        <f>_xll.qlCompositeQuote(Currency&amp;"1Y"&amp;A106&amp;B106&amp;"_Shifted",H106,BumpValue,"+",Permanent,Trigger,ObjectOverwrite)</f>
        <v>EUR1YSW29Y_Shifted#0006</v>
      </c>
      <c r="J106" s="128">
        <v>0</v>
      </c>
      <c r="K106" s="67" t="str">
        <f>_xll.qlSwapRateHelper2(,IF(Sensitivity,I106,H106),2,B106,Calendar,+D106,E106,F106,G106,J106,C106,Discounting,PillarDate,,Permanent,Trigger,ObjectOverwrite)</f>
        <v>obj_0034b#0006</v>
      </c>
      <c r="M106" s="10" t="str">
        <f t="shared" si="15"/>
        <v>SW</v>
      </c>
      <c r="N106" s="95" t="str">
        <f t="shared" si="16"/>
        <v>obj_003ad#0006</v>
      </c>
      <c r="O106" s="146" t="str">
        <f>IFERROR(_xll.qlRateHelperQuoteName(N106,Trigger),"--")</f>
        <v>EUR1YSW33Y_Shifted</v>
      </c>
      <c r="P106" s="99">
        <f>IFERROR(_xll.qlRateHelperQuoteValue($N106,Trigger),"--")</f>
        <v>1.328179596E-2</v>
      </c>
      <c r="Q106" s="98" t="b">
        <v>1</v>
      </c>
      <c r="R106" s="95">
        <v>40</v>
      </c>
      <c r="S106" s="95">
        <v>1</v>
      </c>
      <c r="T106" s="100">
        <f>IFERROR(_xll.qlRateHelperEarliestDate(N106,Trigger),"--")</f>
        <v>42748</v>
      </c>
      <c r="U106" s="100">
        <f>IFERROR(_xll.qlRateHelperPillarDate(N106,Trigger),"--")</f>
        <v>54801</v>
      </c>
      <c r="W106" s="162"/>
      <c r="X106" s="162" t="e">
        <v>#N/A</v>
      </c>
      <c r="Y106" s="162" t="str">
        <f>IFERROR(_xll.qlRateHelperQuoteName(X106,Trigger),"")</f>
        <v/>
      </c>
      <c r="Z106" s="184" t="str">
        <f>IFERROR(_xll.qlRateHelperRate(X106,Trigger),"")</f>
        <v/>
      </c>
      <c r="AA106" s="185" t="str">
        <f>IF(ISERROR(_xll.qlSwapRateHelperSpread($X106)),IF(ISERROR(_xll.qlFuturesRateHelperConvexityAdjustment($X106)),"",_xll.qlFuturesRateHelperConvexityAdjustment($X106)),_xll.qlSwapRateHelperSpread($X106))</f>
        <v/>
      </c>
      <c r="AB106" s="163" t="str">
        <f>IFERROR(_xll.qlRateHelperEarliestDate(X106,Trigger),"")</f>
        <v/>
      </c>
      <c r="AC106" s="163" t="str">
        <f>IFERROR(_xll.qlRateHelperPillarDate(X106,Trigger),"")</f>
        <v/>
      </c>
      <c r="AD106" s="184" t="e">
        <v>#N/A</v>
      </c>
    </row>
    <row r="107" spans="1:30" x14ac:dyDescent="0.2">
      <c r="A107" s="62" t="str">
        <f>Quote!AP104</f>
        <v>SW</v>
      </c>
      <c r="B107" s="63" t="str">
        <f>Quote!AQ104</f>
        <v>30Y</v>
      </c>
      <c r="C107" s="64" t="s">
        <v>6</v>
      </c>
      <c r="D107" s="64" t="s">
        <v>8</v>
      </c>
      <c r="E107" s="64" t="s">
        <v>7</v>
      </c>
      <c r="F107" s="64" t="s">
        <v>132</v>
      </c>
      <c r="G107" s="64" t="str">
        <f t="shared" si="10"/>
        <v>Euribor1YMX#0006</v>
      </c>
      <c r="H107" s="62" t="str">
        <f>IF(ISBLANK(Quote!AS104),"",Quote!AS104)</f>
        <v>EUR1YSW30Y=#0006</v>
      </c>
      <c r="I107" s="62" t="str">
        <f>_xll.qlCompositeQuote(Currency&amp;"1Y"&amp;A107&amp;B107&amp;"_Shifted",H107,BumpValue,"+",Permanent,Trigger,ObjectOverwrite)</f>
        <v>EUR1YSW30Y_Shifted#0006</v>
      </c>
      <c r="J107" s="128">
        <v>0</v>
      </c>
      <c r="K107" s="67" t="str">
        <f>_xll.qlSwapRateHelper2(,IF(Sensitivity,I107,H107),2,B107,Calendar,+D107,E107,F107,G107,J107,C107,Discounting,PillarDate,,Permanent,Trigger,ObjectOverwrite)</f>
        <v>obj_003a3#0006</v>
      </c>
      <c r="M107" s="10" t="str">
        <f t="shared" si="15"/>
        <v>SW</v>
      </c>
      <c r="N107" s="95" t="str">
        <f t="shared" si="16"/>
        <v>obj_00370#0006</v>
      </c>
      <c r="O107" s="146" t="str">
        <f>IFERROR(_xll.qlRateHelperQuoteName(N107,Trigger),"--")</f>
        <v>EUR1YSW34Y_Shifted</v>
      </c>
      <c r="P107" s="99">
        <f>IFERROR(_xll.qlRateHelperQuoteValue($N107,Trigger),"--")</f>
        <v>1.3288681340000002E-2</v>
      </c>
      <c r="Q107" s="98" t="b">
        <v>1</v>
      </c>
      <c r="R107" s="95">
        <v>40</v>
      </c>
      <c r="S107" s="95">
        <v>1</v>
      </c>
      <c r="T107" s="100">
        <f>IFERROR(_xll.qlRateHelperEarliestDate(N107,Trigger),"--")</f>
        <v>42748</v>
      </c>
      <c r="U107" s="100">
        <f>IFERROR(_xll.qlRateHelperPillarDate(N107,Trigger),"--")</f>
        <v>55166</v>
      </c>
      <c r="W107" s="162" t="str">
        <f t="shared" ref="W107:W115" si="17">IFERROR(INDEX($M$3:$M$115,MATCH(Y107,$O$3:$O$115,0),1),"")</f>
        <v/>
      </c>
      <c r="X107" s="162" t="e">
        <v>#N/A</v>
      </c>
      <c r="Y107" s="162" t="str">
        <f>IFERROR(_xll.qlRateHelperQuoteName(X107,Trigger),"")</f>
        <v/>
      </c>
      <c r="Z107" s="184" t="str">
        <f>IFERROR(_xll.qlRateHelperRate(X107,Trigger),"")</f>
        <v/>
      </c>
      <c r="AA107" s="185" t="str">
        <f>IF(ISERROR(_xll.qlSwapRateHelperSpread($X107)),IF(ISERROR(_xll.qlFuturesRateHelperConvexityAdjustment($X107)),"",_xll.qlFuturesRateHelperConvexityAdjustment($X107)),_xll.qlSwapRateHelperSpread($X107))</f>
        <v/>
      </c>
      <c r="AB107" s="163" t="str">
        <f>IFERROR(_xll.qlRateHelperEarliestDate(X107,Trigger),"")</f>
        <v/>
      </c>
      <c r="AC107" s="163" t="str">
        <f>IFERROR(_xll.qlRateHelperPillarDate(X107,Trigger),"")</f>
        <v/>
      </c>
      <c r="AD107" s="184" t="e">
        <v>#N/A</v>
      </c>
    </row>
    <row r="108" spans="1:30" x14ac:dyDescent="0.2">
      <c r="A108" s="62" t="str">
        <f>Quote!AP105</f>
        <v>SW</v>
      </c>
      <c r="B108" s="63" t="str">
        <f>Quote!AQ105</f>
        <v>31Y</v>
      </c>
      <c r="C108" s="64" t="s">
        <v>6</v>
      </c>
      <c r="D108" s="64" t="s">
        <v>8</v>
      </c>
      <c r="E108" s="64" t="s">
        <v>7</v>
      </c>
      <c r="F108" s="64" t="s">
        <v>132</v>
      </c>
      <c r="G108" s="64" t="str">
        <f t="shared" si="10"/>
        <v>Euribor1YMX#0006</v>
      </c>
      <c r="H108" s="62" t="str">
        <f>IF(ISBLANK(Quote!AS105),"",Quote!AS105)</f>
        <v>EUR1YSW31Y=#0006</v>
      </c>
      <c r="I108" s="62" t="str">
        <f>_xll.qlCompositeQuote(Currency&amp;"1Y"&amp;A108&amp;B108&amp;"_Shifted",H108,BumpValue,"+",Permanent,Trigger,ObjectOverwrite)</f>
        <v>EUR1YSW31Y_Shifted#0006</v>
      </c>
      <c r="J108" s="128">
        <v>0</v>
      </c>
      <c r="K108" s="67" t="str">
        <f>_xll.qlSwapRateHelper2(,IF(Sensitivity,I108,H108),2,B108,Calendar,+D108,E108,F108,G108,J108,C108,Discounting,PillarDate,,Permanent,Trigger,ObjectOverwrite)</f>
        <v>obj_0038e#0006</v>
      </c>
      <c r="M108" s="10" t="str">
        <f t="shared" si="15"/>
        <v>SW</v>
      </c>
      <c r="N108" s="95" t="str">
        <f t="shared" si="16"/>
        <v>obj_00347#0006</v>
      </c>
      <c r="O108" s="146" t="str">
        <f>IFERROR(_xll.qlRateHelperQuoteName(N108,Trigger),"--")</f>
        <v>EUR1YSW35Y_Shifted</v>
      </c>
      <c r="P108" s="99">
        <f>IFERROR(_xll.qlRateHelperQuoteValue($N108,Trigger),"--")</f>
        <v>1.3291221190000001E-2</v>
      </c>
      <c r="Q108" s="98" t="b">
        <v>1</v>
      </c>
      <c r="R108" s="95">
        <v>40</v>
      </c>
      <c r="S108" s="95">
        <v>1</v>
      </c>
      <c r="T108" s="100">
        <f>IFERROR(_xll.qlRateHelperEarliestDate(N108,Trigger),"--")</f>
        <v>42748</v>
      </c>
      <c r="U108" s="100">
        <f>IFERROR(_xll.qlRateHelperPillarDate(N108,Trigger),"--")</f>
        <v>55533</v>
      </c>
      <c r="W108" s="162" t="str">
        <f t="shared" si="17"/>
        <v/>
      </c>
      <c r="X108" s="162" t="e">
        <v>#N/A</v>
      </c>
      <c r="Y108" s="162" t="str">
        <f>IFERROR(_xll.qlRateHelperQuoteName(X108,Trigger),"")</f>
        <v/>
      </c>
      <c r="Z108" s="184" t="str">
        <f>IFERROR(_xll.qlRateHelperRate(X108,Trigger),"")</f>
        <v/>
      </c>
      <c r="AA108" s="185" t="str">
        <f>IF(ISERROR(_xll.qlSwapRateHelperSpread($X108)),IF(ISERROR(_xll.qlFuturesRateHelperConvexityAdjustment($X108)),"",_xll.qlFuturesRateHelperConvexityAdjustment($X108)),_xll.qlSwapRateHelperSpread($X108))</f>
        <v/>
      </c>
      <c r="AB108" s="163" t="str">
        <f>IFERROR(_xll.qlRateHelperEarliestDate(X108,Trigger),"")</f>
        <v/>
      </c>
      <c r="AC108" s="163" t="str">
        <f>IFERROR(_xll.qlRateHelperPillarDate(X108,Trigger),"")</f>
        <v/>
      </c>
      <c r="AD108" s="184" t="e">
        <v>#N/A</v>
      </c>
    </row>
    <row r="109" spans="1:30" x14ac:dyDescent="0.2">
      <c r="A109" s="62" t="str">
        <f>Quote!AP106</f>
        <v>SW</v>
      </c>
      <c r="B109" s="63" t="str">
        <f>Quote!AQ106</f>
        <v>32Y</v>
      </c>
      <c r="C109" s="64" t="s">
        <v>6</v>
      </c>
      <c r="D109" s="64" t="s">
        <v>8</v>
      </c>
      <c r="E109" s="64" t="s">
        <v>7</v>
      </c>
      <c r="F109" s="64" t="s">
        <v>132</v>
      </c>
      <c r="G109" s="64" t="str">
        <f t="shared" si="10"/>
        <v>Euribor1YMX#0006</v>
      </c>
      <c r="H109" s="62" t="str">
        <f>IF(ISBLANK(Quote!AS106),"",Quote!AS106)</f>
        <v>EUR1YSW32Y=#0006</v>
      </c>
      <c r="I109" s="62" t="str">
        <f>_xll.qlCompositeQuote(Currency&amp;"1Y"&amp;A109&amp;B109&amp;"_Shifted",H109,BumpValue,"+",Permanent,Trigger,ObjectOverwrite)</f>
        <v>EUR1YSW32Y_Shifted#0006</v>
      </c>
      <c r="J109" s="128">
        <v>0</v>
      </c>
      <c r="K109" s="67" t="str">
        <f>_xll.qlSwapRateHelper2(,IF(Sensitivity,I109,H109),2,B109,Calendar,+D109,E109,F109,G109,J109,C109,Discounting,PillarDate,,Permanent,Trigger,ObjectOverwrite)</f>
        <v>obj_003db#0006</v>
      </c>
      <c r="M109" s="10" t="str">
        <f t="shared" si="15"/>
        <v>SW</v>
      </c>
      <c r="N109" s="95" t="str">
        <f t="shared" si="16"/>
        <v>obj_003d1#0006</v>
      </c>
      <c r="O109" s="146" t="str">
        <f>IFERROR(_xll.qlRateHelperQuoteName(N109,Trigger),"--")</f>
        <v>EUR1YSW36Y_Shifted</v>
      </c>
      <c r="P109" s="99">
        <f>IFERROR(_xll.qlRateHelperQuoteValue($N109,Trigger),"--")</f>
        <v>1.3289645900000001E-2</v>
      </c>
      <c r="Q109" s="98" t="b">
        <v>1</v>
      </c>
      <c r="R109" s="95">
        <v>40</v>
      </c>
      <c r="S109" s="95">
        <v>1</v>
      </c>
      <c r="T109" s="100">
        <f>IFERROR(_xll.qlRateHelperEarliestDate(N109,Trigger),"--")</f>
        <v>42748</v>
      </c>
      <c r="U109" s="100">
        <f>IFERROR(_xll.qlRateHelperPillarDate(N109,Trigger),"--")</f>
        <v>55897</v>
      </c>
      <c r="W109" s="162" t="str">
        <f t="shared" si="17"/>
        <v/>
      </c>
      <c r="X109" s="162" t="e">
        <v>#N/A</v>
      </c>
      <c r="Y109" s="162" t="str">
        <f>IFERROR(_xll.qlRateHelperQuoteName(X109,Trigger),"")</f>
        <v/>
      </c>
      <c r="Z109" s="184" t="str">
        <f>IFERROR(_xll.qlRateHelperRate(X109,Trigger),"")</f>
        <v/>
      </c>
      <c r="AA109" s="185" t="str">
        <f>IF(ISERROR(_xll.qlSwapRateHelperSpread($X109)),IF(ISERROR(_xll.qlFuturesRateHelperConvexityAdjustment($X109)),"",_xll.qlFuturesRateHelperConvexityAdjustment($X109)),_xll.qlSwapRateHelperSpread($X109))</f>
        <v/>
      </c>
      <c r="AB109" s="163" t="str">
        <f>IFERROR(_xll.qlRateHelperEarliestDate(X109,Trigger),"")</f>
        <v/>
      </c>
      <c r="AC109" s="163" t="str">
        <f>IFERROR(_xll.qlRateHelperPillarDate(X109,Trigger),"")</f>
        <v/>
      </c>
      <c r="AD109" s="184" t="e">
        <v>#N/A</v>
      </c>
    </row>
    <row r="110" spans="1:30" x14ac:dyDescent="0.2">
      <c r="A110" s="62" t="str">
        <f>Quote!AP107</f>
        <v>SW</v>
      </c>
      <c r="B110" s="63" t="str">
        <f>Quote!AQ107</f>
        <v>33Y</v>
      </c>
      <c r="C110" s="64" t="s">
        <v>6</v>
      </c>
      <c r="D110" s="64" t="s">
        <v>8</v>
      </c>
      <c r="E110" s="64" t="s">
        <v>7</v>
      </c>
      <c r="F110" s="64" t="s">
        <v>132</v>
      </c>
      <c r="G110" s="64" t="str">
        <f t="shared" si="10"/>
        <v>Euribor1YMX#0006</v>
      </c>
      <c r="H110" s="62" t="str">
        <f>IF(ISBLANK(Quote!AS107),"",Quote!AS107)</f>
        <v>EUR1YSW33Y=#0006</v>
      </c>
      <c r="I110" s="62" t="str">
        <f>_xll.qlCompositeQuote(Currency&amp;"1Y"&amp;A110&amp;B110&amp;"_Shifted",H110,BumpValue,"+",Permanent,Trigger,ObjectOverwrite)</f>
        <v>EUR1YSW33Y_Shifted#0006</v>
      </c>
      <c r="J110" s="128">
        <v>0</v>
      </c>
      <c r="K110" s="67" t="str">
        <f>_xll.qlSwapRateHelper2(,IF(Sensitivity,I110,H110),2,B110,Calendar,+D110,E110,F110,G110,J110,C110,Discounting,PillarDate,,Permanent,Trigger,ObjectOverwrite)</f>
        <v>obj_003ad#0006</v>
      </c>
      <c r="M110" s="10" t="str">
        <f t="shared" si="15"/>
        <v>SW</v>
      </c>
      <c r="N110" s="95" t="str">
        <f t="shared" si="16"/>
        <v>obj_00390#0006</v>
      </c>
      <c r="O110" s="146" t="str">
        <f>IFERROR(_xll.qlRateHelperQuoteName(N110,Trigger),"--")</f>
        <v>EUR1YSW37Y_Shifted</v>
      </c>
      <c r="P110" s="99">
        <f>IFERROR(_xll.qlRateHelperQuoteValue($N110,Trigger),"--")</f>
        <v>1.3281772840000001E-2</v>
      </c>
      <c r="Q110" s="98" t="b">
        <v>1</v>
      </c>
      <c r="R110" s="95">
        <v>40</v>
      </c>
      <c r="S110" s="95">
        <v>1</v>
      </c>
      <c r="T110" s="100">
        <f>IFERROR(_xll.qlRateHelperEarliestDate(N110,Trigger),"--")</f>
        <v>42748</v>
      </c>
      <c r="U110" s="100">
        <f>IFERROR(_xll.qlRateHelperPillarDate(N110,Trigger),"--")</f>
        <v>56262</v>
      </c>
      <c r="W110" s="162" t="str">
        <f t="shared" si="17"/>
        <v/>
      </c>
      <c r="X110" s="162" t="e">
        <v>#N/A</v>
      </c>
      <c r="Y110" s="162" t="str">
        <f>IFERROR(_xll.qlRateHelperQuoteName(X110,Trigger),"")</f>
        <v/>
      </c>
      <c r="Z110" s="184" t="str">
        <f>IFERROR(_xll.qlRateHelperRate(X110,Trigger),"")</f>
        <v/>
      </c>
      <c r="AA110" s="185" t="str">
        <f>IF(ISERROR(_xll.qlSwapRateHelperSpread($X110)),IF(ISERROR(_xll.qlFuturesRateHelperConvexityAdjustment($X110)),"",_xll.qlFuturesRateHelperConvexityAdjustment($X110)),_xll.qlSwapRateHelperSpread($X110))</f>
        <v/>
      </c>
      <c r="AB110" s="163" t="str">
        <f>IFERROR(_xll.qlRateHelperEarliestDate(X110,Trigger),"")</f>
        <v/>
      </c>
      <c r="AC110" s="163" t="str">
        <f>IFERROR(_xll.qlRateHelperPillarDate(X110,Trigger),"")</f>
        <v/>
      </c>
      <c r="AD110" s="184" t="e">
        <v>#N/A</v>
      </c>
    </row>
    <row r="111" spans="1:30" x14ac:dyDescent="0.2">
      <c r="A111" s="62" t="str">
        <f>Quote!AP108</f>
        <v>SW</v>
      </c>
      <c r="B111" s="63" t="str">
        <f>Quote!AQ108</f>
        <v>34Y</v>
      </c>
      <c r="C111" s="64" t="s">
        <v>6</v>
      </c>
      <c r="D111" s="64" t="s">
        <v>8</v>
      </c>
      <c r="E111" s="64" t="s">
        <v>7</v>
      </c>
      <c r="F111" s="64" t="s">
        <v>132</v>
      </c>
      <c r="G111" s="64" t="str">
        <f t="shared" si="10"/>
        <v>Euribor1YMX#0006</v>
      </c>
      <c r="H111" s="62" t="str">
        <f>IF(ISBLANK(Quote!AS108),"",Quote!AS108)</f>
        <v>EUR1YSW34Y=#0006</v>
      </c>
      <c r="I111" s="62" t="str">
        <f>_xll.qlCompositeQuote(Currency&amp;"1Y"&amp;A111&amp;B111&amp;"_Shifted",H111,BumpValue,"+",Permanent,Trigger,ObjectOverwrite)</f>
        <v>EUR1YSW34Y_Shifted#0006</v>
      </c>
      <c r="J111" s="128">
        <v>0</v>
      </c>
      <c r="K111" s="67" t="str">
        <f>_xll.qlSwapRateHelper2(,IF(Sensitivity,I111,H111),2,B111,Calendar,+D111,E111,F111,G111,J111,C111,Discounting,PillarDate,,Permanent,Trigger,ObjectOverwrite)</f>
        <v>obj_00370#0006</v>
      </c>
      <c r="M111" s="10" t="str">
        <f t="shared" si="15"/>
        <v>SW</v>
      </c>
      <c r="N111" s="95" t="str">
        <f t="shared" si="16"/>
        <v>obj_00337#0006</v>
      </c>
      <c r="O111" s="146" t="str">
        <f>IFERROR(_xll.qlRateHelperQuoteName(N111,Trigger),"--")</f>
        <v>EUR1YSW38Y_Shifted</v>
      </c>
      <c r="P111" s="99">
        <f>IFERROR(_xll.qlRateHelperQuoteValue($N111,Trigger),"--")</f>
        <v>1.326784957E-2</v>
      </c>
      <c r="Q111" s="98" t="b">
        <v>1</v>
      </c>
      <c r="R111" s="95">
        <v>40</v>
      </c>
      <c r="S111" s="95">
        <v>1</v>
      </c>
      <c r="T111" s="100">
        <f>IFERROR(_xll.qlRateHelperEarliestDate(N111,Trigger),"--")</f>
        <v>42748</v>
      </c>
      <c r="U111" s="100">
        <f>IFERROR(_xll.qlRateHelperPillarDate(N111,Trigger),"--")</f>
        <v>56627</v>
      </c>
      <c r="W111" s="162" t="str">
        <f t="shared" si="17"/>
        <v/>
      </c>
      <c r="X111" s="162" t="e">
        <v>#N/A</v>
      </c>
      <c r="Y111" s="162" t="str">
        <f>IFERROR(_xll.qlRateHelperQuoteName(X111,Trigger),"")</f>
        <v/>
      </c>
      <c r="Z111" s="184" t="str">
        <f>IFERROR(_xll.qlRateHelperRate(X111,Trigger),"")</f>
        <v/>
      </c>
      <c r="AA111" s="185" t="str">
        <f>IF(ISERROR(_xll.qlSwapRateHelperSpread($X111)),IF(ISERROR(_xll.qlFuturesRateHelperConvexityAdjustment($X111)),"",_xll.qlFuturesRateHelperConvexityAdjustment($X111)),_xll.qlSwapRateHelperSpread($X111))</f>
        <v/>
      </c>
      <c r="AB111" s="163" t="str">
        <f>IFERROR(_xll.qlRateHelperEarliestDate(X111,Trigger),"")</f>
        <v/>
      </c>
      <c r="AC111" s="163" t="str">
        <f>IFERROR(_xll.qlRateHelperPillarDate(X111,Trigger),"")</f>
        <v/>
      </c>
      <c r="AD111" s="184" t="e">
        <v>#N/A</v>
      </c>
    </row>
    <row r="112" spans="1:30" x14ac:dyDescent="0.2">
      <c r="A112" s="62" t="str">
        <f>Quote!AP109</f>
        <v>SW</v>
      </c>
      <c r="B112" s="63" t="str">
        <f>Quote!AQ109</f>
        <v>35Y</v>
      </c>
      <c r="C112" s="64" t="s">
        <v>6</v>
      </c>
      <c r="D112" s="64" t="s">
        <v>8</v>
      </c>
      <c r="E112" s="64" t="s">
        <v>7</v>
      </c>
      <c r="F112" s="64" t="s">
        <v>132</v>
      </c>
      <c r="G112" s="64" t="str">
        <f t="shared" si="10"/>
        <v>Euribor1YMX#0006</v>
      </c>
      <c r="H112" s="62" t="str">
        <f>IF(ISBLANK(Quote!AS109),"",Quote!AS109)</f>
        <v>EUR1YSW35Y=#0006</v>
      </c>
      <c r="I112" s="62" t="str">
        <f>_xll.qlCompositeQuote(Currency&amp;"1Y"&amp;A112&amp;B112&amp;"_Shifted",H112,BumpValue,"+",Permanent,Trigger,ObjectOverwrite)</f>
        <v>EUR1YSW35Y_Shifted#0006</v>
      </c>
      <c r="J112" s="128">
        <v>0</v>
      </c>
      <c r="K112" s="67" t="str">
        <f>_xll.qlSwapRateHelper2(,IF(Sensitivity,I112,H112),2,B112,Calendar,+D112,E112,F112,G112,J112,C112,Discounting,PillarDate,,Permanent,Trigger,ObjectOverwrite)</f>
        <v>obj_00347#0006</v>
      </c>
      <c r="M112" s="10" t="str">
        <f t="shared" si="15"/>
        <v>SW</v>
      </c>
      <c r="N112" s="95" t="str">
        <f t="shared" si="16"/>
        <v>obj_00343#0006</v>
      </c>
      <c r="O112" s="146" t="str">
        <f>IFERROR(_xll.qlRateHelperQuoteName(N112,Trigger),"--")</f>
        <v>EUR1YSW39Y_Shifted</v>
      </c>
      <c r="P112" s="99">
        <f>IFERROR(_xll.qlRateHelperQuoteValue($N112,Trigger),"--")</f>
        <v>1.3247308880000001E-2</v>
      </c>
      <c r="Q112" s="98" t="b">
        <v>1</v>
      </c>
      <c r="R112" s="95">
        <v>40</v>
      </c>
      <c r="S112" s="95">
        <v>1</v>
      </c>
      <c r="T112" s="100">
        <f>IFERROR(_xll.qlRateHelperEarliestDate(N112,Trigger),"--")</f>
        <v>42748</v>
      </c>
      <c r="U112" s="100">
        <f>IFERROR(_xll.qlRateHelperPillarDate(N112,Trigger),"--")</f>
        <v>56992</v>
      </c>
      <c r="W112" s="162" t="str">
        <f t="shared" si="17"/>
        <v/>
      </c>
      <c r="X112" s="162" t="e">
        <v>#N/A</v>
      </c>
      <c r="Y112" s="162" t="str">
        <f>IFERROR(_xll.qlRateHelperQuoteName(X112,Trigger),"")</f>
        <v/>
      </c>
      <c r="Z112" s="184" t="str">
        <f>IFERROR(_xll.qlRateHelperRate(X112,Trigger),"")</f>
        <v/>
      </c>
      <c r="AA112" s="185" t="str">
        <f>IF(ISERROR(_xll.qlSwapRateHelperSpread($X112)),IF(ISERROR(_xll.qlFuturesRateHelperConvexityAdjustment($X112)),"",_xll.qlFuturesRateHelperConvexityAdjustment($X112)),_xll.qlSwapRateHelperSpread($X112))</f>
        <v/>
      </c>
      <c r="AB112" s="163" t="str">
        <f>IFERROR(_xll.qlRateHelperEarliestDate(X112,Trigger),"")</f>
        <v/>
      </c>
      <c r="AC112" s="163" t="str">
        <f>IFERROR(_xll.qlRateHelperPillarDate(X112,Trigger),"")</f>
        <v/>
      </c>
      <c r="AD112" s="184" t="e">
        <v>#N/A</v>
      </c>
    </row>
    <row r="113" spans="1:30" x14ac:dyDescent="0.2">
      <c r="A113" s="62" t="str">
        <f>Quote!AP110</f>
        <v>SW</v>
      </c>
      <c r="B113" s="63" t="str">
        <f>Quote!AQ110</f>
        <v>36Y</v>
      </c>
      <c r="C113" s="64" t="s">
        <v>6</v>
      </c>
      <c r="D113" s="64" t="s">
        <v>8</v>
      </c>
      <c r="E113" s="64" t="s">
        <v>7</v>
      </c>
      <c r="F113" s="64" t="s">
        <v>132</v>
      </c>
      <c r="G113" s="64" t="str">
        <f t="shared" si="10"/>
        <v>Euribor1YMX#0006</v>
      </c>
      <c r="H113" s="62" t="str">
        <f>IF(ISBLANK(Quote!AS110),"",Quote!AS110)</f>
        <v>EUR1YSW36Y=#0006</v>
      </c>
      <c r="I113" s="62" t="str">
        <f>_xll.qlCompositeQuote(Currency&amp;"1Y"&amp;A113&amp;B113&amp;"_Shifted",H113,BumpValue,"+",Permanent,Trigger,ObjectOverwrite)</f>
        <v>EUR1YSW36Y_Shifted#0006</v>
      </c>
      <c r="J113" s="128">
        <v>0</v>
      </c>
      <c r="K113" s="67" t="str">
        <f>_xll.qlSwapRateHelper2(,IF(Sensitivity,I113,H113),2,B113,Calendar,+D113,E113,F113,G113,J113,C113,Discounting,PillarDate,,Permanent,Trigger,ObjectOverwrite)</f>
        <v>obj_003d1#0006</v>
      </c>
      <c r="M113" s="10" t="str">
        <f t="shared" si="15"/>
        <v>SW</v>
      </c>
      <c r="N113" s="95" t="str">
        <f t="shared" si="16"/>
        <v>obj_00399#0006</v>
      </c>
      <c r="O113" s="146" t="str">
        <f>IFERROR(_xll.qlRateHelperQuoteName(N113,Trigger),"--")</f>
        <v>EUR1YSW40Y_Shifted</v>
      </c>
      <c r="P113" s="99">
        <f>IFERROR(_xll.qlRateHelperQuoteValue($N113,Trigger),"--")</f>
        <v>1.3220000000000001E-2</v>
      </c>
      <c r="Q113" s="98" t="b">
        <v>1</v>
      </c>
      <c r="R113" s="95">
        <v>40</v>
      </c>
      <c r="S113" s="95">
        <v>1</v>
      </c>
      <c r="T113" s="100">
        <f>IFERROR(_xll.qlRateHelperEarliestDate(N113,Trigger),"--")</f>
        <v>42748</v>
      </c>
      <c r="U113" s="100">
        <f>IFERROR(_xll.qlRateHelperPillarDate(N113,Trigger),"--")</f>
        <v>57360</v>
      </c>
      <c r="W113" s="162" t="str">
        <f t="shared" si="17"/>
        <v/>
      </c>
      <c r="X113" s="162" t="e">
        <v>#N/A</v>
      </c>
      <c r="Y113" s="162" t="str">
        <f>IFERROR(_xll.qlRateHelperQuoteName(X113,Trigger),"")</f>
        <v/>
      </c>
      <c r="Z113" s="184" t="str">
        <f>IFERROR(_xll.qlRateHelperRate(X113,Trigger),"")</f>
        <v/>
      </c>
      <c r="AA113" s="185" t="str">
        <f>IF(ISERROR(_xll.qlSwapRateHelperSpread($X113)),IF(ISERROR(_xll.qlFuturesRateHelperConvexityAdjustment($X113)),"",_xll.qlFuturesRateHelperConvexityAdjustment($X113)),_xll.qlSwapRateHelperSpread($X113))</f>
        <v/>
      </c>
      <c r="AB113" s="163" t="str">
        <f>IFERROR(_xll.qlRateHelperEarliestDate(X113,Trigger),"")</f>
        <v/>
      </c>
      <c r="AC113" s="163" t="str">
        <f>IFERROR(_xll.qlRateHelperPillarDate(X113,Trigger),"")</f>
        <v/>
      </c>
      <c r="AD113" s="184" t="e">
        <v>#N/A</v>
      </c>
    </row>
    <row r="114" spans="1:30" x14ac:dyDescent="0.2">
      <c r="A114" s="62" t="str">
        <f>Quote!AP111</f>
        <v>SW</v>
      </c>
      <c r="B114" s="63" t="str">
        <f>Quote!AQ111</f>
        <v>37Y</v>
      </c>
      <c r="C114" s="64" t="s">
        <v>6</v>
      </c>
      <c r="D114" s="64" t="s">
        <v>8</v>
      </c>
      <c r="E114" s="64" t="s">
        <v>7</v>
      </c>
      <c r="F114" s="64" t="s">
        <v>132</v>
      </c>
      <c r="G114" s="64" t="str">
        <f t="shared" ref="G114:G119" si="18">$G$20</f>
        <v>Euribor1YMX#0006</v>
      </c>
      <c r="H114" s="62" t="str">
        <f>IF(ISBLANK(Quote!AS111),"",Quote!AS111)</f>
        <v>EUR1YSW37Y=#0006</v>
      </c>
      <c r="I114" s="62" t="str">
        <f>_xll.qlCompositeQuote(Currency&amp;"1Y"&amp;A114&amp;B114&amp;"_Shifted",H114,BumpValue,"+",Permanent,Trigger,ObjectOverwrite)</f>
        <v>EUR1YSW37Y_Shifted#0006</v>
      </c>
      <c r="J114" s="128">
        <v>0</v>
      </c>
      <c r="K114" s="67" t="str">
        <f>_xll.qlSwapRateHelper2(,IF(Sensitivity,I114,H114),2,B114,Calendar,+D114,E114,F114,G114,J114,C114,Discounting,PillarDate,,Permanent,Trigger,ObjectOverwrite)</f>
        <v>obj_00390#0006</v>
      </c>
      <c r="M114" s="10" t="str">
        <f t="shared" si="15"/>
        <v>SW</v>
      </c>
      <c r="N114" s="95" t="str">
        <f t="shared" si="16"/>
        <v>obj_003ba#0006</v>
      </c>
      <c r="O114" s="146" t="str">
        <f>IFERROR(_xll.qlRateHelperQuoteName(N114,Trigger),"--")</f>
        <v>EUR1YSW50Y_Shifted</v>
      </c>
      <c r="P114" s="99">
        <f>IFERROR(_xll.qlRateHelperQuoteValue($N114,Trigger),"--")</f>
        <v>1.2690000000000002E-2</v>
      </c>
      <c r="Q114" s="98" t="b">
        <v>1</v>
      </c>
      <c r="R114" s="95">
        <v>40</v>
      </c>
      <c r="S114" s="95">
        <v>1</v>
      </c>
      <c r="T114" s="100">
        <f>IFERROR(_xll.qlRateHelperEarliestDate(N114,Trigger),"--")</f>
        <v>42748</v>
      </c>
      <c r="U114" s="100">
        <f>IFERROR(_xll.qlRateHelperPillarDate(N114,Trigger),"--")</f>
        <v>61010</v>
      </c>
      <c r="W114" s="162" t="str">
        <f t="shared" si="17"/>
        <v/>
      </c>
      <c r="X114" s="162" t="e">
        <v>#N/A</v>
      </c>
      <c r="Y114" s="162" t="str">
        <f>IFERROR(_xll.qlRateHelperQuoteName(X114,Trigger),"")</f>
        <v/>
      </c>
      <c r="Z114" s="184" t="str">
        <f>IFERROR(_xll.qlRateHelperRate(X114,Trigger),"")</f>
        <v/>
      </c>
      <c r="AA114" s="185" t="str">
        <f>IF(ISERROR(_xll.qlSwapRateHelperSpread($X114)),IF(ISERROR(_xll.qlFuturesRateHelperConvexityAdjustment($X114)),"",_xll.qlFuturesRateHelperConvexityAdjustment($X114)),_xll.qlSwapRateHelperSpread($X114))</f>
        <v/>
      </c>
      <c r="AB114" s="163" t="str">
        <f>IFERROR(_xll.qlRateHelperEarliestDate(X114,Trigger),"")</f>
        <v/>
      </c>
      <c r="AC114" s="163" t="str">
        <f>IFERROR(_xll.qlRateHelperPillarDate(X114,Trigger),"")</f>
        <v/>
      </c>
      <c r="AD114" s="184" t="e">
        <v>#N/A</v>
      </c>
    </row>
    <row r="115" spans="1:30" x14ac:dyDescent="0.2">
      <c r="A115" s="62" t="str">
        <f>Quote!AP112</f>
        <v>SW</v>
      </c>
      <c r="B115" s="63" t="str">
        <f>Quote!AQ112</f>
        <v>38Y</v>
      </c>
      <c r="C115" s="64" t="s">
        <v>6</v>
      </c>
      <c r="D115" s="64" t="s">
        <v>8</v>
      </c>
      <c r="E115" s="64" t="s">
        <v>7</v>
      </c>
      <c r="F115" s="64" t="s">
        <v>132</v>
      </c>
      <c r="G115" s="64" t="str">
        <f t="shared" si="18"/>
        <v>Euribor1YMX#0006</v>
      </c>
      <c r="H115" s="62" t="str">
        <f>IF(ISBLANK(Quote!AS112),"",Quote!AS112)</f>
        <v>EUR1YSW38Y=#0006</v>
      </c>
      <c r="I115" s="62" t="str">
        <f>_xll.qlCompositeQuote(Currency&amp;"1Y"&amp;A115&amp;B115&amp;"_Shifted",H115,BumpValue,"+",Permanent,Trigger,ObjectOverwrite)</f>
        <v>EUR1YSW38Y_Shifted#0006</v>
      </c>
      <c r="J115" s="128">
        <v>0</v>
      </c>
      <c r="K115" s="67" t="str">
        <f>_xll.qlSwapRateHelper2(,IF(Sensitivity,I115,H115),2,B115,Calendar,+D115,E115,F115,G115,J115,C115,Discounting,PillarDate,,Permanent,Trigger,ObjectOverwrite)</f>
        <v>obj_00337#0006</v>
      </c>
      <c r="M115" s="11" t="str">
        <f t="shared" si="15"/>
        <v>SW</v>
      </c>
      <c r="N115" s="96" t="str">
        <f t="shared" si="16"/>
        <v>obj_0036c#0006</v>
      </c>
      <c r="O115" s="147" t="str">
        <f>IFERROR(_xll.qlRateHelperQuoteName(N115,Trigger),"--")</f>
        <v>EUR1YSW60Y_Shifted</v>
      </c>
      <c r="P115" s="102">
        <f>IFERROR(_xll.qlRateHelperQuoteValue($N115,Trigger),"--")</f>
        <v>1.2310000000000001E-2</v>
      </c>
      <c r="Q115" s="101" t="b">
        <v>1</v>
      </c>
      <c r="R115" s="96">
        <v>40</v>
      </c>
      <c r="S115" s="96">
        <v>1</v>
      </c>
      <c r="T115" s="103">
        <f>IFERROR(_xll.qlRateHelperEarliestDate(N115,Trigger),"--")</f>
        <v>42748</v>
      </c>
      <c r="U115" s="103">
        <f>IFERROR(_xll.qlRateHelperPillarDate(N115,Trigger),"--")</f>
        <v>64663</v>
      </c>
      <c r="W115" s="162" t="str">
        <f t="shared" si="17"/>
        <v/>
      </c>
      <c r="X115" s="162" t="e">
        <v>#N/A</v>
      </c>
      <c r="Y115" s="162" t="str">
        <f>IFERROR(_xll.qlRateHelperQuoteName(X115,Trigger),"")</f>
        <v/>
      </c>
      <c r="Z115" s="184" t="str">
        <f>IFERROR(_xll.qlRateHelperRate(X115,Trigger),"")</f>
        <v/>
      </c>
      <c r="AA115" s="185" t="str">
        <f>IF(ISERROR(_xll.qlSwapRateHelperSpread($X115)),IF(ISERROR(_xll.qlFuturesRateHelperConvexityAdjustment($X115)),"",_xll.qlFuturesRateHelperConvexityAdjustment($X115)),_xll.qlSwapRateHelperSpread($X115))</f>
        <v/>
      </c>
      <c r="AB115" s="163" t="str">
        <f>IFERROR(_xll.qlRateHelperEarliestDate(X115,Trigger),"")</f>
        <v/>
      </c>
      <c r="AC115" s="163" t="str">
        <f>IFERROR(_xll.qlRateHelperPillarDate(X115,Trigger),"")</f>
        <v/>
      </c>
      <c r="AD115" s="184" t="e">
        <v>#N/A</v>
      </c>
    </row>
    <row r="116" spans="1:30" x14ac:dyDescent="0.2">
      <c r="A116" s="62" t="str">
        <f>Quote!AP113</f>
        <v>SW</v>
      </c>
      <c r="B116" s="63" t="str">
        <f>Quote!AQ113</f>
        <v>39Y</v>
      </c>
      <c r="C116" s="64" t="s">
        <v>6</v>
      </c>
      <c r="D116" s="64" t="s">
        <v>8</v>
      </c>
      <c r="E116" s="64" t="s">
        <v>7</v>
      </c>
      <c r="F116" s="64" t="s">
        <v>132</v>
      </c>
      <c r="G116" s="64" t="str">
        <f t="shared" si="18"/>
        <v>Euribor1YMX#0006</v>
      </c>
      <c r="H116" s="62" t="str">
        <f>IF(ISBLANK(Quote!AS113),"",Quote!AS113)</f>
        <v>EUR1YSW39Y=#0006</v>
      </c>
      <c r="I116" s="62" t="str">
        <f>_xll.qlCompositeQuote(Currency&amp;"1Y"&amp;A116&amp;B116&amp;"_Shifted",H116,BumpValue,"+",Permanent,Trigger,ObjectOverwrite)</f>
        <v>EUR1YSW39Y_Shifted#0006</v>
      </c>
      <c r="J116" s="128">
        <v>0</v>
      </c>
      <c r="K116" s="67" t="str">
        <f>_xll.qlSwapRateHelper2(,IF(Sensitivity,I116,H116),2,B116,Calendar,+D116,E116,F116,G116,J116,C116,Discounting,PillarDate,,Permanent,Trigger,ObjectOverwrite)</f>
        <v>obj_00343#0006</v>
      </c>
    </row>
    <row r="117" spans="1:30" x14ac:dyDescent="0.2">
      <c r="A117" s="62" t="str">
        <f>Quote!AP114</f>
        <v>SW</v>
      </c>
      <c r="B117" s="63" t="str">
        <f>Quote!AQ114</f>
        <v>40Y</v>
      </c>
      <c r="C117" s="64" t="s">
        <v>6</v>
      </c>
      <c r="D117" s="64" t="s">
        <v>8</v>
      </c>
      <c r="E117" s="64" t="s">
        <v>7</v>
      </c>
      <c r="F117" s="64" t="s">
        <v>132</v>
      </c>
      <c r="G117" s="64" t="str">
        <f t="shared" si="18"/>
        <v>Euribor1YMX#0006</v>
      </c>
      <c r="H117" s="62" t="str">
        <f>IF(ISBLANK(Quote!AS114),"",Quote!AS114)</f>
        <v>EUR1YSW40Y=#0006</v>
      </c>
      <c r="I117" s="62" t="str">
        <f>_xll.qlCompositeQuote(Currency&amp;"1Y"&amp;A117&amp;B117&amp;"_Shifted",H117,BumpValue,"+",Permanent,Trigger,ObjectOverwrite)</f>
        <v>EUR1YSW40Y_Shifted#0006</v>
      </c>
      <c r="J117" s="128">
        <v>0</v>
      </c>
      <c r="K117" s="67" t="str">
        <f>_xll.qlSwapRateHelper2(,IF(Sensitivity,I117,H117),2,B117,Calendar,+D117,E117,F117,G117,J117,C117,Discounting,PillarDate,,Permanent,Trigger,ObjectOverwrite)</f>
        <v>obj_00399#0006</v>
      </c>
    </row>
    <row r="118" spans="1:30" x14ac:dyDescent="0.2">
      <c r="A118" s="62" t="str">
        <f>Quote!AP115</f>
        <v>SW</v>
      </c>
      <c r="B118" s="63" t="str">
        <f>Quote!AQ115</f>
        <v>50Y</v>
      </c>
      <c r="C118" s="64" t="s">
        <v>6</v>
      </c>
      <c r="D118" s="64" t="s">
        <v>8</v>
      </c>
      <c r="E118" s="64" t="s">
        <v>7</v>
      </c>
      <c r="F118" s="64" t="s">
        <v>132</v>
      </c>
      <c r="G118" s="64" t="str">
        <f t="shared" si="18"/>
        <v>Euribor1YMX#0006</v>
      </c>
      <c r="H118" s="62" t="str">
        <f>IF(ISBLANK(Quote!AS115),"",Quote!AS115)</f>
        <v>EUR1YSW50Y=#0006</v>
      </c>
      <c r="I118" s="62" t="str">
        <f>_xll.qlCompositeQuote(Currency&amp;"1Y"&amp;A118&amp;B118&amp;"_Shifted",H118,BumpValue,"+",Permanent,Trigger,ObjectOverwrite)</f>
        <v>EUR1YSW50Y_Shifted#0006</v>
      </c>
      <c r="J118" s="128">
        <v>0</v>
      </c>
      <c r="K118" s="67" t="str">
        <f>_xll.qlSwapRateHelper2(,IF(Sensitivity,I118,H118),2,B118,Calendar,+D118,E118,F118,G118,J118,C118,Discounting,PillarDate,,Permanent,Trigger,ObjectOverwrite)</f>
        <v>obj_003ba#0006</v>
      </c>
    </row>
    <row r="119" spans="1:30" x14ac:dyDescent="0.2">
      <c r="A119" s="1" t="str">
        <f>Quote!AP116</f>
        <v>SW</v>
      </c>
      <c r="B119" s="8" t="str">
        <f>Quote!AQ116</f>
        <v>60Y</v>
      </c>
      <c r="C119" s="7" t="s">
        <v>6</v>
      </c>
      <c r="D119" s="7" t="s">
        <v>8</v>
      </c>
      <c r="E119" s="7" t="s">
        <v>7</v>
      </c>
      <c r="F119" s="7" t="s">
        <v>132</v>
      </c>
      <c r="G119" s="7" t="str">
        <f t="shared" si="18"/>
        <v>Euribor1YMX#0006</v>
      </c>
      <c r="H119" s="1" t="str">
        <f>IF(ISBLANK(Quote!AS116),"",Quote!AS116)</f>
        <v>EUR1YSW60Y=#0006</v>
      </c>
      <c r="I119" s="1" t="str">
        <f>_xll.qlCompositeQuote(Currency&amp;"1Y"&amp;A119&amp;B119&amp;"_Shifted",H119,BumpValue,"+",Permanent,Trigger,ObjectOverwrite)</f>
        <v>EUR1YSW60Y_Shifted#0006</v>
      </c>
      <c r="J119" s="130">
        <v>0</v>
      </c>
      <c r="K119" s="3" t="str">
        <f>_xll.qlSwapRateHelper2(,IF(Sensitivity,I119,H119),2,B119,Calendar,+D119,E119,F119,G119,J119,C119,Discounting,PillarDate,,Permanent,Trigger,ObjectOverwrite)</f>
        <v>obj_0036c#0006</v>
      </c>
    </row>
  </sheetData>
  <mergeCells count="1">
    <mergeCell ref="AG2:AH2"/>
  </mergeCells>
  <dataValidations count="5">
    <dataValidation type="list" allowBlank="1" showInputMessage="1" showErrorMessage="1" sqref="E3 E49:E119">
      <formula1>"Following,Modified Following,Preceding,Modified Preceding,Unadjusted,Half-Month Modified Following"</formula1>
    </dataValidation>
    <dataValidation type="list" allowBlank="1" showInputMessage="1" showErrorMessage="1" sqref="F3 F49:F1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D49:D119">
      <formula1>"Annual,Semiannual,EveryFourthMonth,Quarterly,Bimonthly,Monthly,Biweekly,Weekly,Daily,Once,NoFrequency"</formula1>
    </dataValidation>
    <dataValidation type="list" allowBlank="1" showInputMessage="1" showErrorMessage="1" sqref="AH8">
      <formula1>"true,false"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6"/>
  <sheetViews>
    <sheetView showGridLines="0" workbookViewId="0"/>
  </sheetViews>
  <sheetFormatPr defaultRowHeight="11.25" x14ac:dyDescent="0.2"/>
  <cols>
    <col min="1" max="1" width="2.7109375" style="340" customWidth="1"/>
    <col min="2" max="2" width="4" style="340" bestFit="1" customWidth="1"/>
    <col min="3" max="3" width="10.140625" style="340" bestFit="1" customWidth="1"/>
    <col min="4" max="4" width="27.5703125" style="340" bestFit="1" customWidth="1"/>
    <col min="5" max="5" width="19.42578125" style="340" customWidth="1"/>
    <col min="6" max="6" width="34.85546875" style="340" bestFit="1" customWidth="1"/>
    <col min="7" max="7" width="2.42578125" style="340" customWidth="1"/>
    <col min="8" max="8" width="14.85546875" style="340" customWidth="1"/>
    <col min="9" max="9" width="15.7109375" style="340" customWidth="1"/>
    <col min="10" max="10" width="10" style="340" customWidth="1"/>
    <col min="11" max="11" width="13.7109375" style="340" customWidth="1"/>
    <col min="12" max="12" width="13.140625" style="340" customWidth="1"/>
    <col min="13" max="13" width="14.140625" style="340" bestFit="1" customWidth="1"/>
    <col min="14" max="14" width="3" style="340" customWidth="1"/>
    <col min="15" max="15" width="2.7109375" style="340" customWidth="1"/>
    <col min="16" max="16" width="12.5703125" style="340" bestFit="1" customWidth="1"/>
    <col min="17" max="21" width="9.140625" style="340"/>
    <col min="22" max="23" width="2.7109375" style="340" customWidth="1"/>
    <col min="24" max="16384" width="9.140625" style="340"/>
  </cols>
  <sheetData>
    <row r="1" spans="2:18" s="339" customFormat="1" x14ac:dyDescent="0.2"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</row>
    <row r="2" spans="2:18" s="339" customFormat="1" ht="12" x14ac:dyDescent="0.25">
      <c r="B2" s="341"/>
      <c r="C2" s="342"/>
      <c r="D2" s="343"/>
      <c r="E2" s="344"/>
      <c r="F2" s="344"/>
      <c r="G2" s="344"/>
      <c r="H2" s="345"/>
      <c r="I2" s="344"/>
      <c r="J2" s="344"/>
      <c r="K2" s="344"/>
      <c r="L2" s="344"/>
      <c r="M2" s="344"/>
      <c r="N2" s="346"/>
    </row>
    <row r="3" spans="2:18" s="339" customFormat="1" ht="22.5" customHeight="1" x14ac:dyDescent="0.2">
      <c r="B3" s="347"/>
      <c r="C3" s="348" t="s">
        <v>28</v>
      </c>
      <c r="D3" s="348" t="s">
        <v>174</v>
      </c>
      <c r="E3" s="348" t="s">
        <v>4</v>
      </c>
      <c r="F3" s="348" t="s">
        <v>175</v>
      </c>
      <c r="G3" s="349"/>
      <c r="H3" s="350" t="str">
        <f>_xll.RData(H5:H12,I3:J3,,,,I5)</f>
        <v>Paused at 15:03:33</v>
      </c>
      <c r="I3" s="351" t="s">
        <v>176</v>
      </c>
      <c r="J3" s="351" t="s">
        <v>177</v>
      </c>
      <c r="K3" s="351" t="s">
        <v>178</v>
      </c>
      <c r="L3" s="351" t="s">
        <v>179</v>
      </c>
      <c r="M3" s="351" t="s">
        <v>180</v>
      </c>
      <c r="N3" s="352"/>
    </row>
    <row r="4" spans="2:18" s="339" customFormat="1" x14ac:dyDescent="0.2">
      <c r="B4" s="347"/>
      <c r="C4" s="353" t="s">
        <v>35</v>
      </c>
      <c r="D4" s="354" t="str">
        <f>_xll.qlRelinkableHandleYieldTermStructure(UPPER(Currency)&amp;C4&amp;B4&amp;"MX",,Permanent,Trigger,ObjectOverwrite)</f>
        <v>EURONMX#0006</v>
      </c>
      <c r="E4" s="355" t="str">
        <f>_xll.qlEonia("EoniaMX",D4,Permanent,Trigger,ObjectOverwrite)</f>
        <v>EoniaMX#0006</v>
      </c>
      <c r="F4" s="355" t="str">
        <f>_xll.qlLastFixingQuote("Eonia"&amp;"MX"&amp;$F$3,E4,Permanent,Trigger,ObjectOverwrite)</f>
        <v>EoniaMXLastFixing_Quote#0006</v>
      </c>
      <c r="G4" s="356"/>
      <c r="H4" s="357"/>
      <c r="I4" s="357"/>
      <c r="J4" s="357"/>
      <c r="K4" s="357"/>
      <c r="L4" s="357"/>
      <c r="M4" s="357"/>
      <c r="N4" s="352"/>
    </row>
    <row r="5" spans="2:18" s="339" customFormat="1" x14ac:dyDescent="0.2">
      <c r="B5" s="347"/>
      <c r="C5" s="353" t="s">
        <v>91</v>
      </c>
      <c r="D5" s="354"/>
      <c r="E5" s="355" t="str">
        <f>_xll.qlEuribor(PROPER(Currency)&amp;FamilyName&amp;C5&amp;"MX",C5,D5,Permanent,Trigger,ObjectOverwrite)</f>
        <v>EuriborSWMX#0006</v>
      </c>
      <c r="F5" s="355" t="str">
        <f>_xll.qlLastFixingQuote(PROPER(Currency)&amp;FamilyName&amp;C5&amp;"MX"&amp;$F$3,E5,Permanent,Trigger,ObjectOverwrite)</f>
        <v>EuriborSWMXLastFixing_Quote#0006</v>
      </c>
      <c r="G5" s="356"/>
      <c r="H5" s="358" t="str">
        <f t="shared" ref="H5:H12" si="0">UPPER(Currency&amp;FamilyName)&amp;C5&amp;"D="</f>
        <v>EURIBORSWD=</v>
      </c>
      <c r="I5" s="359">
        <v>42746</v>
      </c>
      <c r="J5" s="360">
        <v>-0.38100000000000001</v>
      </c>
      <c r="K5" s="360" t="b">
        <f>IF(AND(ISNUMBER($J5),$J5&lt;&gt;0%,_xll.ohTrigger(Trigger)+1),TRUE,FALSE)</f>
        <v>1</v>
      </c>
      <c r="L5" s="361" t="b">
        <f>IF($K5,_xll.qlIndexAddFixings($E5,$I5,$J5/100,TRUE,ISERROR($M5)),NA())</f>
        <v>1</v>
      </c>
      <c r="M5" s="362" t="e">
        <f>_xll.qlIndexFixing($E5,$I5,TRUE,$K5)</f>
        <v>#NUM!</v>
      </c>
      <c r="N5" s="352"/>
    </row>
    <row r="6" spans="2:18" s="339" customFormat="1" x14ac:dyDescent="0.2">
      <c r="B6" s="347"/>
      <c r="C6" s="353" t="s">
        <v>37</v>
      </c>
      <c r="D6" s="354"/>
      <c r="E6" s="355" t="str">
        <f>_xll.qlEuribor(PROPER(Currency)&amp;FamilyName&amp;C6&amp;"MX",C6,D6,Permanent,Trigger,ObjectOverwrite)</f>
        <v>Euribor2WMX#0006</v>
      </c>
      <c r="F6" s="355" t="str">
        <f>_xll.qlLastFixingQuote(PROPER(Currency)&amp;FamilyName&amp;C6&amp;"MX"&amp;$F$3,E6,Permanent,Trigger,ObjectOverwrite)</f>
        <v>Euribor2WMXLastFixing_Quote#0006</v>
      </c>
      <c r="G6" s="356"/>
      <c r="H6" s="358" t="str">
        <f t="shared" si="0"/>
        <v>EURIBOR2WD=</v>
      </c>
      <c r="I6" s="359">
        <v>42746</v>
      </c>
      <c r="J6" s="360">
        <v>-0.373</v>
      </c>
      <c r="K6" s="360" t="b">
        <f>IF(AND(ISNUMBER($J6),$J6&lt;&gt;0%,_xll.ohTrigger(Trigger)+1),TRUE,FALSE)</f>
        <v>1</v>
      </c>
      <c r="L6" s="361" t="b">
        <f>IF($K6,_xll.qlIndexAddFixings($E6,$I6,$J6/100,TRUE,ISERROR($M6)),NA())</f>
        <v>1</v>
      </c>
      <c r="M6" s="358" t="e">
        <f>_xll.qlIndexFixing($E6,$I6,TRUE,$K6)</f>
        <v>#NUM!</v>
      </c>
      <c r="N6" s="352"/>
    </row>
    <row r="7" spans="2:18" s="339" customFormat="1" x14ac:dyDescent="0.2">
      <c r="B7" s="347"/>
      <c r="C7" s="353" t="s">
        <v>2</v>
      </c>
      <c r="D7" s="354" t="str">
        <f>_xll.qlRelinkableHandleYieldTermStructure(UPPER(Currency)&amp;C7&amp;B7&amp;"MX",,Permanent,Trigger,ObjectOverwrite)</f>
        <v>EUR1MMX#0006</v>
      </c>
      <c r="E7" s="355" t="str">
        <f>_xll.qlEuribor(PROPER(Currency)&amp;FamilyName&amp;C7&amp;"MX",C7,D7,Permanent,Trigger,ObjectOverwrite)</f>
        <v>Euribor1MMX#0006</v>
      </c>
      <c r="F7" s="355" t="str">
        <f>_xll.qlLastFixingQuote(PROPER(Currency)&amp;FamilyName&amp;C7&amp;"MX"&amp;$F$3,E7,Permanent,Trigger,ObjectOverwrite)</f>
        <v>Euribor1MMXLastFixing_Quote#0006</v>
      </c>
      <c r="G7" s="356"/>
      <c r="H7" s="358" t="str">
        <f t="shared" si="0"/>
        <v>EURIBOR1MD=</v>
      </c>
      <c r="I7" s="359">
        <v>42746</v>
      </c>
      <c r="J7" s="360">
        <v>-0.372</v>
      </c>
      <c r="K7" s="360" t="b">
        <f>IF(AND(ISNUMBER($J7),$J7&lt;&gt;0%,_xll.ohTrigger(Trigger)+1),TRUE,FALSE)</f>
        <v>1</v>
      </c>
      <c r="L7" s="361" t="b">
        <f>IF($K7,_xll.qlIndexAddFixings($E7,$I7,$J7/100,TRUE,ISERROR($M7)),NA())</f>
        <v>1</v>
      </c>
      <c r="M7" s="358" t="e">
        <f>_xll.qlIndexFixing($E7,$I7,TRUE,$K7)</f>
        <v>#NUM!</v>
      </c>
      <c r="N7" s="352"/>
    </row>
    <row r="8" spans="2:18" s="339" customFormat="1" x14ac:dyDescent="0.2">
      <c r="B8" s="347"/>
      <c r="C8" s="353" t="s">
        <v>39</v>
      </c>
      <c r="D8" s="354"/>
      <c r="E8" s="355" t="str">
        <f>_xll.qlEuribor(PROPER(Currency)&amp;FamilyName&amp;C8&amp;"MX",C8,D8,Permanent,Trigger,ObjectOverwrite)</f>
        <v>Euribor2MMX#0006</v>
      </c>
      <c r="F8" s="355" t="str">
        <f>_xll.qlLastFixingQuote(PROPER(Currency)&amp;FamilyName&amp;C8&amp;"MX"&amp;$F$3,E8,Permanent,Trigger,ObjectOverwrite)</f>
        <v>Euribor2MMXLastFixing_Quote#0006</v>
      </c>
      <c r="G8" s="356"/>
      <c r="H8" s="358" t="str">
        <f t="shared" si="0"/>
        <v>EURIBOR2MD=</v>
      </c>
      <c r="I8" s="359">
        <v>42746</v>
      </c>
      <c r="J8" s="360">
        <v>-0.34100000000000003</v>
      </c>
      <c r="K8" s="360" t="b">
        <f>IF(AND(ISNUMBER($J8),$J8&lt;&gt;0%,_xll.ohTrigger(Trigger)+1),TRUE,FALSE)</f>
        <v>1</v>
      </c>
      <c r="L8" s="361" t="b">
        <f>IF($K8,_xll.qlIndexAddFixings($E8,$I8,$J8/100,TRUE,ISERROR($M8)),NA())</f>
        <v>1</v>
      </c>
      <c r="M8" s="358" t="e">
        <f>_xll.qlIndexFixing($E8,$I8,TRUE,$K8)</f>
        <v>#NUM!</v>
      </c>
      <c r="N8" s="352"/>
    </row>
    <row r="9" spans="2:18" s="339" customFormat="1" x14ac:dyDescent="0.2">
      <c r="B9" s="347"/>
      <c r="C9" s="353" t="s">
        <v>0</v>
      </c>
      <c r="D9" s="354" t="str">
        <f>_xll.qlRelinkableHandleYieldTermStructure(UPPER(Currency)&amp;C9&amp;B9&amp;"MX",,Permanent,Trigger,ObjectOverwrite)</f>
        <v>EUR3MMX#0006</v>
      </c>
      <c r="E9" s="355" t="str">
        <f>_xll.qlEuribor(PROPER(Currency)&amp;FamilyName&amp;C9&amp;"MX",C9,D9,Permanent,Trigger,ObjectOverwrite)</f>
        <v>Euribor3MMX#0006</v>
      </c>
      <c r="F9" s="355" t="str">
        <f>_xll.qlLastFixingQuote(PROPER(Currency)&amp;FamilyName&amp;C9&amp;"MX"&amp;$F$3,E9,Permanent,Trigger,ObjectOverwrite)</f>
        <v>Euribor3MMXLastFixing_Quote#0006</v>
      </c>
      <c r="G9" s="356"/>
      <c r="H9" s="358" t="str">
        <f t="shared" si="0"/>
        <v>EURIBOR3MD=</v>
      </c>
      <c r="I9" s="359">
        <v>42746</v>
      </c>
      <c r="J9" s="360">
        <v>-0.32600000000000001</v>
      </c>
      <c r="K9" s="360" t="b">
        <f>IF(AND(ISNUMBER($J9),$J9&lt;&gt;0%,_xll.ohTrigger(Trigger)+1),TRUE,FALSE)</f>
        <v>1</v>
      </c>
      <c r="L9" s="361" t="b">
        <f>IF($K9,_xll.qlIndexAddFixings($E9,$I9,$J9/100,TRUE,ISERROR($M9)),NA())</f>
        <v>1</v>
      </c>
      <c r="M9" s="358" t="e">
        <f>_xll.qlIndexFixing($E9,$I9,TRUE,$K9)</f>
        <v>#NUM!</v>
      </c>
      <c r="N9" s="352"/>
    </row>
    <row r="10" spans="2:18" s="339" customFormat="1" x14ac:dyDescent="0.2">
      <c r="B10" s="347"/>
      <c r="C10" s="353" t="s">
        <v>3</v>
      </c>
      <c r="D10" s="354" t="str">
        <f>_xll.qlRelinkableHandleYieldTermStructure(UPPER(Currency)&amp;C10&amp;B10&amp;"MX",,Permanent,Trigger,ObjectOverwrite)</f>
        <v>EUR6MMX#0006</v>
      </c>
      <c r="E10" s="355" t="str">
        <f>_xll.qlEuribor(PROPER(Currency)&amp;FamilyName&amp;C10&amp;"MX",C10,D10,Permanent,Trigger,ObjectOverwrite)</f>
        <v>Euribor6MMX#0006</v>
      </c>
      <c r="F10" s="355" t="str">
        <f>_xll.qlLastFixingQuote(PROPER(Currency)&amp;FamilyName&amp;C10&amp;"MX"&amp;$F$3,E10,Permanent,Trigger,ObjectOverwrite)</f>
        <v>Euribor6MMXLastFixing_Quote#0006</v>
      </c>
      <c r="G10" s="356"/>
      <c r="H10" s="358" t="str">
        <f t="shared" si="0"/>
        <v>EURIBOR6MD=</v>
      </c>
      <c r="I10" s="359">
        <v>42746</v>
      </c>
      <c r="J10" s="360">
        <v>-0.23300000000000001</v>
      </c>
      <c r="K10" s="360" t="b">
        <f>IF(AND(ISNUMBER($J10),$J10&lt;&gt;0%,_xll.ohTrigger(Trigger)+1),TRUE,FALSE)</f>
        <v>1</v>
      </c>
      <c r="L10" s="361" t="b">
        <f>IF($K10,_xll.qlIndexAddFixings($E10,$I10,$J10/100,TRUE,ISERROR($M10)),NA())</f>
        <v>1</v>
      </c>
      <c r="M10" s="358" t="e">
        <f>_xll.qlIndexFixing($E10,$I10,TRUE,$K10)</f>
        <v>#NUM!</v>
      </c>
      <c r="N10" s="352"/>
    </row>
    <row r="11" spans="2:18" s="339" customFormat="1" x14ac:dyDescent="0.2">
      <c r="B11" s="347"/>
      <c r="C11" s="353" t="s">
        <v>44</v>
      </c>
      <c r="D11" s="354"/>
      <c r="E11" s="355" t="str">
        <f>_xll.qlEuribor(PROPER(Currency)&amp;FamilyName&amp;C11&amp;"MX",C11,D11,Permanent,Trigger,ObjectOverwrite)</f>
        <v>Euribor9MMX#0006</v>
      </c>
      <c r="F11" s="355" t="str">
        <f>_xll.qlLastFixingQuote(PROPER(Currency)&amp;FamilyName&amp;C11&amp;"MX"&amp;$F$3,E11,Permanent,Trigger,ObjectOverwrite)</f>
        <v>Euribor9MMXLastFixing_Quote#0006</v>
      </c>
      <c r="G11" s="356"/>
      <c r="H11" s="358" t="str">
        <f t="shared" si="0"/>
        <v>EURIBOR9MD=</v>
      </c>
      <c r="I11" s="359">
        <v>42746</v>
      </c>
      <c r="J11" s="360">
        <v>-0.15</v>
      </c>
      <c r="K11" s="360" t="b">
        <f>IF(AND(ISNUMBER($J11),$J11&lt;&gt;0%,_xll.ohTrigger(Trigger)+1),TRUE,FALSE)</f>
        <v>1</v>
      </c>
      <c r="L11" s="361" t="b">
        <f>IF($K11,_xll.qlIndexAddFixings($E11,$I11,$J11/100,TRUE,ISERROR($M11)),NA())</f>
        <v>1</v>
      </c>
      <c r="M11" s="358" t="e">
        <f>_xll.qlIndexFixing($E11,$I11,TRUE,$K11)</f>
        <v>#NUM!</v>
      </c>
      <c r="N11" s="352"/>
    </row>
    <row r="12" spans="2:18" s="339" customFormat="1" x14ac:dyDescent="0.2">
      <c r="B12" s="347"/>
      <c r="C12" s="367" t="s">
        <v>27</v>
      </c>
      <c r="D12" s="368" t="str">
        <f>_xll.qlRelinkableHandleYieldTermStructure(UPPER(Currency)&amp;C12&amp;B12&amp;"MX",,Permanent,Trigger,ObjectOverwrite)</f>
        <v>EUR1YMX#0006</v>
      </c>
      <c r="E12" s="369" t="str">
        <f>_xll.qlEuribor(PROPER(Currency)&amp;FamilyName&amp;C12&amp;"MX",C12,D12,Permanent,Trigger,ObjectOverwrite)</f>
        <v>Euribor1YMX#0006</v>
      </c>
      <c r="F12" s="369" t="str">
        <f>_xll.qlLastFixingQuote(PROPER(Currency)&amp;FamilyName&amp;C12&amp;"MX"&amp;$F$3,E12,Permanent,Trigger,ObjectOverwrite)</f>
        <v>Euribor1YMXLastFixing_Quote#0006</v>
      </c>
      <c r="G12" s="356"/>
      <c r="H12" s="363" t="str">
        <f t="shared" si="0"/>
        <v>EURIBOR1YD=</v>
      </c>
      <c r="I12" s="364">
        <v>42746</v>
      </c>
      <c r="J12" s="365">
        <v>-9.0999999999999998E-2</v>
      </c>
      <c r="K12" s="365" t="b">
        <f>IF(AND(ISNUMBER($J12),$J12&lt;&gt;0%,_xll.ohTrigger(Trigger)+1),TRUE,FALSE)</f>
        <v>1</v>
      </c>
      <c r="L12" s="366" t="b">
        <f>IF($K12,_xll.qlIndexAddFixings($E12,$I12,$J12/100,TRUE,ISERROR($M12)),NA())</f>
        <v>1</v>
      </c>
      <c r="M12" s="363" t="e">
        <f>_xll.qlIndexFixing($E12,$I12,TRUE,$K12)</f>
        <v>#NUM!</v>
      </c>
      <c r="N12" s="352"/>
    </row>
    <row r="13" spans="2:18" s="339" customFormat="1" x14ac:dyDescent="0.2">
      <c r="B13" s="370"/>
      <c r="C13" s="371"/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2"/>
    </row>
    <row r="14" spans="2:18" s="339" customFormat="1" x14ac:dyDescent="0.2">
      <c r="E14" s="340"/>
      <c r="F14" s="340"/>
      <c r="G14" s="340"/>
      <c r="J14" s="340"/>
    </row>
    <row r="15" spans="2:18" x14ac:dyDescent="0.2">
      <c r="E15" s="373" t="s">
        <v>181</v>
      </c>
      <c r="F15" s="374" t="str">
        <f>"START:"&amp;_xll.qlSettingsEvaluationDate(Trigger)&amp; " END:"&amp;_xll.qlSettingsEvaluationDate(Trigger)&amp;" INTERVAL:1D"</f>
        <v>START:42746 END:42746 INTERVAL:1D</v>
      </c>
      <c r="H15" s="375" t="str">
        <f>_xll.RHistory(I16,$F$17&amp;";"&amp;$F$18,$F$15,,"SORT:"&amp;$F$16&amp;" CH:Fd",J15)</f>
        <v>Paused at 15:03:33</v>
      </c>
      <c r="I15" s="375"/>
      <c r="J15" s="376" t="s">
        <v>190</v>
      </c>
      <c r="K15" s="377"/>
      <c r="L15" s="377" t="s">
        <v>179</v>
      </c>
    </row>
    <row r="16" spans="2:18" x14ac:dyDescent="0.2">
      <c r="E16" s="373" t="s">
        <v>182</v>
      </c>
      <c r="F16" s="369" t="s">
        <v>183</v>
      </c>
      <c r="H16" s="378" t="s">
        <v>2</v>
      </c>
      <c r="I16" s="378" t="str">
        <f>Currency&amp;UPPER(FamilyName)&amp;H16&amp;"D="</f>
        <v>EURIBOR1MD=</v>
      </c>
      <c r="J16" s="379" t="e">
        <v>#N/A</v>
      </c>
      <c r="K16" s="380"/>
      <c r="L16" s="381" t="e">
        <f>_xll.qlIndexAddFixings(PROPER(Currency)&amp;FamilyName&amp;H16,J16,K16/100,TRUE,_xll.ohTrigger(Euribor!E4:E12))</f>
        <v>#NUM!</v>
      </c>
    </row>
    <row r="17" spans="1:25" x14ac:dyDescent="0.2">
      <c r="E17" s="373" t="s">
        <v>184</v>
      </c>
      <c r="F17" s="369" t="s">
        <v>185</v>
      </c>
    </row>
    <row r="18" spans="1:25" x14ac:dyDescent="0.2">
      <c r="F18" s="369" t="s">
        <v>186</v>
      </c>
      <c r="H18" s="375" t="str">
        <f>_xll.RHistory(I19,$F$17&amp;";"&amp;$F$18,$F$15,,"SORT:"&amp;$F$16&amp;" CH:Fd",J18)</f>
        <v>Paused at 15:03:33</v>
      </c>
      <c r="I18" s="375"/>
      <c r="J18" s="376" t="s">
        <v>190</v>
      </c>
      <c r="K18" s="377"/>
      <c r="L18" s="377" t="s">
        <v>179</v>
      </c>
    </row>
    <row r="19" spans="1:25" x14ac:dyDescent="0.2">
      <c r="H19" s="378" t="s">
        <v>0</v>
      </c>
      <c r="I19" s="378" t="str">
        <f>Currency&amp;UPPER(FamilyName)&amp;H19&amp;"D="</f>
        <v>EURIBOR3MD=</v>
      </c>
      <c r="J19" s="379" t="e">
        <v>#N/A</v>
      </c>
      <c r="K19" s="380"/>
      <c r="L19" s="381" t="e">
        <f>_xll.qlIndexAddFixings(PROPER(Currency)&amp;FamilyName&amp;H19,J19,K19/100,TRUE,_xll.ohTrigger(Euribor!E4:E12))</f>
        <v>#NUM!</v>
      </c>
    </row>
    <row r="21" spans="1:25" s="339" customFormat="1" x14ac:dyDescent="0.2">
      <c r="A21" s="340"/>
      <c r="B21" s="340"/>
      <c r="C21" s="340"/>
      <c r="D21" s="340"/>
      <c r="E21" s="340"/>
      <c r="F21" s="340"/>
      <c r="G21" s="340"/>
      <c r="H21" s="375" t="str">
        <f>_xll.RHistory(I22,$F$17&amp;";"&amp;$F$18,$F$15,,"SORT:"&amp;$F$16&amp;" CH:Fd",J21)</f>
        <v>Paused at 15:03:33</v>
      </c>
      <c r="I21" s="375"/>
      <c r="J21" s="376" t="s">
        <v>190</v>
      </c>
      <c r="K21" s="377"/>
      <c r="L21" s="377" t="s">
        <v>179</v>
      </c>
      <c r="M21" s="340"/>
      <c r="N21" s="340"/>
      <c r="O21" s="340"/>
      <c r="P21" s="340"/>
      <c r="Q21" s="340"/>
      <c r="R21" s="340"/>
      <c r="S21" s="340"/>
      <c r="T21" s="340"/>
      <c r="U21" s="340"/>
      <c r="V21" s="340"/>
    </row>
    <row r="22" spans="1:25" s="339" customFormat="1" x14ac:dyDescent="0.2">
      <c r="A22" s="340"/>
      <c r="B22" s="340"/>
      <c r="C22" s="340"/>
      <c r="D22" s="340"/>
      <c r="E22" s="340"/>
      <c r="F22" s="340"/>
      <c r="G22" s="340"/>
      <c r="H22" s="378" t="s">
        <v>3</v>
      </c>
      <c r="I22" s="378" t="str">
        <f>Currency&amp;UPPER(FamilyName)&amp;H22&amp;"D="</f>
        <v>EURIBOR6MD=</v>
      </c>
      <c r="J22" s="379" t="e">
        <v>#N/A</v>
      </c>
      <c r="K22" s="380"/>
      <c r="L22" s="381" t="e">
        <f>_xll.qlIndexAddFixings(PROPER(Currency)&amp;FamilyName&amp;H22,J22,K22/100,TRUE,_xll.ohTrigger(Euribor!E4:E12))</f>
        <v>#NUM!</v>
      </c>
      <c r="M22" s="340"/>
      <c r="N22" s="340"/>
      <c r="O22" s="340"/>
      <c r="P22" s="340"/>
      <c r="Q22" s="340"/>
      <c r="R22" s="340"/>
      <c r="S22" s="340"/>
      <c r="T22" s="340"/>
      <c r="U22" s="340"/>
      <c r="V22" s="340"/>
    </row>
    <row r="23" spans="1:25" s="339" customFormat="1" x14ac:dyDescent="0.2">
      <c r="A23" s="340"/>
      <c r="B23" s="340"/>
      <c r="C23" s="340"/>
      <c r="D23" s="340"/>
      <c r="E23" s="340"/>
      <c r="F23" s="340"/>
      <c r="G23" s="340"/>
      <c r="H23" s="340"/>
      <c r="I23" s="340"/>
      <c r="J23" s="340"/>
      <c r="K23" s="340"/>
      <c r="L23" s="340"/>
      <c r="M23" s="340"/>
      <c r="N23" s="340"/>
      <c r="O23" s="340"/>
      <c r="P23" s="340"/>
      <c r="Q23" s="340"/>
      <c r="R23" s="340"/>
      <c r="S23" s="340"/>
      <c r="T23" s="340"/>
      <c r="U23" s="340"/>
      <c r="V23" s="340"/>
    </row>
    <row r="24" spans="1:25" s="339" customFormat="1" x14ac:dyDescent="0.2">
      <c r="A24" s="340"/>
      <c r="B24" s="340"/>
      <c r="C24" s="340"/>
      <c r="D24" s="340"/>
      <c r="E24" s="340"/>
      <c r="F24" s="340"/>
      <c r="G24" s="340"/>
      <c r="H24" s="375" t="str">
        <f>_xll.RHistory(I25,$F$17&amp;";"&amp;$F$18,$F$15,,"SORT:"&amp;$F$16&amp;" CH:Fd",J24)</f>
        <v>Paused at 15:03:33</v>
      </c>
      <c r="I24" s="375"/>
      <c r="J24" s="376" t="s">
        <v>190</v>
      </c>
      <c r="K24" s="377"/>
      <c r="L24" s="377" t="s">
        <v>179</v>
      </c>
      <c r="M24" s="340"/>
      <c r="N24" s="340"/>
      <c r="O24" s="340"/>
      <c r="P24" s="340"/>
      <c r="Q24" s="340"/>
      <c r="R24" s="340"/>
      <c r="S24" s="340"/>
      <c r="T24" s="340"/>
      <c r="U24" s="340"/>
      <c r="V24" s="340"/>
    </row>
    <row r="25" spans="1:25" s="339" customFormat="1" x14ac:dyDescent="0.2">
      <c r="A25" s="340"/>
      <c r="B25" s="340"/>
      <c r="C25" s="340"/>
      <c r="D25" s="340"/>
      <c r="E25" s="340"/>
      <c r="F25" s="340"/>
      <c r="G25" s="340"/>
      <c r="H25" s="378" t="s">
        <v>27</v>
      </c>
      <c r="I25" s="378" t="str">
        <f>Currency&amp;UPPER(FamilyName)&amp;H25&amp;"D="</f>
        <v>EURIBOR1YD=</v>
      </c>
      <c r="J25" s="379" t="e">
        <v>#N/A</v>
      </c>
      <c r="K25" s="380"/>
      <c r="L25" s="381" t="e">
        <f>_xll.qlIndexAddFixings(PROPER(Currency)&amp;FamilyName&amp;H25,J25,K25/100,TRUE,_xll.ohTrigger(Euribor!E4:E12))</f>
        <v>#NUM!</v>
      </c>
      <c r="M25" s="340"/>
      <c r="N25" s="340"/>
      <c r="O25" s="340"/>
      <c r="P25" s="340"/>
      <c r="Q25" s="340"/>
      <c r="R25" s="340"/>
      <c r="S25" s="340"/>
      <c r="T25" s="340"/>
      <c r="U25" s="340"/>
      <c r="V25" s="340"/>
    </row>
    <row r="26" spans="1:25" s="339" customFormat="1" x14ac:dyDescent="0.2">
      <c r="A26" s="340"/>
      <c r="B26" s="340"/>
      <c r="C26" s="340"/>
      <c r="D26" s="340"/>
      <c r="E26" s="340"/>
      <c r="F26" s="340"/>
      <c r="G26" s="340"/>
      <c r="H26" s="340"/>
      <c r="I26" s="340"/>
      <c r="J26" s="340"/>
      <c r="K26" s="340"/>
      <c r="L26" s="340"/>
      <c r="M26" s="340"/>
      <c r="N26" s="340"/>
      <c r="O26" s="340"/>
      <c r="P26" s="340"/>
      <c r="Q26" s="340"/>
      <c r="R26" s="340"/>
      <c r="S26" s="340"/>
      <c r="T26" s="340"/>
      <c r="U26" s="340"/>
      <c r="V26" s="340"/>
    </row>
    <row r="27" spans="1:25" s="339" customFormat="1" x14ac:dyDescent="0.2">
      <c r="A27" s="340"/>
      <c r="B27" s="340"/>
      <c r="C27" s="340"/>
      <c r="D27" s="340"/>
      <c r="E27" s="340"/>
      <c r="F27" s="340"/>
      <c r="G27" s="340"/>
      <c r="H27" s="340"/>
      <c r="I27" s="340"/>
      <c r="J27" s="340"/>
      <c r="K27" s="340"/>
      <c r="L27" s="340"/>
      <c r="M27" s="340"/>
      <c r="N27" s="340"/>
      <c r="O27" s="340"/>
      <c r="P27" s="340"/>
      <c r="Q27" s="340"/>
      <c r="R27" s="340"/>
      <c r="S27" s="340"/>
      <c r="T27" s="340"/>
      <c r="U27" s="340"/>
      <c r="V27" s="340"/>
      <c r="W27" s="340"/>
      <c r="X27" s="340"/>
      <c r="Y27" s="340"/>
    </row>
    <row r="28" spans="1:25" s="339" customFormat="1" x14ac:dyDescent="0.2">
      <c r="A28" s="340"/>
      <c r="B28" s="340"/>
      <c r="C28" s="340"/>
      <c r="D28" s="340"/>
      <c r="E28" s="340"/>
      <c r="F28" s="340"/>
      <c r="G28" s="340"/>
      <c r="H28" s="340"/>
      <c r="I28" s="340"/>
      <c r="J28" s="340"/>
      <c r="K28" s="340"/>
      <c r="L28" s="340"/>
      <c r="M28" s="340"/>
      <c r="N28" s="340"/>
      <c r="O28" s="340"/>
      <c r="P28" s="340"/>
      <c r="Q28" s="340"/>
      <c r="R28" s="340"/>
      <c r="S28" s="340"/>
      <c r="T28" s="340"/>
      <c r="U28" s="340"/>
      <c r="V28" s="340"/>
      <c r="W28" s="340"/>
      <c r="X28" s="340"/>
      <c r="Y28" s="340"/>
    </row>
    <row r="29" spans="1:25" s="339" customFormat="1" x14ac:dyDescent="0.2">
      <c r="A29" s="340"/>
      <c r="B29" s="340"/>
      <c r="C29" s="340"/>
      <c r="D29" s="340"/>
      <c r="E29" s="340"/>
      <c r="F29" s="340"/>
      <c r="G29" s="340"/>
      <c r="H29" s="340"/>
      <c r="I29" s="340"/>
      <c r="J29" s="340"/>
      <c r="K29" s="340"/>
      <c r="L29" s="340"/>
      <c r="M29" s="340"/>
      <c r="N29" s="340"/>
      <c r="O29" s="340"/>
      <c r="P29" s="340"/>
      <c r="Q29" s="340"/>
      <c r="R29" s="340"/>
      <c r="S29" s="340"/>
      <c r="T29" s="340"/>
      <c r="U29" s="340"/>
      <c r="V29" s="340"/>
      <c r="W29" s="340"/>
      <c r="X29" s="340"/>
      <c r="Y29" s="340"/>
    </row>
    <row r="30" spans="1:25" s="339" customFormat="1" x14ac:dyDescent="0.2">
      <c r="A30" s="340"/>
      <c r="B30" s="340"/>
      <c r="C30" s="340"/>
      <c r="D30" s="340"/>
      <c r="E30" s="340"/>
      <c r="F30" s="340"/>
      <c r="G30" s="340"/>
      <c r="H30" s="340"/>
      <c r="I30" s="340"/>
      <c r="J30" s="340"/>
      <c r="K30" s="340"/>
      <c r="L30" s="340"/>
      <c r="M30" s="340"/>
      <c r="N30" s="340"/>
      <c r="O30" s="340"/>
      <c r="P30" s="340"/>
      <c r="Q30" s="340"/>
      <c r="R30" s="340"/>
      <c r="S30" s="340"/>
      <c r="T30" s="340"/>
      <c r="U30" s="340"/>
      <c r="V30" s="340"/>
      <c r="W30" s="340"/>
      <c r="X30" s="340"/>
      <c r="Y30" s="340"/>
    </row>
    <row r="31" spans="1:25" s="339" customFormat="1" x14ac:dyDescent="0.2">
      <c r="A31" s="340"/>
      <c r="B31" s="340"/>
      <c r="C31" s="340"/>
      <c r="D31" s="340"/>
      <c r="E31" s="340"/>
      <c r="F31" s="340"/>
      <c r="G31" s="340"/>
      <c r="H31" s="340"/>
      <c r="I31" s="340"/>
      <c r="J31" s="340"/>
      <c r="K31" s="340"/>
      <c r="L31" s="340"/>
      <c r="M31" s="340"/>
      <c r="N31" s="340"/>
      <c r="O31" s="340"/>
      <c r="P31" s="340"/>
      <c r="Q31" s="340"/>
      <c r="R31" s="340"/>
      <c r="S31" s="340"/>
      <c r="T31" s="340"/>
      <c r="U31" s="340"/>
      <c r="V31" s="340"/>
      <c r="W31" s="340"/>
      <c r="X31" s="340"/>
      <c r="Y31" s="340"/>
    </row>
    <row r="32" spans="1:25" s="339" customFormat="1" x14ac:dyDescent="0.2">
      <c r="A32" s="340"/>
      <c r="B32" s="340"/>
      <c r="C32" s="340"/>
      <c r="D32" s="340"/>
      <c r="E32" s="340"/>
      <c r="F32" s="340"/>
      <c r="G32" s="340"/>
      <c r="H32" s="340"/>
      <c r="I32" s="340"/>
      <c r="J32" s="340"/>
      <c r="K32" s="340"/>
      <c r="L32" s="340"/>
      <c r="M32" s="340"/>
      <c r="N32" s="340"/>
      <c r="O32" s="340"/>
      <c r="P32" s="340"/>
      <c r="Q32" s="340"/>
      <c r="R32" s="340"/>
      <c r="S32" s="340"/>
      <c r="T32" s="340"/>
      <c r="U32" s="340"/>
      <c r="V32" s="340"/>
      <c r="W32" s="340"/>
      <c r="X32" s="340"/>
      <c r="Y32" s="340"/>
    </row>
    <row r="33" spans="1:25" s="339" customFormat="1" x14ac:dyDescent="0.2">
      <c r="A33" s="340"/>
      <c r="B33" s="340"/>
      <c r="C33" s="340"/>
      <c r="D33" s="340"/>
      <c r="E33" s="340"/>
      <c r="F33" s="340"/>
      <c r="G33" s="340"/>
      <c r="H33" s="340"/>
      <c r="I33" s="340"/>
      <c r="J33" s="340"/>
      <c r="K33" s="340"/>
      <c r="L33" s="340"/>
      <c r="M33" s="340"/>
      <c r="N33" s="340"/>
      <c r="O33" s="340"/>
      <c r="P33" s="340"/>
      <c r="Q33" s="340"/>
      <c r="R33" s="340"/>
      <c r="S33" s="340"/>
      <c r="T33" s="340"/>
      <c r="U33" s="340"/>
      <c r="V33" s="340"/>
      <c r="W33" s="340"/>
      <c r="X33" s="340"/>
      <c r="Y33" s="340"/>
    </row>
    <row r="34" spans="1:25" s="339" customFormat="1" x14ac:dyDescent="0.2">
      <c r="A34" s="340"/>
      <c r="B34" s="340"/>
      <c r="C34" s="340"/>
      <c r="D34" s="340"/>
      <c r="E34" s="340"/>
      <c r="F34" s="340"/>
      <c r="G34" s="340"/>
      <c r="H34" s="340"/>
      <c r="I34" s="340"/>
      <c r="J34" s="340"/>
      <c r="K34" s="340"/>
      <c r="L34" s="340"/>
      <c r="M34" s="340"/>
      <c r="N34" s="340"/>
      <c r="O34" s="340"/>
      <c r="P34" s="340"/>
      <c r="Q34" s="340"/>
      <c r="R34" s="340"/>
      <c r="S34" s="340"/>
      <c r="T34" s="340"/>
      <c r="U34" s="340"/>
      <c r="V34" s="340"/>
      <c r="W34" s="340"/>
      <c r="X34" s="340"/>
      <c r="Y34" s="340"/>
    </row>
    <row r="35" spans="1:25" s="339" customFormat="1" x14ac:dyDescent="0.2">
      <c r="A35" s="340"/>
      <c r="B35" s="340"/>
      <c r="C35" s="340"/>
      <c r="D35" s="340"/>
      <c r="E35" s="340"/>
      <c r="F35" s="340"/>
      <c r="G35" s="340"/>
      <c r="H35" s="340"/>
      <c r="I35" s="340"/>
      <c r="J35" s="340"/>
      <c r="K35" s="340"/>
      <c r="L35" s="340"/>
      <c r="M35" s="340"/>
      <c r="N35" s="340"/>
      <c r="O35" s="340"/>
      <c r="P35" s="340"/>
      <c r="Q35" s="340"/>
      <c r="R35" s="340"/>
      <c r="S35" s="340"/>
      <c r="T35" s="340"/>
      <c r="U35" s="340"/>
      <c r="V35" s="340"/>
      <c r="W35" s="340"/>
      <c r="X35" s="340"/>
      <c r="Y35" s="340"/>
    </row>
    <row r="36" spans="1:25" s="339" customFormat="1" x14ac:dyDescent="0.2">
      <c r="A36" s="340"/>
      <c r="B36" s="340"/>
      <c r="C36" s="340"/>
      <c r="D36" s="340"/>
      <c r="E36" s="340"/>
      <c r="F36" s="340"/>
      <c r="G36" s="340"/>
      <c r="H36" s="340"/>
      <c r="I36" s="340"/>
      <c r="J36" s="340"/>
      <c r="K36" s="340"/>
      <c r="L36" s="340"/>
      <c r="M36" s="340"/>
      <c r="N36" s="340"/>
      <c r="O36" s="340"/>
      <c r="P36" s="340"/>
      <c r="Q36" s="340"/>
      <c r="R36" s="340"/>
      <c r="S36" s="340"/>
      <c r="T36" s="340"/>
      <c r="U36" s="340"/>
      <c r="V36" s="340"/>
      <c r="W36" s="340"/>
      <c r="X36" s="340"/>
      <c r="Y36" s="340"/>
    </row>
  </sheetData>
  <pageMargins left="0.75" right="0.75" top="1" bottom="1" header="0.5" footer="0.5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3"/>
  <sheetViews>
    <sheetView workbookViewId="0">
      <selection activeCell="I18" sqref="I18"/>
    </sheetView>
  </sheetViews>
  <sheetFormatPr defaultRowHeight="11.25" x14ac:dyDescent="0.2"/>
  <cols>
    <col min="1" max="1" width="2.7109375" style="226" customWidth="1"/>
    <col min="2" max="2" width="4" style="226" bestFit="1" customWidth="1"/>
    <col min="3" max="3" width="6.7109375" style="227" bestFit="1" customWidth="1"/>
    <col min="4" max="4" width="13.140625" style="227" bestFit="1" customWidth="1"/>
    <col min="5" max="5" width="18.28515625" style="227" bestFit="1" customWidth="1"/>
    <col min="6" max="8" width="9" style="227" bestFit="1" customWidth="1"/>
    <col min="9" max="9" width="11.28515625" style="227" bestFit="1" customWidth="1"/>
    <col min="10" max="10" width="11.28515625" style="228" customWidth="1"/>
    <col min="11" max="11" width="2.7109375" style="227" customWidth="1"/>
    <col min="12" max="12" width="4.28515625" style="227" customWidth="1"/>
    <col min="13" max="13" width="6.7109375" style="227" bestFit="1" customWidth="1"/>
    <col min="14" max="14" width="13.140625" style="227" bestFit="1" customWidth="1"/>
    <col min="15" max="15" width="18.28515625" style="227" bestFit="1" customWidth="1"/>
    <col min="16" max="18" width="9" style="227" bestFit="1" customWidth="1"/>
    <col min="19" max="19" width="11.28515625" style="227" bestFit="1" customWidth="1"/>
    <col min="20" max="20" width="11.28515625" style="228" customWidth="1"/>
    <col min="21" max="21" width="2.7109375" style="227" customWidth="1"/>
    <col min="22" max="22" width="4.28515625" style="227" customWidth="1"/>
    <col min="23" max="23" width="6.7109375" style="227" bestFit="1" customWidth="1"/>
    <col min="24" max="24" width="14.140625" style="227" bestFit="1" customWidth="1"/>
    <col min="25" max="25" width="18.28515625" style="227" bestFit="1" customWidth="1"/>
    <col min="26" max="27" width="9" style="227" bestFit="1" customWidth="1"/>
    <col min="28" max="28" width="12" style="227" bestFit="1" customWidth="1"/>
    <col min="29" max="29" width="11.28515625" style="227" bestFit="1" customWidth="1"/>
    <col min="30" max="30" width="11.28515625" style="228" customWidth="1"/>
    <col min="31" max="31" width="2.7109375" style="227" customWidth="1"/>
    <col min="32" max="32" width="4.28515625" style="227" customWidth="1"/>
    <col min="33" max="33" width="6.7109375" style="227" bestFit="1" customWidth="1"/>
    <col min="34" max="34" width="16.140625" style="227" bestFit="1" customWidth="1"/>
    <col min="35" max="35" width="19.28515625" style="227" customWidth="1"/>
    <col min="36" max="38" width="9" style="227" bestFit="1" customWidth="1"/>
    <col min="39" max="39" width="11.28515625" style="227" bestFit="1" customWidth="1"/>
    <col min="40" max="40" width="10.7109375" style="228" customWidth="1"/>
    <col min="41" max="41" width="2.7109375" style="227" customWidth="1"/>
    <col min="42" max="42" width="4.28515625" style="227" customWidth="1"/>
    <col min="43" max="43" width="6.7109375" style="227" bestFit="1" customWidth="1"/>
    <col min="44" max="44" width="16.140625" style="227" bestFit="1" customWidth="1"/>
    <col min="45" max="45" width="19.28515625" style="227" customWidth="1"/>
    <col min="46" max="47" width="8" style="227" bestFit="1" customWidth="1"/>
    <col min="48" max="48" width="9" style="227" bestFit="1" customWidth="1"/>
    <col min="49" max="49" width="11.28515625" style="227" bestFit="1" customWidth="1"/>
    <col min="50" max="50" width="10.7109375" style="228" customWidth="1"/>
    <col min="51" max="51" width="2.7109375" style="226" customWidth="1"/>
    <col min="52" max="52" width="6" style="226" bestFit="1" customWidth="1"/>
    <col min="53" max="53" width="17.28515625" style="226" bestFit="1" customWidth="1"/>
    <col min="54" max="54" width="13.140625" style="226" bestFit="1" customWidth="1"/>
    <col min="55" max="55" width="8" style="226" bestFit="1" customWidth="1"/>
    <col min="56" max="16384" width="9.140625" style="226"/>
  </cols>
  <sheetData>
    <row r="1" spans="1:53" x14ac:dyDescent="0.2">
      <c r="AB1" s="226"/>
      <c r="AC1" s="385"/>
      <c r="AD1" s="229"/>
      <c r="AE1" s="226"/>
      <c r="AF1" s="226"/>
      <c r="AG1" s="226"/>
      <c r="AH1" s="226"/>
      <c r="AI1" s="226"/>
      <c r="AJ1" s="226"/>
      <c r="AK1" s="226"/>
    </row>
    <row r="2" spans="1:53" s="230" customFormat="1" ht="13.5" x14ac:dyDescent="0.25">
      <c r="B2" s="231" t="s">
        <v>35</v>
      </c>
      <c r="C2" s="232"/>
      <c r="D2" s="233"/>
      <c r="E2" s="234"/>
      <c r="F2" s="234"/>
      <c r="G2" s="234"/>
      <c r="H2" s="235">
        <f>_xll.ohTrigger(H4:H116)</f>
        <v>34</v>
      </c>
      <c r="I2" s="227"/>
      <c r="J2" s="236"/>
      <c r="K2" s="234"/>
      <c r="L2" s="231" t="s">
        <v>2</v>
      </c>
      <c r="M2" s="232"/>
      <c r="N2" s="233"/>
      <c r="O2" s="234"/>
      <c r="P2" s="234"/>
      <c r="Q2" s="234"/>
      <c r="R2" s="235">
        <f>_xll.ohTrigger(R4:R116)</f>
        <v>52</v>
      </c>
      <c r="S2" s="227"/>
      <c r="T2" s="236"/>
      <c r="U2" s="234"/>
      <c r="V2" s="231" t="s">
        <v>0</v>
      </c>
      <c r="W2" s="232"/>
      <c r="X2" s="233"/>
      <c r="Y2" s="234"/>
      <c r="Z2" s="234"/>
      <c r="AA2" s="234"/>
      <c r="AB2" s="235">
        <f>_xll.ohTrigger(AB4:AB116)</f>
        <v>64</v>
      </c>
      <c r="AC2" s="226"/>
      <c r="AD2" s="236"/>
      <c r="AF2" s="231" t="s">
        <v>3</v>
      </c>
      <c r="AG2" s="232"/>
      <c r="AH2" s="233"/>
      <c r="AI2" s="234"/>
      <c r="AJ2" s="234"/>
      <c r="AK2" s="234"/>
      <c r="AL2" s="235">
        <f>_xll.ohTrigger(AL4:AL116)</f>
        <v>83</v>
      </c>
      <c r="AM2" s="227"/>
      <c r="AN2" s="236"/>
      <c r="AO2" s="234"/>
      <c r="AP2" s="231" t="s">
        <v>27</v>
      </c>
      <c r="AQ2" s="232"/>
      <c r="AR2" s="233"/>
      <c r="AS2" s="234"/>
      <c r="AT2" s="234"/>
      <c r="AU2" s="234"/>
      <c r="AV2" s="235">
        <f>_xll.ohTrigger(AV4:AV116)</f>
        <v>78</v>
      </c>
      <c r="AW2" s="227"/>
      <c r="AX2" s="236"/>
      <c r="AZ2" s="226"/>
      <c r="BA2" s="226"/>
    </row>
    <row r="3" spans="1:53" s="230" customFormat="1" ht="13.5" x14ac:dyDescent="0.25">
      <c r="B3" s="237"/>
      <c r="C3" s="237" t="s">
        <v>28</v>
      </c>
      <c r="D3" s="238" t="s">
        <v>138</v>
      </c>
      <c r="E3" s="238" t="s">
        <v>139</v>
      </c>
      <c r="F3" s="268" t="s">
        <v>168</v>
      </c>
      <c r="G3" s="268" t="s">
        <v>169</v>
      </c>
      <c r="H3" s="238" t="s">
        <v>170</v>
      </c>
      <c r="I3" s="238" t="s">
        <v>172</v>
      </c>
      <c r="J3" s="239" t="s">
        <v>140</v>
      </c>
      <c r="K3" s="234"/>
      <c r="L3" s="237"/>
      <c r="M3" s="237" t="s">
        <v>28</v>
      </c>
      <c r="N3" s="303" t="s">
        <v>138</v>
      </c>
      <c r="O3" s="304" t="s">
        <v>139</v>
      </c>
      <c r="P3" s="308" t="s">
        <v>168</v>
      </c>
      <c r="Q3" s="309" t="s">
        <v>169</v>
      </c>
      <c r="R3" s="304" t="s">
        <v>24</v>
      </c>
      <c r="S3" s="303" t="s">
        <v>172</v>
      </c>
      <c r="T3" s="305" t="s">
        <v>140</v>
      </c>
      <c r="U3" s="234"/>
      <c r="V3" s="237"/>
      <c r="W3" s="237" t="s">
        <v>28</v>
      </c>
      <c r="X3" s="303" t="s">
        <v>138</v>
      </c>
      <c r="Y3" s="304" t="s">
        <v>139</v>
      </c>
      <c r="Z3" s="308" t="s">
        <v>168</v>
      </c>
      <c r="AA3" s="309" t="s">
        <v>169</v>
      </c>
      <c r="AB3" s="304" t="s">
        <v>24</v>
      </c>
      <c r="AC3" s="238" t="s">
        <v>172</v>
      </c>
      <c r="AD3" s="305" t="s">
        <v>140</v>
      </c>
      <c r="AF3" s="237"/>
      <c r="AG3" s="237" t="s">
        <v>28</v>
      </c>
      <c r="AH3" s="303" t="s">
        <v>138</v>
      </c>
      <c r="AI3" s="304" t="s">
        <v>139</v>
      </c>
      <c r="AJ3" s="308" t="s">
        <v>168</v>
      </c>
      <c r="AK3" s="309" t="s">
        <v>169</v>
      </c>
      <c r="AL3" s="304" t="s">
        <v>24</v>
      </c>
      <c r="AM3" s="238" t="s">
        <v>172</v>
      </c>
      <c r="AN3" s="305" t="s">
        <v>140</v>
      </c>
      <c r="AO3" s="240"/>
      <c r="AP3" s="237"/>
      <c r="AQ3" s="237" t="s">
        <v>28</v>
      </c>
      <c r="AR3" s="237" t="s">
        <v>138</v>
      </c>
      <c r="AS3" s="238" t="s">
        <v>139</v>
      </c>
      <c r="AT3" s="313" t="s">
        <v>168</v>
      </c>
      <c r="AU3" s="268" t="s">
        <v>169</v>
      </c>
      <c r="AV3" s="238" t="s">
        <v>24</v>
      </c>
      <c r="AW3" s="238" t="s">
        <v>172</v>
      </c>
      <c r="AX3" s="239" t="s">
        <v>140</v>
      </c>
      <c r="AZ3" s="226"/>
      <c r="BA3" s="226"/>
    </row>
    <row r="4" spans="1:53" x14ac:dyDescent="0.2">
      <c r="A4" s="398" t="s">
        <v>141</v>
      </c>
      <c r="B4" s="241" t="s">
        <v>142</v>
      </c>
      <c r="C4" s="241" t="s">
        <v>35</v>
      </c>
      <c r="D4" s="241" t="str">
        <f t="shared" ref="D4:D6" si="0">IF(B4="","",UPPER(Currency)&amp;$B$2&amp;B4&amp;C4&amp;"=")</f>
        <v>EURONDPON=</v>
      </c>
      <c r="E4" s="241" t="str">
        <f>_xll.qlSimpleQuote(D4,,RateTickValue,Permanent,Trigger,ObjectOverwrite)</f>
        <v>EURONDPON=#0006</v>
      </c>
      <c r="F4" s="242">
        <f>_xll.RtGet("DTSIMI1",D4,$F$3)/100</f>
        <v>-3.7000000000000002E-3</v>
      </c>
      <c r="G4" s="242">
        <f>_xll.RtGet("DTSIMI1",D4,$G$3)/100</f>
        <v>-3.7000000000000002E-3</v>
      </c>
      <c r="H4" s="242">
        <f>AVERAGE(F4:G4)</f>
        <v>-3.7000000000000002E-3</v>
      </c>
      <c r="I4" s="314"/>
      <c r="J4" s="292" t="e">
        <f>IF(ISBLANK(I4),_xll.qlSimpleQuoteSetValue(E4,H4),_xll.qlSimpleQuoteSetValue(E4,I4))</f>
        <v>#N/A</v>
      </c>
      <c r="K4" s="243"/>
      <c r="L4" s="241" t="s">
        <v>142</v>
      </c>
      <c r="M4" s="241" t="s">
        <v>35</v>
      </c>
      <c r="N4" s="125"/>
      <c r="O4" s="125"/>
      <c r="P4" s="125"/>
      <c r="Q4" s="125"/>
      <c r="R4" s="125"/>
      <c r="S4" s="321"/>
      <c r="T4" s="295"/>
      <c r="U4" s="243"/>
      <c r="V4" s="241" t="s">
        <v>142</v>
      </c>
      <c r="W4" s="241" t="s">
        <v>35</v>
      </c>
      <c r="X4" s="129"/>
      <c r="Y4" s="129"/>
      <c r="Z4" s="129"/>
      <c r="AA4" s="129"/>
      <c r="AB4" s="129"/>
      <c r="AC4" s="322"/>
      <c r="AD4" s="296"/>
      <c r="AE4" s="243"/>
      <c r="AF4" s="241" t="s">
        <v>142</v>
      </c>
      <c r="AG4" s="241" t="s">
        <v>35</v>
      </c>
      <c r="AH4" s="129"/>
      <c r="AI4" s="129"/>
      <c r="AJ4" s="129"/>
      <c r="AK4" s="129"/>
      <c r="AL4" s="129"/>
      <c r="AM4" s="322"/>
      <c r="AN4" s="129"/>
      <c r="AO4" s="243"/>
      <c r="AP4" s="241" t="s">
        <v>142</v>
      </c>
      <c r="AQ4" s="241" t="s">
        <v>35</v>
      </c>
      <c r="AR4" s="129"/>
      <c r="AS4" s="129"/>
      <c r="AT4" s="129"/>
      <c r="AU4" s="129"/>
      <c r="AV4" s="129"/>
      <c r="AW4" s="322"/>
      <c r="AX4" s="129"/>
    </row>
    <row r="5" spans="1:53" x14ac:dyDescent="0.2">
      <c r="A5" s="399"/>
      <c r="B5" s="245" t="s">
        <v>142</v>
      </c>
      <c r="C5" s="245" t="s">
        <v>71</v>
      </c>
      <c r="D5" s="245" t="str">
        <f t="shared" si="0"/>
        <v>EURONDPTN=</v>
      </c>
      <c r="E5" s="245" t="str">
        <f>_xll.qlSimpleQuote(D5,,RateTickValue,Permanent,Trigger,ObjectOverwrite)</f>
        <v>EURONDPTN=#0006</v>
      </c>
      <c r="F5" s="246">
        <f>_xll.RtGet("DTSIMI1",D5,$F$3)/100</f>
        <v>-3.7000000000000002E-3</v>
      </c>
      <c r="G5" s="246">
        <f>_xll.RtGet("DTSIMI1",D5,$G$3)/100</f>
        <v>-3.7000000000000002E-3</v>
      </c>
      <c r="H5" s="246">
        <f t="shared" ref="H5:H6" si="1">AVERAGE(F5:G5)</f>
        <v>-3.7000000000000002E-3</v>
      </c>
      <c r="I5" s="315"/>
      <c r="J5" s="293" t="e">
        <f>IF(ISBLANK(I5),_xll.qlSimpleQuoteSetValue(E5,H5),_xll.qlSimpleQuoteSetValue(E5,I5))</f>
        <v>#N/A</v>
      </c>
      <c r="K5" s="247"/>
      <c r="L5" s="245" t="s">
        <v>142</v>
      </c>
      <c r="M5" s="245" t="s">
        <v>71</v>
      </c>
      <c r="N5" s="278"/>
      <c r="O5" s="278"/>
      <c r="P5" s="278"/>
      <c r="Q5" s="278"/>
      <c r="R5" s="278"/>
      <c r="S5" s="328"/>
      <c r="T5" s="306"/>
      <c r="U5" s="243"/>
      <c r="V5" s="245" t="s">
        <v>142</v>
      </c>
      <c r="W5" s="245" t="s">
        <v>71</v>
      </c>
      <c r="X5" s="125"/>
      <c r="Y5" s="125"/>
      <c r="Z5" s="125"/>
      <c r="AA5" s="125"/>
      <c r="AB5" s="125"/>
      <c r="AC5" s="321"/>
      <c r="AD5" s="295"/>
      <c r="AE5" s="248"/>
      <c r="AF5" s="269" t="s">
        <v>142</v>
      </c>
      <c r="AG5" s="269" t="s">
        <v>71</v>
      </c>
      <c r="AH5" s="278"/>
      <c r="AI5" s="278"/>
      <c r="AJ5" s="278"/>
      <c r="AK5" s="278"/>
      <c r="AL5" s="278"/>
      <c r="AM5" s="328"/>
      <c r="AN5" s="278"/>
      <c r="AO5" s="243"/>
      <c r="AP5" s="269" t="s">
        <v>142</v>
      </c>
      <c r="AQ5" s="269" t="s">
        <v>71</v>
      </c>
      <c r="AR5" s="278"/>
      <c r="AS5" s="278"/>
      <c r="AT5" s="278"/>
      <c r="AU5" s="278"/>
      <c r="AV5" s="278"/>
      <c r="AW5" s="328"/>
      <c r="AX5" s="278"/>
    </row>
    <row r="6" spans="1:53" x14ac:dyDescent="0.2">
      <c r="A6" s="399"/>
      <c r="B6" s="269" t="s">
        <v>142</v>
      </c>
      <c r="C6" s="269" t="s">
        <v>72</v>
      </c>
      <c r="D6" s="269" t="str">
        <f t="shared" si="0"/>
        <v>EURONDPSN=</v>
      </c>
      <c r="E6" s="269" t="str">
        <f>_xll.qlSimpleQuote(D6,,RateTickValue,Permanent,Trigger,ObjectOverwrite)</f>
        <v>EURONDPSN=#0006</v>
      </c>
      <c r="F6" s="270">
        <f>_xll.RtGet("DTSIMI1",D6,$F$3)/100</f>
        <v>-3.6127109999999994E-3</v>
      </c>
      <c r="G6" s="270">
        <f>_xll.RtGet("DTSIMI1",D6,$G$3)/100</f>
        <v>-3.6127109999999994E-3</v>
      </c>
      <c r="H6" s="270">
        <f t="shared" si="1"/>
        <v>-3.6127109999999994E-3</v>
      </c>
      <c r="I6" s="316"/>
      <c r="J6" s="294" t="e">
        <f>IF(ISBLANK(I6),_xll.qlSimpleQuoteSetValue(E6,H6),_xll.qlSimpleQuoteSetValue(E6,I6))</f>
        <v>#N/A</v>
      </c>
      <c r="K6" s="247"/>
      <c r="L6" s="274" t="s">
        <v>142</v>
      </c>
      <c r="M6" s="274" t="s">
        <v>72</v>
      </c>
      <c r="N6" s="245" t="str">
        <f>IF(L6="","",UPPER(Currency)&amp;$L$2&amp;L6&amp;M6&amp;"=")</f>
        <v>EUR1MDPSN=</v>
      </c>
      <c r="O6" s="245" t="str">
        <f>_xll.qlSimpleQuote(N6,,RateTickValue,Permanent,Trigger,ObjectOverwrite)</f>
        <v>EUR1MDPSN=#0006</v>
      </c>
      <c r="P6" s="246">
        <f>_xll.RtGet("DTSIMI1",N6,$P$3)/100</f>
        <v>-3.7560783800000002E-3</v>
      </c>
      <c r="Q6" s="246">
        <f>_xll.RtGet("DTSIMI1",N6,$Q$3)/100</f>
        <v>-3.7560783800000002E-3</v>
      </c>
      <c r="R6" s="246">
        <f t="shared" ref="R6:R10" si="2">AVERAGE(P6:Q6)</f>
        <v>-3.7560783800000002E-3</v>
      </c>
      <c r="S6" s="315"/>
      <c r="T6" s="293" t="e">
        <f>IF(ISBLANK(S6),_xll.qlSimpleQuoteSetValue(O6,R6),_xll.qlSimpleQuoteSetValue(O6,S6))</f>
        <v>#N/A</v>
      </c>
      <c r="U6" s="243"/>
      <c r="V6" s="274" t="s">
        <v>142</v>
      </c>
      <c r="W6" s="274" t="s">
        <v>72</v>
      </c>
      <c r="X6" s="274" t="str">
        <f t="shared" ref="X6:X12" si="3">IF(V6="","",UPPER(Currency)&amp;$V$2&amp;V6&amp;W6&amp;"=")</f>
        <v>EUR3MDPSN=</v>
      </c>
      <c r="Y6" s="274" t="str">
        <f>_xll.qlSimpleQuote(X6,,RateTickValue,Permanent,Trigger,ObjectOverwrite)</f>
        <v>EUR3MDPSN=#0006</v>
      </c>
      <c r="Z6" s="310">
        <f>_xll.RtGet("DTSIMI1",X6,$Z$3)/100</f>
        <v>-3.2366951199999999E-3</v>
      </c>
      <c r="AA6" s="310">
        <f>_xll.RtGet("DTSIMI1",X6,$AA$3)/100</f>
        <v>-3.2366951199999999E-3</v>
      </c>
      <c r="AB6" s="310">
        <f t="shared" ref="AB6:AB12" si="4">AVERAGE(Z6:AA6)</f>
        <v>-3.2366951199999999E-3</v>
      </c>
      <c r="AC6" s="318"/>
      <c r="AD6" s="312" t="e">
        <f>IF(ISBLANK(AC6),_xll.qlSimpleQuoteSetValue(Y6,AB6),_xll.qlSimpleQuoteSetValue(Y6,AC6))</f>
        <v>#N/A</v>
      </c>
      <c r="AE6" s="248"/>
      <c r="AF6" s="245" t="s">
        <v>142</v>
      </c>
      <c r="AG6" s="245" t="s">
        <v>72</v>
      </c>
      <c r="AH6" s="245" t="str">
        <f t="shared" ref="AH6:AH15" si="5">IF(AF6="","",UPPER(Currency)&amp;$AF$2&amp;AF6&amp;AG6&amp;"=")</f>
        <v>EUR6MDPSN=</v>
      </c>
      <c r="AI6" s="245" t="str">
        <f>_xll.qlSimpleQuote(AH6,,RateTickValue,Permanent,Trigger,ObjectOverwrite)</f>
        <v>EUR6MDPSN=#0006</v>
      </c>
      <c r="AJ6" s="246">
        <f>_xll.RtGet("DTSIMI1",AH6,$AJ$3)/100</f>
        <v>-2.3765080500000001E-3</v>
      </c>
      <c r="AK6" s="246">
        <f>_xll.RtGet("DTSIMI1",AH6,$AK$3)/100</f>
        <v>-2.3765080500000001E-3</v>
      </c>
      <c r="AL6" s="246">
        <f t="shared" ref="AL6:AL34" si="6">AVERAGE(AJ6:AK6)</f>
        <v>-2.3765080500000001E-3</v>
      </c>
      <c r="AM6" s="315"/>
      <c r="AN6" s="293" t="e">
        <f>IF(ISBLANK(AM6),_xll.qlSimpleQuoteSetValue(AI6,AL6),_xll.qlSimpleQuoteSetValue(AI6,AM6))</f>
        <v>#N/A</v>
      </c>
      <c r="AO6" s="243"/>
      <c r="AP6" s="245" t="s">
        <v>142</v>
      </c>
      <c r="AQ6" s="245" t="s">
        <v>72</v>
      </c>
      <c r="AR6" s="245" t="str">
        <f t="shared" ref="AR6:AR21" si="7">IF(AP6="","",UPPER(Currency)&amp;$AP$2&amp;AP6&amp;AQ6&amp;"=")</f>
        <v>EUR1YDPSN=</v>
      </c>
      <c r="AS6" s="245" t="str">
        <f>_xll.qlSimpleQuote(AR6,,RateTickValue,Permanent,Trigger,ObjectOverwrite)</f>
        <v>EUR1YDPSN=#0006</v>
      </c>
      <c r="AT6" s="246">
        <f>_xll.RtGet("DTSIMI1",AR6,$AT$3)/100</f>
        <v>-1.0091230400000001E-3</v>
      </c>
      <c r="AU6" s="246">
        <f>_xll.RtGet("DTSIMI1",AR6,$AU$3)/100</f>
        <v>-1.0091230400000001E-3</v>
      </c>
      <c r="AV6" s="246">
        <f t="shared" ref="AV6:AV33" si="8">AVERAGE(AT6:AU6)</f>
        <v>-1.0091230400000001E-3</v>
      </c>
      <c r="AW6" s="315"/>
      <c r="AX6" s="293" t="e">
        <f>IF(ISBLANK(AW6),_xll.qlSimpleQuoteSetValue(AS6,AV6),_xll.qlSimpleQuoteSetValue(AS6,AW6))</f>
        <v>#N/A</v>
      </c>
    </row>
    <row r="7" spans="1:53" x14ac:dyDescent="0.2">
      <c r="A7" s="399"/>
      <c r="B7" s="245" t="s">
        <v>142</v>
      </c>
      <c r="C7" s="245" t="s">
        <v>91</v>
      </c>
      <c r="D7" s="125"/>
      <c r="E7" s="125"/>
      <c r="F7" s="125"/>
      <c r="G7" s="125"/>
      <c r="H7" s="125"/>
      <c r="I7" s="321"/>
      <c r="J7" s="295"/>
      <c r="K7" s="247"/>
      <c r="L7" s="245" t="s">
        <v>142</v>
      </c>
      <c r="M7" s="245" t="s">
        <v>91</v>
      </c>
      <c r="N7" s="245" t="str">
        <f>IF(L7="","",UPPER(Currency)&amp;$L$2&amp;L7&amp;M7&amp;"=")</f>
        <v>EUR1MDPSW=</v>
      </c>
      <c r="O7" s="245" t="str">
        <f>_xll.qlSimpleQuote(N7,,RateTickValue,Permanent,Trigger,ObjectOverwrite)</f>
        <v>EUR1MDPSW=#0006</v>
      </c>
      <c r="P7" s="246">
        <f>_xll.RtGet("DTSIMI1",N7,$P$3)/100</f>
        <v>-3.7560000000000007E-3</v>
      </c>
      <c r="Q7" s="246">
        <f>_xll.RtGet("DTSIMI1",N7,$Q$3)/100</f>
        <v>-3.7560000000000007E-3</v>
      </c>
      <c r="R7" s="246">
        <f t="shared" si="2"/>
        <v>-3.7560000000000007E-3</v>
      </c>
      <c r="S7" s="315"/>
      <c r="T7" s="293" t="e">
        <f>IF(ISBLANK(S7),_xll.qlSimpleQuoteSetValue(O7,R7),_xll.qlSimpleQuoteSetValue(O7,S7))</f>
        <v>#N/A</v>
      </c>
      <c r="U7" s="243"/>
      <c r="V7" s="245" t="s">
        <v>142</v>
      </c>
      <c r="W7" s="245" t="s">
        <v>91</v>
      </c>
      <c r="X7" s="245" t="str">
        <f t="shared" si="3"/>
        <v>EUR3MDPSW=</v>
      </c>
      <c r="Y7" s="245" t="str">
        <f>_xll.qlSimpleQuote(X7,,RateTickValue,Permanent,Trigger,ObjectOverwrite)</f>
        <v>EUR3MDPSW=#0006</v>
      </c>
      <c r="Z7" s="246">
        <f>_xll.RtGet("DTSIMI1",X7,$Z$3)/100</f>
        <v>-3.23663692E-3</v>
      </c>
      <c r="AA7" s="246">
        <f>_xll.RtGet("DTSIMI1",X7,$AA$3)/100</f>
        <v>-3.23663692E-3</v>
      </c>
      <c r="AB7" s="246">
        <f t="shared" si="4"/>
        <v>-3.23663692E-3</v>
      </c>
      <c r="AC7" s="315"/>
      <c r="AD7" s="293" t="e">
        <f>IF(ISBLANK(AC7),_xll.qlSimpleQuoteSetValue(Y7,AB7),_xll.qlSimpleQuoteSetValue(Y7,AC7))</f>
        <v>#N/A</v>
      </c>
      <c r="AE7" s="248"/>
      <c r="AF7" s="245" t="s">
        <v>142</v>
      </c>
      <c r="AG7" s="245" t="s">
        <v>91</v>
      </c>
      <c r="AH7" s="245" t="str">
        <f t="shared" si="5"/>
        <v>EUR6MDPSW=</v>
      </c>
      <c r="AI7" s="245" t="str">
        <f>_xll.qlSimpleQuote(AH7,,RateTickValue,Permanent,Trigger,ObjectOverwrite)</f>
        <v>EUR6MDPSW=#0006</v>
      </c>
      <c r="AJ7" s="246">
        <f>_xll.RtGet("DTSIMI1",AH7,$AJ$3)/100</f>
        <v>-2.3764766800000001E-3</v>
      </c>
      <c r="AK7" s="246">
        <f>_xll.RtGet("DTSIMI1",AH7,$AK$3)/100</f>
        <v>-2.3764766800000001E-3</v>
      </c>
      <c r="AL7" s="246">
        <f t="shared" si="6"/>
        <v>-2.3764766800000001E-3</v>
      </c>
      <c r="AM7" s="315"/>
      <c r="AN7" s="293" t="e">
        <f>IF(ISBLANK(AM7),_xll.qlSimpleQuoteSetValue(AI7,AL7),_xll.qlSimpleQuoteSetValue(AI7,AM7))</f>
        <v>#N/A</v>
      </c>
      <c r="AO7" s="243"/>
      <c r="AP7" s="245" t="s">
        <v>142</v>
      </c>
      <c r="AQ7" s="245" t="s">
        <v>91</v>
      </c>
      <c r="AR7" s="245" t="str">
        <f t="shared" si="7"/>
        <v>EUR1YDPSW=</v>
      </c>
      <c r="AS7" s="245" t="str">
        <f>_xll.qlSimpleQuote(AR7,,RateTickValue,Permanent,Trigger,ObjectOverwrite)</f>
        <v>EUR1YDPSW=#0006</v>
      </c>
      <c r="AT7" s="246">
        <f>_xll.RtGet("DTSIMI1",AR7,$AT$3)/100</f>
        <v>-1.0091173799999999E-3</v>
      </c>
      <c r="AU7" s="246">
        <f>_xll.RtGet("DTSIMI1",AR7,$AU$3)/100</f>
        <v>-1.0091173799999999E-3</v>
      </c>
      <c r="AV7" s="246">
        <f t="shared" si="8"/>
        <v>-1.0091173799999999E-3</v>
      </c>
      <c r="AW7" s="315"/>
      <c r="AX7" s="293" t="e">
        <f>IF(ISBLANK(AW7),_xll.qlSimpleQuoteSetValue(AS7,AV7),_xll.qlSimpleQuoteSetValue(AS7,AW7))</f>
        <v>#N/A</v>
      </c>
    </row>
    <row r="8" spans="1:53" x14ac:dyDescent="0.2">
      <c r="A8" s="399"/>
      <c r="B8" s="245" t="s">
        <v>142</v>
      </c>
      <c r="C8" s="245" t="s">
        <v>37</v>
      </c>
      <c r="D8" s="125"/>
      <c r="E8" s="125"/>
      <c r="F8" s="125"/>
      <c r="G8" s="125"/>
      <c r="H8" s="125"/>
      <c r="I8" s="321"/>
      <c r="J8" s="295"/>
      <c r="K8" s="247"/>
      <c r="L8" s="245" t="s">
        <v>142</v>
      </c>
      <c r="M8" s="245" t="s">
        <v>37</v>
      </c>
      <c r="N8" s="245" t="str">
        <f>IF(L8="","",UPPER(Currency)&amp;$L$2&amp;L8&amp;M8&amp;"=")</f>
        <v>EUR1MDP2W=</v>
      </c>
      <c r="O8" s="245" t="str">
        <f>_xll.qlSimpleQuote(N8,,RateTickValue,Permanent,Trigger,ObjectOverwrite)</f>
        <v>EUR1MDP2W=#0006</v>
      </c>
      <c r="P8" s="246">
        <f>_xll.RtGet("DTSIMI1",N8,$P$3)/100</f>
        <v>-3.7430000000000002E-3</v>
      </c>
      <c r="Q8" s="246">
        <f>_xll.RtGet("DTSIMI1",N8,$Q$3)/100</f>
        <v>-3.7430000000000002E-3</v>
      </c>
      <c r="R8" s="246">
        <f t="shared" si="2"/>
        <v>-3.7430000000000002E-3</v>
      </c>
      <c r="S8" s="315"/>
      <c r="T8" s="293" t="e">
        <f>IF(ISBLANK(S8),_xll.qlSimpleQuoteSetValue(O8,R8),_xll.qlSimpleQuoteSetValue(O8,S8))</f>
        <v>#N/A</v>
      </c>
      <c r="U8" s="243"/>
      <c r="V8" s="245" t="s">
        <v>142</v>
      </c>
      <c r="W8" s="245" t="s">
        <v>37</v>
      </c>
      <c r="X8" s="245" t="str">
        <f t="shared" si="3"/>
        <v>EUR3MDP2W=</v>
      </c>
      <c r="Y8" s="245" t="str">
        <f>_xll.qlSimpleQuote(X8,,RateTickValue,Permanent,Trigger,ObjectOverwrite)</f>
        <v>EUR3MDP2W=#0006</v>
      </c>
      <c r="Z8" s="246">
        <f>_xll.RtGet("DTSIMI1",X8,$Z$3)/100</f>
        <v>-3.2365350700000002E-3</v>
      </c>
      <c r="AA8" s="246">
        <f>_xll.RtGet("DTSIMI1",X8,$AA$3)/100</f>
        <v>-3.2365350700000002E-3</v>
      </c>
      <c r="AB8" s="246">
        <f t="shared" si="4"/>
        <v>-3.2365350700000002E-3</v>
      </c>
      <c r="AC8" s="315"/>
      <c r="AD8" s="293" t="e">
        <f>IF(ISBLANK(AC8),_xll.qlSimpleQuoteSetValue(Y8,AB8),_xll.qlSimpleQuoteSetValue(Y8,AC8))</f>
        <v>#N/A</v>
      </c>
      <c r="AE8" s="248"/>
      <c r="AF8" s="245" t="s">
        <v>142</v>
      </c>
      <c r="AG8" s="245" t="s">
        <v>37</v>
      </c>
      <c r="AH8" s="245" t="str">
        <f t="shared" si="5"/>
        <v>EUR6MDP2W=</v>
      </c>
      <c r="AI8" s="245" t="str">
        <f>_xll.qlSimpleQuote(AH8,,RateTickValue,Permanent,Trigger,ObjectOverwrite)</f>
        <v>EUR6MDP2W=#0006</v>
      </c>
      <c r="AJ8" s="246">
        <f>_xll.RtGet("DTSIMI1",AH8,$AJ$3)/100</f>
        <v>-2.37642177E-3</v>
      </c>
      <c r="AK8" s="246">
        <f>_xll.RtGet("DTSIMI1",AH8,$AK$3)/100</f>
        <v>-2.37642177E-3</v>
      </c>
      <c r="AL8" s="246">
        <f t="shared" si="6"/>
        <v>-2.37642177E-3</v>
      </c>
      <c r="AM8" s="315"/>
      <c r="AN8" s="293" t="e">
        <f>IF(ISBLANK(AM8),_xll.qlSimpleQuoteSetValue(AI8,AL8),_xll.qlSimpleQuoteSetValue(AI8,AM8))</f>
        <v>#N/A</v>
      </c>
      <c r="AO8" s="243"/>
      <c r="AP8" s="245" t="s">
        <v>142</v>
      </c>
      <c r="AQ8" s="245" t="s">
        <v>37</v>
      </c>
      <c r="AR8" s="245" t="str">
        <f t="shared" si="7"/>
        <v>EUR1YDP2W=</v>
      </c>
      <c r="AS8" s="245" t="str">
        <f>_xll.qlSimpleQuote(AR8,,RateTickValue,Permanent,Trigger,ObjectOverwrite)</f>
        <v>EUR1YDP2W=#0006</v>
      </c>
      <c r="AT8" s="246">
        <f>_xll.RtGet("DTSIMI1",AR8,$AT$3)/100</f>
        <v>-1.00910748E-3</v>
      </c>
      <c r="AU8" s="246">
        <f>_xll.RtGet("DTSIMI1",AR8,$AU$3)/100</f>
        <v>-1.00910748E-3</v>
      </c>
      <c r="AV8" s="246">
        <f t="shared" si="8"/>
        <v>-1.00910748E-3</v>
      </c>
      <c r="AW8" s="315"/>
      <c r="AX8" s="293" t="e">
        <f>IF(ISBLANK(AW8),_xll.qlSimpleQuoteSetValue(AS8,AV8),_xll.qlSimpleQuoteSetValue(AS8,AW8))</f>
        <v>#N/A</v>
      </c>
    </row>
    <row r="9" spans="1:53" x14ac:dyDescent="0.2">
      <c r="A9" s="399"/>
      <c r="B9" s="245" t="s">
        <v>142</v>
      </c>
      <c r="C9" s="245" t="s">
        <v>38</v>
      </c>
      <c r="D9" s="125"/>
      <c r="E9" s="125"/>
      <c r="F9" s="125"/>
      <c r="G9" s="125"/>
      <c r="H9" s="125"/>
      <c r="I9" s="321"/>
      <c r="J9" s="295"/>
      <c r="K9" s="247"/>
      <c r="L9" s="245" t="s">
        <v>142</v>
      </c>
      <c r="M9" s="245" t="s">
        <v>38</v>
      </c>
      <c r="N9" s="245" t="str">
        <f>IF(L9="","",UPPER(Currency)&amp;$L$2&amp;L9&amp;M9&amp;"=")</f>
        <v>EUR1MDP3W=</v>
      </c>
      <c r="O9" s="245" t="str">
        <f>_xll.qlSimpleQuote(N9,,RateTickValue,Permanent,Trigger,ObjectOverwrite)</f>
        <v>EUR1MDP3W=#0006</v>
      </c>
      <c r="P9" s="246">
        <f>_xll.RtGet("DTSIMI1",N9,$P$3)/100</f>
        <v>-3.7230000000000002E-3</v>
      </c>
      <c r="Q9" s="246">
        <f>_xll.RtGet("DTSIMI1",N9,$Q$3)/100</f>
        <v>-3.7230000000000002E-3</v>
      </c>
      <c r="R9" s="246">
        <f t="shared" si="2"/>
        <v>-3.7230000000000002E-3</v>
      </c>
      <c r="S9" s="315"/>
      <c r="T9" s="293" t="e">
        <f>IF(ISBLANK(S9),_xll.qlSimpleQuoteSetValue(O9,R9),_xll.qlSimpleQuoteSetValue(O9,S9))</f>
        <v>#N/A</v>
      </c>
      <c r="U9" s="243"/>
      <c r="V9" s="245" t="s">
        <v>142</v>
      </c>
      <c r="W9" s="245" t="s">
        <v>38</v>
      </c>
      <c r="X9" s="245" t="str">
        <f t="shared" si="3"/>
        <v>EUR3MDP3W=</v>
      </c>
      <c r="Y9" s="245" t="str">
        <f>_xll.qlSimpleQuote(X9,,RateTickValue,Permanent,Trigger,ObjectOverwrite)</f>
        <v>EUR3MDP3W=#0006</v>
      </c>
      <c r="Z9" s="246">
        <f>_xll.RtGet("DTSIMI1",X9,$Z$3)/100</f>
        <v>-3.2227215200000005E-3</v>
      </c>
      <c r="AA9" s="246">
        <f>_xll.RtGet("DTSIMI1",X9,$AA$3)/100</f>
        <v>-3.2227215200000005E-3</v>
      </c>
      <c r="AB9" s="246">
        <f t="shared" si="4"/>
        <v>-3.2227215200000005E-3</v>
      </c>
      <c r="AC9" s="315"/>
      <c r="AD9" s="293" t="e">
        <f>IF(ISBLANK(AC9),_xll.qlSimpleQuoteSetValue(Y9,AB9),_xll.qlSimpleQuoteSetValue(Y9,AC9))</f>
        <v>#N/A</v>
      </c>
      <c r="AE9" s="248"/>
      <c r="AF9" s="245" t="s">
        <v>142</v>
      </c>
      <c r="AG9" s="245" t="s">
        <v>38</v>
      </c>
      <c r="AH9" s="245" t="str">
        <f t="shared" si="5"/>
        <v>EUR6MDP3W=</v>
      </c>
      <c r="AI9" s="245" t="str">
        <f>_xll.qlSimpleQuote(AH9,,RateTickValue,Permanent,Trigger,ObjectOverwrite)</f>
        <v>EUR6MDP3W=#0006</v>
      </c>
      <c r="AJ9" s="246">
        <f>_xll.RtGet("DTSIMI1",AH9,$AJ$3)/100</f>
        <v>-2.3626544700000003E-3</v>
      </c>
      <c r="AK9" s="246">
        <f>_xll.RtGet("DTSIMI1",AH9,$AK$3)/100</f>
        <v>-2.3626544700000003E-3</v>
      </c>
      <c r="AL9" s="246">
        <f t="shared" si="6"/>
        <v>-2.3626544700000003E-3</v>
      </c>
      <c r="AM9" s="315"/>
      <c r="AN9" s="293" t="e">
        <f>IF(ISBLANK(AM9),_xll.qlSimpleQuoteSetValue(AI9,AL9),_xll.qlSimpleQuoteSetValue(AI9,AM9))</f>
        <v>#N/A</v>
      </c>
      <c r="AO9" s="243"/>
      <c r="AP9" s="245" t="s">
        <v>142</v>
      </c>
      <c r="AQ9" s="245" t="s">
        <v>38</v>
      </c>
      <c r="AR9" s="245" t="str">
        <f t="shared" si="7"/>
        <v>EUR1YDP3W=</v>
      </c>
      <c r="AS9" s="245" t="str">
        <f>_xll.qlSimpleQuote(AR9,,RateTickValue,Permanent,Trigger,ObjectOverwrite)</f>
        <v>EUR1YDP3W=#0006</v>
      </c>
      <c r="AT9" s="246">
        <f>_xll.RtGet("DTSIMI1",AR9,$AT$3)/100</f>
        <v>-1.0090975800000001E-3</v>
      </c>
      <c r="AU9" s="246">
        <f>_xll.RtGet("DTSIMI1",AR9,$AU$3)/100</f>
        <v>-1.0090975800000001E-3</v>
      </c>
      <c r="AV9" s="246">
        <f t="shared" si="8"/>
        <v>-1.0090975800000001E-3</v>
      </c>
      <c r="AW9" s="315"/>
      <c r="AX9" s="293" t="e">
        <f>IF(ISBLANK(AW9),_xll.qlSimpleQuoteSetValue(AS9,AV9),_xll.qlSimpleQuoteSetValue(AS9,AW9))</f>
        <v>#N/A</v>
      </c>
    </row>
    <row r="10" spans="1:53" x14ac:dyDescent="0.2">
      <c r="A10" s="399"/>
      <c r="B10" s="245" t="s">
        <v>142</v>
      </c>
      <c r="C10" s="245" t="s">
        <v>2</v>
      </c>
      <c r="D10" s="125"/>
      <c r="E10" s="125"/>
      <c r="F10" s="125"/>
      <c r="G10" s="125"/>
      <c r="H10" s="125"/>
      <c r="I10" s="321"/>
      <c r="J10" s="295"/>
      <c r="K10" s="247"/>
      <c r="L10" s="269" t="s">
        <v>142</v>
      </c>
      <c r="M10" s="269" t="s">
        <v>2</v>
      </c>
      <c r="N10" s="245" t="str">
        <f>IF(L10="","",UPPER(Currency)&amp;$L$2&amp;L10&amp;M10&amp;"=")</f>
        <v>EUR1MDP1M=</v>
      </c>
      <c r="O10" s="245" t="str">
        <f>_xll.qlSimpleQuote(N10,,RateTickValue,Permanent,Trigger,ObjectOverwrite)</f>
        <v>EUR1MDP1M=#0006</v>
      </c>
      <c r="P10" s="246">
        <f>_xll.RtGet("DTSIMI1",N10,$P$3)/100</f>
        <v>-3.7199999999999998E-3</v>
      </c>
      <c r="Q10" s="246">
        <f>_xll.RtGet("DTSIMI1",N10,$Q$3)/100</f>
        <v>-3.7199999999999998E-3</v>
      </c>
      <c r="R10" s="246">
        <f t="shared" si="2"/>
        <v>-3.7199999999999998E-3</v>
      </c>
      <c r="S10" s="315"/>
      <c r="T10" s="293" t="e">
        <f>IF(ISBLANK(S10),_xll.qlSimpleQuoteSetValue(O10,R10),_xll.qlSimpleQuoteSetValue(O10,S10))</f>
        <v>#N/A</v>
      </c>
      <c r="U10" s="243"/>
      <c r="V10" s="245" t="s">
        <v>142</v>
      </c>
      <c r="W10" s="245" t="s">
        <v>2</v>
      </c>
      <c r="X10" s="245" t="str">
        <f t="shared" si="3"/>
        <v>EUR3MDP1M=</v>
      </c>
      <c r="Y10" s="245" t="str">
        <f>_xll.qlSimpleQuote(X10,,RateTickValue,Permanent,Trigger,ObjectOverwrite)</f>
        <v>EUR3MDP1M=#0006</v>
      </c>
      <c r="Z10" s="246">
        <f>_xll.RtGet("DTSIMI1",X10,$Z$3)/100</f>
        <v>-3.2270000000000003E-3</v>
      </c>
      <c r="AA10" s="246">
        <f>_xll.RtGet("DTSIMI1",X10,$AA$3)/100</f>
        <v>-3.2270000000000003E-3</v>
      </c>
      <c r="AB10" s="246">
        <f t="shared" si="4"/>
        <v>-3.2270000000000003E-3</v>
      </c>
      <c r="AC10" s="315"/>
      <c r="AD10" s="293" t="e">
        <f>IF(ISBLANK(AC10),_xll.qlSimpleQuoteSetValue(Y10,AB10),_xll.qlSimpleQuoteSetValue(Y10,AC10))</f>
        <v>#N/A</v>
      </c>
      <c r="AE10" s="248"/>
      <c r="AF10" s="245" t="s">
        <v>142</v>
      </c>
      <c r="AG10" s="245" t="s">
        <v>2</v>
      </c>
      <c r="AH10" s="245" t="str">
        <f t="shared" si="5"/>
        <v>EUR6MDP1M=</v>
      </c>
      <c r="AI10" s="245" t="str">
        <f>_xll.qlSimpleQuote(AH10,,RateTickValue,Permanent,Trigger,ObjectOverwrite)</f>
        <v>EUR6MDP1M=#0006</v>
      </c>
      <c r="AJ10" s="246">
        <f>_xll.RtGet("DTSIMI1",AH10,$AJ$3)/100</f>
        <v>-2.3670000000000002E-3</v>
      </c>
      <c r="AK10" s="246">
        <f>_xll.RtGet("DTSIMI1",AH10,$AK$3)/100</f>
        <v>-2.3670000000000002E-3</v>
      </c>
      <c r="AL10" s="246">
        <f t="shared" si="6"/>
        <v>-2.3670000000000002E-3</v>
      </c>
      <c r="AM10" s="315"/>
      <c r="AN10" s="293" t="e">
        <f>IF(ISBLANK(AM10),_xll.qlSimpleQuoteSetValue(AI10,AL10),_xll.qlSimpleQuoteSetValue(AI10,AM10))</f>
        <v>#N/A</v>
      </c>
      <c r="AO10" s="243"/>
      <c r="AP10" s="245" t="s">
        <v>142</v>
      </c>
      <c r="AQ10" s="245" t="s">
        <v>2</v>
      </c>
      <c r="AR10" s="245" t="str">
        <f t="shared" si="7"/>
        <v>EUR1YDP1M=</v>
      </c>
      <c r="AS10" s="245" t="str">
        <f>_xll.qlSimpleQuote(AR10,,RateTickValue,Permanent,Trigger,ObjectOverwrite)</f>
        <v>EUR1YDP1M=#0006</v>
      </c>
      <c r="AT10" s="246">
        <f>_xll.RtGet("DTSIMI1",AR10,$AT$3)/100</f>
        <v>-1.00908344E-3</v>
      </c>
      <c r="AU10" s="246">
        <f>_xll.RtGet("DTSIMI1",AR10,$AU$3)/100</f>
        <v>-1.00908344E-3</v>
      </c>
      <c r="AV10" s="246">
        <f t="shared" si="8"/>
        <v>-1.00908344E-3</v>
      </c>
      <c r="AW10" s="315"/>
      <c r="AX10" s="293" t="e">
        <f>IF(ISBLANK(AW10),_xll.qlSimpleQuoteSetValue(AS10,AV10),_xll.qlSimpleQuoteSetValue(AS10,AW10))</f>
        <v>#N/A</v>
      </c>
    </row>
    <row r="11" spans="1:53" x14ac:dyDescent="0.2">
      <c r="A11" s="399"/>
      <c r="B11" s="245" t="s">
        <v>142</v>
      </c>
      <c r="C11" s="245" t="s">
        <v>39</v>
      </c>
      <c r="D11" s="125"/>
      <c r="E11" s="125"/>
      <c r="F11" s="125"/>
      <c r="G11" s="125"/>
      <c r="H11" s="125"/>
      <c r="I11" s="321"/>
      <c r="J11" s="295"/>
      <c r="K11" s="247"/>
      <c r="L11" s="245" t="s">
        <v>142</v>
      </c>
      <c r="M11" s="245" t="s">
        <v>39</v>
      </c>
      <c r="N11" s="275"/>
      <c r="O11" s="275"/>
      <c r="P11" s="275"/>
      <c r="Q11" s="275"/>
      <c r="R11" s="275"/>
      <c r="S11" s="329"/>
      <c r="T11" s="307"/>
      <c r="U11" s="243"/>
      <c r="V11" s="245" t="s">
        <v>142</v>
      </c>
      <c r="W11" s="245" t="s">
        <v>39</v>
      </c>
      <c r="X11" s="245" t="str">
        <f t="shared" si="3"/>
        <v>EUR3MDP2M=</v>
      </c>
      <c r="Y11" s="245" t="str">
        <f>_xll.qlSimpleQuote(X11,,RateTickValue,Permanent,Trigger,ObjectOverwrite)</f>
        <v>EUR3MDP2M=#0006</v>
      </c>
      <c r="Z11" s="246">
        <f>_xll.RtGet("DTSIMI1",X11,$Z$3)/100</f>
        <v>-3.2260000000000001E-3</v>
      </c>
      <c r="AA11" s="246">
        <f>_xll.RtGet("DTSIMI1",X11,$AA$3)/100</f>
        <v>-3.2260000000000001E-3</v>
      </c>
      <c r="AB11" s="246">
        <f t="shared" si="4"/>
        <v>-3.2260000000000001E-3</v>
      </c>
      <c r="AC11" s="315"/>
      <c r="AD11" s="293" t="e">
        <f>IF(ISBLANK(AC11),_xll.qlSimpleQuoteSetValue(Y11,AB11),_xll.qlSimpleQuoteSetValue(Y11,AC11))</f>
        <v>#N/A</v>
      </c>
      <c r="AE11" s="248"/>
      <c r="AF11" s="245" t="s">
        <v>142</v>
      </c>
      <c r="AG11" s="245" t="s">
        <v>39</v>
      </c>
      <c r="AH11" s="245" t="str">
        <f t="shared" si="5"/>
        <v>EUR6MDP2M=</v>
      </c>
      <c r="AI11" s="245" t="str">
        <f>_xll.qlSimpleQuote(AH11,,RateTickValue,Permanent,Trigger,ObjectOverwrite)</f>
        <v>EUR6MDP2M=#0006</v>
      </c>
      <c r="AJ11" s="246">
        <f>_xll.RtGet("DTSIMI1",AH11,$AJ$3)/100</f>
        <v>-2.356E-3</v>
      </c>
      <c r="AK11" s="246">
        <f>_xll.RtGet("DTSIMI1",AH11,$AK$3)/100</f>
        <v>-2.356E-3</v>
      </c>
      <c r="AL11" s="246">
        <f t="shared" si="6"/>
        <v>-2.356E-3</v>
      </c>
      <c r="AM11" s="315"/>
      <c r="AN11" s="293" t="e">
        <f>IF(ISBLANK(AM11),_xll.qlSimpleQuoteSetValue(AI11,AL11),_xll.qlSimpleQuoteSetValue(AI11,AM11))</f>
        <v>#N/A</v>
      </c>
      <c r="AO11" s="243"/>
      <c r="AP11" s="245" t="s">
        <v>142</v>
      </c>
      <c r="AQ11" s="245" t="s">
        <v>39</v>
      </c>
      <c r="AR11" s="245" t="str">
        <f t="shared" si="7"/>
        <v>EUR1YDP2M=</v>
      </c>
      <c r="AS11" s="245" t="str">
        <f>_xll.qlSimpleQuote(AR11,,RateTickValue,Permanent,Trigger,ObjectOverwrite)</f>
        <v>EUR1YDP2M=#0006</v>
      </c>
      <c r="AT11" s="246">
        <f>_xll.RtGet("DTSIMI1",AR11,$AT$3)/100</f>
        <v>-1.0090438399999999E-3</v>
      </c>
      <c r="AU11" s="246">
        <f>_xll.RtGet("DTSIMI1",AR11,$AU$3)/100</f>
        <v>-1.0090438399999999E-3</v>
      </c>
      <c r="AV11" s="246">
        <f t="shared" si="8"/>
        <v>-1.0090438399999999E-3</v>
      </c>
      <c r="AW11" s="315"/>
      <c r="AX11" s="293" t="e">
        <f>IF(ISBLANK(AW11),_xll.qlSimpleQuoteSetValue(AS11,AV11),_xll.qlSimpleQuoteSetValue(AS11,AW11))</f>
        <v>#N/A</v>
      </c>
    </row>
    <row r="12" spans="1:53" x14ac:dyDescent="0.2">
      <c r="A12" s="399"/>
      <c r="B12" s="245" t="s">
        <v>142</v>
      </c>
      <c r="C12" s="245" t="s">
        <v>0</v>
      </c>
      <c r="D12" s="125"/>
      <c r="E12" s="125"/>
      <c r="F12" s="125"/>
      <c r="G12" s="125"/>
      <c r="H12" s="125"/>
      <c r="I12" s="321"/>
      <c r="J12" s="295"/>
      <c r="K12" s="247"/>
      <c r="L12" s="245" t="s">
        <v>142</v>
      </c>
      <c r="M12" s="245" t="s">
        <v>0</v>
      </c>
      <c r="N12" s="125"/>
      <c r="O12" s="125"/>
      <c r="P12" s="125"/>
      <c r="Q12" s="125"/>
      <c r="R12" s="125"/>
      <c r="S12" s="321"/>
      <c r="T12" s="295"/>
      <c r="U12" s="243"/>
      <c r="V12" s="269" t="s">
        <v>142</v>
      </c>
      <c r="W12" s="269" t="s">
        <v>0</v>
      </c>
      <c r="X12" s="269" t="str">
        <f t="shared" si="3"/>
        <v>EUR3MDP3M=</v>
      </c>
      <c r="Y12" s="269" t="str">
        <f>_xll.qlSimpleQuote(X12,,RateTickValue,Permanent,Trigger,ObjectOverwrite)</f>
        <v>EUR3MDP3M=#0006</v>
      </c>
      <c r="Z12" s="270">
        <f>_xll.RtGet("DTSIMI1",X12,$Z$3)/100</f>
        <v>-3.2390000000000001E-3</v>
      </c>
      <c r="AA12" s="270">
        <f>_xll.RtGet("DTSIMI1",X12,$AA$3)/100</f>
        <v>-3.2390000000000001E-3</v>
      </c>
      <c r="AB12" s="270">
        <f t="shared" si="4"/>
        <v>-3.2390000000000001E-3</v>
      </c>
      <c r="AC12" s="316"/>
      <c r="AD12" s="294" t="e">
        <f>IF(ISBLANK(AC12),_xll.qlSimpleQuoteSetValue(Y12,AB12),_xll.qlSimpleQuoteSetValue(Y12,AC12))</f>
        <v>#N/A</v>
      </c>
      <c r="AE12" s="248"/>
      <c r="AF12" s="245" t="s">
        <v>142</v>
      </c>
      <c r="AG12" s="245" t="s">
        <v>0</v>
      </c>
      <c r="AH12" s="245" t="str">
        <f t="shared" si="5"/>
        <v>EUR6MDP3M=</v>
      </c>
      <c r="AI12" s="245" t="str">
        <f>_xll.qlSimpleQuote(AH12,,RateTickValue,Permanent,Trigger,ObjectOverwrite)</f>
        <v>EUR6MDP3M=#0006</v>
      </c>
      <c r="AJ12" s="246">
        <f>_xll.RtGet("DTSIMI1",AH12,$AJ$3)/100</f>
        <v>-2.3580000000000003E-3</v>
      </c>
      <c r="AK12" s="246">
        <f>_xll.RtGet("DTSIMI1",AH12,$AK$3)/100</f>
        <v>-2.3580000000000003E-3</v>
      </c>
      <c r="AL12" s="246">
        <f t="shared" si="6"/>
        <v>-2.3580000000000003E-3</v>
      </c>
      <c r="AM12" s="315"/>
      <c r="AN12" s="293" t="e">
        <f>IF(ISBLANK(AM12),_xll.qlSimpleQuoteSetValue(AI12,AL12),_xll.qlSimpleQuoteSetValue(AI12,AM12))</f>
        <v>#N/A</v>
      </c>
      <c r="AO12" s="243"/>
      <c r="AP12" s="245" t="s">
        <v>142</v>
      </c>
      <c r="AQ12" s="245" t="s">
        <v>0</v>
      </c>
      <c r="AR12" s="245" t="str">
        <f t="shared" si="7"/>
        <v>EUR1YDP3M=</v>
      </c>
      <c r="AS12" s="245" t="str">
        <f>_xll.qlSimpleQuote(AR12,,RateTickValue,Permanent,Trigger,ObjectOverwrite)</f>
        <v>EUR1YDP3M=#0006</v>
      </c>
      <c r="AT12" s="246">
        <f>_xll.RtGet("DTSIMI1",AR12,$AT$3)/100</f>
        <v>-1.0090000000000001E-3</v>
      </c>
      <c r="AU12" s="246">
        <f>_xll.RtGet("DTSIMI1",AR12,$AU$3)/100</f>
        <v>-1.0090000000000001E-3</v>
      </c>
      <c r="AV12" s="246">
        <f t="shared" si="8"/>
        <v>-1.0090000000000001E-3</v>
      </c>
      <c r="AW12" s="315"/>
      <c r="AX12" s="293" t="e">
        <f>IF(ISBLANK(AW12),_xll.qlSimpleQuoteSetValue(AS12,AV12),_xll.qlSimpleQuoteSetValue(AS12,AW12))</f>
        <v>#N/A</v>
      </c>
    </row>
    <row r="13" spans="1:53" x14ac:dyDescent="0.2">
      <c r="A13" s="399"/>
      <c r="B13" s="245" t="s">
        <v>142</v>
      </c>
      <c r="C13" s="245" t="s">
        <v>40</v>
      </c>
      <c r="D13" s="125"/>
      <c r="E13" s="125"/>
      <c r="F13" s="125"/>
      <c r="G13" s="125"/>
      <c r="H13" s="125"/>
      <c r="I13" s="321"/>
      <c r="J13" s="295"/>
      <c r="K13" s="247"/>
      <c r="L13" s="245" t="s">
        <v>142</v>
      </c>
      <c r="M13" s="245" t="s">
        <v>40</v>
      </c>
      <c r="N13" s="125"/>
      <c r="O13" s="125"/>
      <c r="P13" s="125"/>
      <c r="Q13" s="125"/>
      <c r="R13" s="125"/>
      <c r="S13" s="321"/>
      <c r="T13" s="295"/>
      <c r="U13" s="243"/>
      <c r="V13" s="245" t="s">
        <v>142</v>
      </c>
      <c r="W13" s="245" t="s">
        <v>40</v>
      </c>
      <c r="X13" s="125"/>
      <c r="Y13" s="125"/>
      <c r="Z13" s="125"/>
      <c r="AA13" s="125"/>
      <c r="AB13" s="125"/>
      <c r="AC13" s="321"/>
      <c r="AD13" s="295"/>
      <c r="AE13" s="248"/>
      <c r="AF13" s="245" t="s">
        <v>142</v>
      </c>
      <c r="AG13" s="245" t="s">
        <v>40</v>
      </c>
      <c r="AH13" s="245" t="str">
        <f t="shared" si="5"/>
        <v>EUR6MDP4M=</v>
      </c>
      <c r="AI13" s="245" t="str">
        <f>_xll.qlSimpleQuote(AH13,,RateTickValue,Permanent,Trigger,ObjectOverwrite)</f>
        <v>EUR6MDP4M=#0006</v>
      </c>
      <c r="AJ13" s="246">
        <f>_xll.RtGet("DTSIMI1",AH13,$AJ$3)/100</f>
        <v>-2.3650000000000003E-3</v>
      </c>
      <c r="AK13" s="246">
        <f>_xll.RtGet("DTSIMI1",AH13,$AK$3)/100</f>
        <v>-2.3650000000000003E-3</v>
      </c>
      <c r="AL13" s="246">
        <f t="shared" si="6"/>
        <v>-2.3650000000000003E-3</v>
      </c>
      <c r="AM13" s="315"/>
      <c r="AN13" s="293" t="e">
        <f>IF(ISBLANK(AM13),_xll.qlSimpleQuoteSetValue(AI13,AL13),_xll.qlSimpleQuoteSetValue(AI13,AM13))</f>
        <v>#N/A</v>
      </c>
      <c r="AO13" s="243"/>
      <c r="AP13" s="245" t="s">
        <v>142</v>
      </c>
      <c r="AQ13" s="245" t="s">
        <v>40</v>
      </c>
      <c r="AR13" s="245" t="str">
        <f t="shared" si="7"/>
        <v>EUR1YDP4M=</v>
      </c>
      <c r="AS13" s="245" t="str">
        <f>_xll.qlSimpleQuote(AR13,,RateTickValue,Permanent,Trigger,ObjectOverwrite)</f>
        <v>EUR1YDP4M=#0006</v>
      </c>
      <c r="AT13" s="246">
        <f>_xll.RtGet("DTSIMI1",AR13,$AT$3)/100</f>
        <v>-1.0090222500000001E-3</v>
      </c>
      <c r="AU13" s="246">
        <f>_xll.RtGet("DTSIMI1",AR13,$AU$3)/100</f>
        <v>-1.0090222500000001E-3</v>
      </c>
      <c r="AV13" s="246">
        <f t="shared" si="8"/>
        <v>-1.0090222500000001E-3</v>
      </c>
      <c r="AW13" s="315"/>
      <c r="AX13" s="293" t="e">
        <f>IF(ISBLANK(AW13),_xll.qlSimpleQuoteSetValue(AS13,AV13),_xll.qlSimpleQuoteSetValue(AS13,AW13))</f>
        <v>#N/A</v>
      </c>
    </row>
    <row r="14" spans="1:53" x14ac:dyDescent="0.2">
      <c r="A14" s="399"/>
      <c r="B14" s="245" t="s">
        <v>142</v>
      </c>
      <c r="C14" s="245" t="s">
        <v>41</v>
      </c>
      <c r="D14" s="125"/>
      <c r="E14" s="125"/>
      <c r="F14" s="125"/>
      <c r="G14" s="125"/>
      <c r="H14" s="125"/>
      <c r="I14" s="321"/>
      <c r="J14" s="295"/>
      <c r="K14" s="247"/>
      <c r="L14" s="245" t="s">
        <v>142</v>
      </c>
      <c r="M14" s="245" t="s">
        <v>41</v>
      </c>
      <c r="N14" s="125"/>
      <c r="O14" s="125"/>
      <c r="P14" s="125"/>
      <c r="Q14" s="125"/>
      <c r="R14" s="125"/>
      <c r="S14" s="321"/>
      <c r="T14" s="295"/>
      <c r="U14" s="243"/>
      <c r="V14" s="245" t="s">
        <v>142</v>
      </c>
      <c r="W14" s="245" t="s">
        <v>41</v>
      </c>
      <c r="X14" s="125"/>
      <c r="Y14" s="125"/>
      <c r="Z14" s="125"/>
      <c r="AA14" s="125"/>
      <c r="AB14" s="125"/>
      <c r="AC14" s="321"/>
      <c r="AD14" s="295"/>
      <c r="AE14" s="248"/>
      <c r="AF14" s="245" t="s">
        <v>142</v>
      </c>
      <c r="AG14" s="245" t="s">
        <v>41</v>
      </c>
      <c r="AH14" s="245" t="str">
        <f t="shared" si="5"/>
        <v>EUR6MDP5M=</v>
      </c>
      <c r="AI14" s="245" t="str">
        <f>_xll.qlSimpleQuote(AH14,,RateTickValue,Permanent,Trigger,ObjectOverwrite)</f>
        <v>EUR6MDP5M=#0006</v>
      </c>
      <c r="AJ14" s="246">
        <f>_xll.RtGet("DTSIMI1",AH14,$AJ$3)/100</f>
        <v>-2.3600000000000001E-3</v>
      </c>
      <c r="AK14" s="246">
        <f>_xll.RtGet("DTSIMI1",AH14,$AK$3)/100</f>
        <v>-2.3600000000000001E-3</v>
      </c>
      <c r="AL14" s="246">
        <f t="shared" si="6"/>
        <v>-2.3600000000000001E-3</v>
      </c>
      <c r="AM14" s="315"/>
      <c r="AN14" s="293" t="e">
        <f>IF(ISBLANK(AM14),_xll.qlSimpleQuoteSetValue(AI14,AL14),_xll.qlSimpleQuoteSetValue(AI14,AM14))</f>
        <v>#N/A</v>
      </c>
      <c r="AO14" s="243"/>
      <c r="AP14" s="245" t="s">
        <v>142</v>
      </c>
      <c r="AQ14" s="245" t="s">
        <v>41</v>
      </c>
      <c r="AR14" s="245" t="str">
        <f t="shared" si="7"/>
        <v>EUR1YDP5M=</v>
      </c>
      <c r="AS14" s="245" t="str">
        <f>_xll.qlSimpleQuote(AR14,,RateTickValue,Permanent,Trigger,ObjectOverwrite)</f>
        <v>EUR1YDP5M=#0006</v>
      </c>
      <c r="AT14" s="246">
        <f>_xll.RtGet("DTSIMI1",AR14,$AT$3)/100</f>
        <v>-1.00906688E-3</v>
      </c>
      <c r="AU14" s="246">
        <f>_xll.RtGet("DTSIMI1",AR14,$AU$3)/100</f>
        <v>-1.00906688E-3</v>
      </c>
      <c r="AV14" s="246">
        <f t="shared" si="8"/>
        <v>-1.00906688E-3</v>
      </c>
      <c r="AW14" s="315"/>
      <c r="AX14" s="293" t="e">
        <f>IF(ISBLANK(AW14),_xll.qlSimpleQuoteSetValue(AS14,AV14),_xll.qlSimpleQuoteSetValue(AS14,AW14))</f>
        <v>#N/A</v>
      </c>
    </row>
    <row r="15" spans="1:53" x14ac:dyDescent="0.2">
      <c r="A15" s="399"/>
      <c r="B15" s="245" t="s">
        <v>142</v>
      </c>
      <c r="C15" s="245" t="s">
        <v>3</v>
      </c>
      <c r="D15" s="125"/>
      <c r="E15" s="125"/>
      <c r="F15" s="125"/>
      <c r="G15" s="125"/>
      <c r="H15" s="125"/>
      <c r="I15" s="321"/>
      <c r="J15" s="295"/>
      <c r="K15" s="247"/>
      <c r="L15" s="245" t="s">
        <v>142</v>
      </c>
      <c r="M15" s="245" t="s">
        <v>3</v>
      </c>
      <c r="N15" s="125"/>
      <c r="O15" s="125"/>
      <c r="P15" s="125"/>
      <c r="Q15" s="125"/>
      <c r="R15" s="125"/>
      <c r="S15" s="321"/>
      <c r="T15" s="295"/>
      <c r="U15" s="243"/>
      <c r="V15" s="245" t="s">
        <v>142</v>
      </c>
      <c r="W15" s="245" t="s">
        <v>3</v>
      </c>
      <c r="X15" s="125"/>
      <c r="Y15" s="125"/>
      <c r="Z15" s="125"/>
      <c r="AA15" s="125"/>
      <c r="AB15" s="125"/>
      <c r="AC15" s="321"/>
      <c r="AD15" s="295"/>
      <c r="AE15" s="248"/>
      <c r="AF15" s="245" t="s">
        <v>142</v>
      </c>
      <c r="AG15" s="245" t="s">
        <v>3</v>
      </c>
      <c r="AH15" s="245" t="str">
        <f t="shared" si="5"/>
        <v>EUR6MDP6M=</v>
      </c>
      <c r="AI15" s="245" t="str">
        <f>_xll.qlSimpleQuote(AH15,,RateTickValue,Permanent,Trigger,ObjectOverwrite)</f>
        <v>EUR6MDP6M=#0006</v>
      </c>
      <c r="AJ15" s="246">
        <f>_xll.RtGet("DTSIMI1",AH15,$AJ$3)/100</f>
        <v>-2.3520000000000004E-3</v>
      </c>
      <c r="AK15" s="246">
        <f>_xll.RtGet("DTSIMI1",AH15,$AK$3)/100</f>
        <v>-2.3520000000000004E-3</v>
      </c>
      <c r="AL15" s="246">
        <f t="shared" si="6"/>
        <v>-2.3520000000000004E-3</v>
      </c>
      <c r="AM15" s="315"/>
      <c r="AN15" s="293" t="e">
        <f>IF(ISBLANK(AM15),_xll.qlSimpleQuoteSetValue(AI15,AL15),_xll.qlSimpleQuoteSetValue(AI15,AM15))</f>
        <v>#N/A</v>
      </c>
      <c r="AO15" s="243"/>
      <c r="AP15" s="245" t="s">
        <v>142</v>
      </c>
      <c r="AQ15" s="245" t="s">
        <v>3</v>
      </c>
      <c r="AR15" s="245" t="str">
        <f t="shared" si="7"/>
        <v>EUR1YDP6M=</v>
      </c>
      <c r="AS15" s="245" t="str">
        <f>_xll.qlSimpleQuote(AR15,,RateTickValue,Permanent,Trigger,ObjectOverwrite)</f>
        <v>EUR1YDP6M=#0006</v>
      </c>
      <c r="AT15" s="246">
        <f>_xll.RtGet("DTSIMI1",AR15,$AT$3)/100</f>
        <v>-1.0090000000000001E-3</v>
      </c>
      <c r="AU15" s="246">
        <f>_xll.RtGet("DTSIMI1",AR15,$AU$3)/100</f>
        <v>-1.0090000000000001E-3</v>
      </c>
      <c r="AV15" s="246">
        <f t="shared" si="8"/>
        <v>-1.0090000000000001E-3</v>
      </c>
      <c r="AW15" s="315"/>
      <c r="AX15" s="293" t="e">
        <f>IF(ISBLANK(AW15),_xll.qlSimpleQuoteSetValue(AS15,AV15),_xll.qlSimpleQuoteSetValue(AS15,AW15))</f>
        <v>#N/A</v>
      </c>
    </row>
    <row r="16" spans="1:53" x14ac:dyDescent="0.2">
      <c r="A16" s="399"/>
      <c r="B16" s="245" t="s">
        <v>142</v>
      </c>
      <c r="C16" s="245" t="s">
        <v>42</v>
      </c>
      <c r="D16" s="125"/>
      <c r="E16" s="125"/>
      <c r="F16" s="125"/>
      <c r="G16" s="125"/>
      <c r="H16" s="125"/>
      <c r="I16" s="321"/>
      <c r="J16" s="295"/>
      <c r="K16" s="247"/>
      <c r="L16" s="245" t="s">
        <v>142</v>
      </c>
      <c r="M16" s="245" t="s">
        <v>42</v>
      </c>
      <c r="N16" s="125"/>
      <c r="O16" s="125"/>
      <c r="P16" s="125"/>
      <c r="Q16" s="125"/>
      <c r="R16" s="125"/>
      <c r="S16" s="321"/>
      <c r="T16" s="295"/>
      <c r="U16" s="243"/>
      <c r="V16" s="245" t="s">
        <v>142</v>
      </c>
      <c r="W16" s="245" t="s">
        <v>42</v>
      </c>
      <c r="X16" s="125"/>
      <c r="Y16" s="125"/>
      <c r="Z16" s="125"/>
      <c r="AA16" s="125"/>
      <c r="AB16" s="125"/>
      <c r="AC16" s="321"/>
      <c r="AD16" s="295"/>
      <c r="AE16" s="248"/>
      <c r="AF16" s="274" t="s">
        <v>142</v>
      </c>
      <c r="AG16" s="274" t="s">
        <v>42</v>
      </c>
      <c r="AH16" s="275"/>
      <c r="AI16" s="275"/>
      <c r="AJ16" s="275"/>
      <c r="AK16" s="275"/>
      <c r="AL16" s="275"/>
      <c r="AM16" s="329"/>
      <c r="AN16" s="275"/>
      <c r="AO16" s="243"/>
      <c r="AP16" s="245" t="s">
        <v>142</v>
      </c>
      <c r="AQ16" s="245" t="s">
        <v>42</v>
      </c>
      <c r="AR16" s="245" t="str">
        <f t="shared" si="7"/>
        <v>EUR1YDP7M=</v>
      </c>
      <c r="AS16" s="245" t="str">
        <f>_xll.qlSimpleQuote(AR16,,RateTickValue,Permanent,Trigger,ObjectOverwrite)</f>
        <v>EUR1YDP7M=#0006</v>
      </c>
      <c r="AT16" s="246">
        <f>_xll.RtGet("DTSIMI1",AR16,$AT$3)/100</f>
        <v>-1.00441679E-3</v>
      </c>
      <c r="AU16" s="246">
        <f>_xll.RtGet("DTSIMI1",AR16,$AU$3)/100</f>
        <v>-1.00441679E-3</v>
      </c>
      <c r="AV16" s="246">
        <f t="shared" si="8"/>
        <v>-1.00441679E-3</v>
      </c>
      <c r="AW16" s="315"/>
      <c r="AX16" s="293" t="e">
        <f>IF(ISBLANK(AW16),_xll.qlSimpleQuoteSetValue(AS16,AV16),_xll.qlSimpleQuoteSetValue(AS16,AW16))</f>
        <v>#N/A</v>
      </c>
    </row>
    <row r="17" spans="1:54" x14ac:dyDescent="0.2">
      <c r="A17" s="249"/>
      <c r="B17" s="245" t="s">
        <v>142</v>
      </c>
      <c r="C17" s="245" t="s">
        <v>43</v>
      </c>
      <c r="D17" s="125"/>
      <c r="E17" s="125"/>
      <c r="F17" s="125"/>
      <c r="G17" s="125"/>
      <c r="H17" s="125"/>
      <c r="I17" s="321"/>
      <c r="J17" s="295"/>
      <c r="K17" s="247"/>
      <c r="L17" s="245" t="s">
        <v>142</v>
      </c>
      <c r="M17" s="245" t="s">
        <v>43</v>
      </c>
      <c r="N17" s="125"/>
      <c r="O17" s="125"/>
      <c r="P17" s="125"/>
      <c r="Q17" s="125"/>
      <c r="R17" s="125"/>
      <c r="S17" s="321"/>
      <c r="T17" s="295"/>
      <c r="U17" s="243"/>
      <c r="V17" s="245" t="s">
        <v>142</v>
      </c>
      <c r="W17" s="245" t="s">
        <v>43</v>
      </c>
      <c r="X17" s="125"/>
      <c r="Y17" s="125"/>
      <c r="Z17" s="125"/>
      <c r="AA17" s="125"/>
      <c r="AB17" s="125"/>
      <c r="AC17" s="321"/>
      <c r="AD17" s="295"/>
      <c r="AE17" s="248"/>
      <c r="AF17" s="245" t="s">
        <v>142</v>
      </c>
      <c r="AG17" s="245" t="s">
        <v>43</v>
      </c>
      <c r="AH17" s="125"/>
      <c r="AI17" s="125"/>
      <c r="AJ17" s="125"/>
      <c r="AK17" s="125"/>
      <c r="AL17" s="125"/>
      <c r="AM17" s="321"/>
      <c r="AN17" s="125"/>
      <c r="AO17" s="243"/>
      <c r="AP17" s="245" t="s">
        <v>142</v>
      </c>
      <c r="AQ17" s="245" t="s">
        <v>43</v>
      </c>
      <c r="AR17" s="245" t="str">
        <f t="shared" si="7"/>
        <v>EUR1YDP8M=</v>
      </c>
      <c r="AS17" s="245" t="str">
        <f>_xll.qlSimpleQuote(AR17,,RateTickValue,Permanent,Trigger,ObjectOverwrite)</f>
        <v>EUR1YDP8M=#0006</v>
      </c>
      <c r="AT17" s="246">
        <f>_xll.RtGet("DTSIMI1",AR17,$AT$3)/100</f>
        <v>-9.9460087999999995E-4</v>
      </c>
      <c r="AU17" s="246">
        <f>_xll.RtGet("DTSIMI1",AR17,$AU$3)/100</f>
        <v>-9.9460087999999995E-4</v>
      </c>
      <c r="AV17" s="246">
        <f t="shared" si="8"/>
        <v>-9.9460087999999995E-4</v>
      </c>
      <c r="AW17" s="315"/>
      <c r="AX17" s="293" t="e">
        <f>IF(ISBLANK(AW17),_xll.qlSimpleQuoteSetValue(AS17,AV17),_xll.qlSimpleQuoteSetValue(AS17,AW17))</f>
        <v>#N/A</v>
      </c>
    </row>
    <row r="18" spans="1:54" x14ac:dyDescent="0.2">
      <c r="A18" s="249"/>
      <c r="B18" s="245" t="s">
        <v>142</v>
      </c>
      <c r="C18" s="245" t="s">
        <v>44</v>
      </c>
      <c r="D18" s="125"/>
      <c r="E18" s="125"/>
      <c r="F18" s="125"/>
      <c r="G18" s="125"/>
      <c r="H18" s="125"/>
      <c r="I18" s="321"/>
      <c r="J18" s="295"/>
      <c r="K18" s="247"/>
      <c r="L18" s="245" t="s">
        <v>142</v>
      </c>
      <c r="M18" s="245" t="s">
        <v>44</v>
      </c>
      <c r="N18" s="125"/>
      <c r="O18" s="125"/>
      <c r="P18" s="125"/>
      <c r="Q18" s="125"/>
      <c r="R18" s="125"/>
      <c r="S18" s="321"/>
      <c r="T18" s="295"/>
      <c r="U18" s="243"/>
      <c r="V18" s="245" t="s">
        <v>142</v>
      </c>
      <c r="W18" s="245" t="s">
        <v>44</v>
      </c>
      <c r="X18" s="125"/>
      <c r="Y18" s="125"/>
      <c r="Z18" s="125"/>
      <c r="AA18" s="125"/>
      <c r="AB18" s="125"/>
      <c r="AC18" s="321"/>
      <c r="AD18" s="295"/>
      <c r="AE18" s="248"/>
      <c r="AF18" s="245" t="s">
        <v>142</v>
      </c>
      <c r="AG18" s="245" t="s">
        <v>44</v>
      </c>
      <c r="AH18" s="125"/>
      <c r="AI18" s="125"/>
      <c r="AJ18" s="125"/>
      <c r="AK18" s="125"/>
      <c r="AL18" s="125"/>
      <c r="AM18" s="321"/>
      <c r="AN18" s="125"/>
      <c r="AO18" s="243"/>
      <c r="AP18" s="245" t="s">
        <v>142</v>
      </c>
      <c r="AQ18" s="245" t="s">
        <v>44</v>
      </c>
      <c r="AR18" s="245" t="str">
        <f t="shared" si="7"/>
        <v>EUR1YDP9M=</v>
      </c>
      <c r="AS18" s="245" t="str">
        <f>_xll.qlSimpleQuote(AR18,,RateTickValue,Permanent,Trigger,ObjectOverwrite)</f>
        <v>EUR1YDP9M=#0006</v>
      </c>
      <c r="AT18" s="246">
        <f>_xll.RtGet("DTSIMI1",AR18,$AT$3)/100</f>
        <v>-9.8299999999999993E-4</v>
      </c>
      <c r="AU18" s="246">
        <f>_xll.RtGet("DTSIMI1",AR18,$AU$3)/100</f>
        <v>-9.8299999999999993E-4</v>
      </c>
      <c r="AV18" s="246">
        <f t="shared" si="8"/>
        <v>-9.8299999999999993E-4</v>
      </c>
      <c r="AW18" s="315"/>
      <c r="AX18" s="293" t="e">
        <f>IF(ISBLANK(AW18),_xll.qlSimpleQuoteSetValue(AS18,AV18),_xll.qlSimpleQuoteSetValue(AS18,AW18))</f>
        <v>#N/A</v>
      </c>
    </row>
    <row r="19" spans="1:54" x14ac:dyDescent="0.2">
      <c r="A19" s="249"/>
      <c r="B19" s="245" t="s">
        <v>142</v>
      </c>
      <c r="C19" s="245" t="s">
        <v>45</v>
      </c>
      <c r="D19" s="125"/>
      <c r="E19" s="125"/>
      <c r="F19" s="125"/>
      <c r="G19" s="125"/>
      <c r="H19" s="125"/>
      <c r="I19" s="321"/>
      <c r="J19" s="295"/>
      <c r="K19" s="247"/>
      <c r="L19" s="245" t="s">
        <v>142</v>
      </c>
      <c r="M19" s="245" t="s">
        <v>45</v>
      </c>
      <c r="N19" s="125"/>
      <c r="O19" s="125"/>
      <c r="P19" s="125"/>
      <c r="Q19" s="125"/>
      <c r="R19" s="125"/>
      <c r="S19" s="321"/>
      <c r="T19" s="295"/>
      <c r="U19" s="243"/>
      <c r="V19" s="245" t="s">
        <v>142</v>
      </c>
      <c r="W19" s="245" t="s">
        <v>45</v>
      </c>
      <c r="X19" s="125"/>
      <c r="Y19" s="125"/>
      <c r="Z19" s="125"/>
      <c r="AA19" s="125"/>
      <c r="AB19" s="125"/>
      <c r="AC19" s="321"/>
      <c r="AD19" s="295"/>
      <c r="AE19" s="248"/>
      <c r="AF19" s="245" t="s">
        <v>142</v>
      </c>
      <c r="AG19" s="245" t="s">
        <v>45</v>
      </c>
      <c r="AH19" s="125"/>
      <c r="AI19" s="125"/>
      <c r="AJ19" s="125"/>
      <c r="AK19" s="125"/>
      <c r="AL19" s="125"/>
      <c r="AM19" s="321"/>
      <c r="AN19" s="125"/>
      <c r="AO19" s="243"/>
      <c r="AP19" s="245" t="s">
        <v>142</v>
      </c>
      <c r="AQ19" s="245" t="s">
        <v>45</v>
      </c>
      <c r="AR19" s="245" t="str">
        <f t="shared" si="7"/>
        <v>EUR1YDP10M=</v>
      </c>
      <c r="AS19" s="245" t="str">
        <f>_xll.qlSimpleQuote(AR19,,RateTickValue,Permanent,Trigger,ObjectOverwrite)</f>
        <v>EUR1YDP10M=#0006</v>
      </c>
      <c r="AT19" s="246">
        <f>_xll.RtGet("DTSIMI1",AR19,$AT$3)/100</f>
        <v>-9.7082097000000009E-4</v>
      </c>
      <c r="AU19" s="246">
        <f>_xll.RtGet("DTSIMI1",AR19,$AU$3)/100</f>
        <v>-9.7082097000000009E-4</v>
      </c>
      <c r="AV19" s="246">
        <f t="shared" si="8"/>
        <v>-9.7082097000000009E-4</v>
      </c>
      <c r="AW19" s="315"/>
      <c r="AX19" s="293" t="e">
        <f>IF(ISBLANK(AW19),_xll.qlSimpleQuoteSetValue(AS19,AV19),_xll.qlSimpleQuoteSetValue(AS19,AW19))</f>
        <v>#N/A</v>
      </c>
    </row>
    <row r="20" spans="1:54" x14ac:dyDescent="0.2">
      <c r="A20" s="249"/>
      <c r="B20" s="245" t="s">
        <v>142</v>
      </c>
      <c r="C20" s="245" t="s">
        <v>46</v>
      </c>
      <c r="D20" s="125"/>
      <c r="E20" s="125"/>
      <c r="F20" s="125"/>
      <c r="G20" s="125"/>
      <c r="H20" s="125"/>
      <c r="I20" s="321"/>
      <c r="J20" s="295"/>
      <c r="K20" s="247"/>
      <c r="L20" s="245" t="s">
        <v>142</v>
      </c>
      <c r="M20" s="245" t="s">
        <v>46</v>
      </c>
      <c r="N20" s="125"/>
      <c r="O20" s="125"/>
      <c r="P20" s="125"/>
      <c r="Q20" s="125"/>
      <c r="R20" s="125"/>
      <c r="S20" s="321"/>
      <c r="T20" s="295"/>
      <c r="U20" s="243"/>
      <c r="V20" s="245" t="s">
        <v>142</v>
      </c>
      <c r="W20" s="245" t="s">
        <v>46</v>
      </c>
      <c r="X20" s="125"/>
      <c r="Y20" s="125"/>
      <c r="Z20" s="125"/>
      <c r="AA20" s="125"/>
      <c r="AB20" s="125"/>
      <c r="AC20" s="321"/>
      <c r="AD20" s="295"/>
      <c r="AE20" s="248"/>
      <c r="AF20" s="245" t="s">
        <v>142</v>
      </c>
      <c r="AG20" s="245" t="s">
        <v>46</v>
      </c>
      <c r="AH20" s="125"/>
      <c r="AI20" s="125"/>
      <c r="AJ20" s="125"/>
      <c r="AK20" s="125"/>
      <c r="AL20" s="125"/>
      <c r="AM20" s="321"/>
      <c r="AN20" s="125"/>
      <c r="AO20" s="243"/>
      <c r="AP20" s="245" t="s">
        <v>142</v>
      </c>
      <c r="AQ20" s="245" t="s">
        <v>46</v>
      </c>
      <c r="AR20" s="245" t="str">
        <f t="shared" si="7"/>
        <v>EUR1YDP11M=</v>
      </c>
      <c r="AS20" s="245" t="str">
        <f>_xll.qlSimpleQuote(AR20,,RateTickValue,Permanent,Trigger,ObjectOverwrite)</f>
        <v>EUR1YDP11M=#0006</v>
      </c>
      <c r="AT20" s="246">
        <f>_xll.RtGet("DTSIMI1",AR20,$AT$3)/100</f>
        <v>-9.5770573000000011E-4</v>
      </c>
      <c r="AU20" s="246">
        <f>_xll.RtGet("DTSIMI1",AR20,$AU$3)/100</f>
        <v>-9.5770573000000011E-4</v>
      </c>
      <c r="AV20" s="246">
        <f t="shared" si="8"/>
        <v>-9.5770573000000011E-4</v>
      </c>
      <c r="AW20" s="315"/>
      <c r="AX20" s="293" t="e">
        <f>IF(ISBLANK(AW20),_xll.qlSimpleQuoteSetValue(AS20,AV20),_xll.qlSimpleQuoteSetValue(AS20,AW20))</f>
        <v>#N/A</v>
      </c>
    </row>
    <row r="21" spans="1:54" x14ac:dyDescent="0.2">
      <c r="A21" s="249"/>
      <c r="B21" s="245" t="s">
        <v>142</v>
      </c>
      <c r="C21" s="245" t="s">
        <v>116</v>
      </c>
      <c r="D21" s="125"/>
      <c r="E21" s="125"/>
      <c r="F21" s="125"/>
      <c r="G21" s="125"/>
      <c r="H21" s="125"/>
      <c r="I21" s="321"/>
      <c r="J21" s="295"/>
      <c r="K21" s="247"/>
      <c r="L21" s="245" t="s">
        <v>142</v>
      </c>
      <c r="M21" s="245" t="s">
        <v>116</v>
      </c>
      <c r="N21" s="125"/>
      <c r="O21" s="125"/>
      <c r="P21" s="125"/>
      <c r="Q21" s="125"/>
      <c r="R21" s="125"/>
      <c r="S21" s="321"/>
      <c r="T21" s="295"/>
      <c r="U21" s="243"/>
      <c r="V21" s="245" t="s">
        <v>142</v>
      </c>
      <c r="W21" s="245" t="s">
        <v>116</v>
      </c>
      <c r="X21" s="125"/>
      <c r="Y21" s="125"/>
      <c r="Z21" s="125"/>
      <c r="AA21" s="125"/>
      <c r="AB21" s="125"/>
      <c r="AC21" s="321"/>
      <c r="AD21" s="295"/>
      <c r="AE21" s="248"/>
      <c r="AF21" s="255" t="s">
        <v>142</v>
      </c>
      <c r="AG21" s="255" t="s">
        <v>116</v>
      </c>
      <c r="AH21" s="126"/>
      <c r="AI21" s="126"/>
      <c r="AJ21" s="126"/>
      <c r="AK21" s="126"/>
      <c r="AL21" s="126"/>
      <c r="AM21" s="323"/>
      <c r="AN21" s="126"/>
      <c r="AO21" s="243"/>
      <c r="AP21" s="245" t="s">
        <v>142</v>
      </c>
      <c r="AQ21" s="245" t="s">
        <v>116</v>
      </c>
      <c r="AR21" s="245" t="str">
        <f t="shared" si="7"/>
        <v>EUR1YDP12M=</v>
      </c>
      <c r="AS21" s="245" t="str">
        <f>_xll.qlSimpleQuote(AR21,,RateTickValue,Permanent,Trigger,ObjectOverwrite)</f>
        <v>EUR1YDP12M=#0006</v>
      </c>
      <c r="AT21" s="246">
        <f>_xll.RtGet("DTSIMI1",AR21,$AT$3)/100</f>
        <v>-9.41E-4</v>
      </c>
      <c r="AU21" s="246">
        <f>_xll.RtGet("DTSIMI1",AR21,$AU$3)/100</f>
        <v>-9.41E-4</v>
      </c>
      <c r="AV21" s="246">
        <f t="shared" si="8"/>
        <v>-9.41E-4</v>
      </c>
      <c r="AW21" s="315"/>
      <c r="AX21" s="293" t="e">
        <f>IF(ISBLANK(AW21),_xll.qlSimpleQuoteSetValue(AS21,AV21),_xll.qlSimpleQuoteSetValue(AS21,AW21))</f>
        <v>#N/A</v>
      </c>
    </row>
    <row r="22" spans="1:54" x14ac:dyDescent="0.2">
      <c r="A22" s="400" t="s">
        <v>143</v>
      </c>
      <c r="B22" s="129"/>
      <c r="C22" s="129"/>
      <c r="D22" s="129"/>
      <c r="E22" s="129"/>
      <c r="F22" s="129"/>
      <c r="G22" s="129"/>
      <c r="H22" s="129"/>
      <c r="I22" s="322"/>
      <c r="J22" s="296"/>
      <c r="K22" s="247"/>
      <c r="L22" s="129"/>
      <c r="M22" s="129"/>
      <c r="N22" s="129" t="str">
        <f t="shared" ref="N22:N35" si="9">IF(L22="","",UPPER(Currency)&amp;$L$2&amp;L22&amp;M22&amp;"=")</f>
        <v/>
      </c>
      <c r="O22" s="129" t="str">
        <f>IF(L22="","",_xll.qlSimpleQuote(N22,R22,,,$H$2))</f>
        <v/>
      </c>
      <c r="P22" s="129"/>
      <c r="Q22" s="129"/>
      <c r="R22" s="129" t="str">
        <f>IF(L22="","",_xll.RtGet("DTSIMI1",N22,"BID")/100)</f>
        <v/>
      </c>
      <c r="S22" s="322"/>
      <c r="T22" s="296"/>
      <c r="U22" s="243">
        <v>1</v>
      </c>
      <c r="V22" s="241" t="s">
        <v>95</v>
      </c>
      <c r="W22" s="241" t="str">
        <f>U22&amp;"X"&amp;U22+3</f>
        <v>1X4</v>
      </c>
      <c r="X22" s="241" t="str">
        <f t="shared" ref="X22:X33" si="10">Currency&amp;$V$2&amp;V22&amp;W22&amp;"F="</f>
        <v>EUR3MFRA1X4F=</v>
      </c>
      <c r="Y22" s="241" t="str">
        <f>_xll.qlSimpleQuote(X22,,RateTickValue,Permanent,Trigger,ObjectOverwrite)</f>
        <v>EUR3MFRA1X4F=#0006</v>
      </c>
      <c r="Z22" s="250">
        <f>_xll.RtGet("DTSIMI1",X22,$Z$3)/100</f>
        <v>-3.2700000000000003E-3</v>
      </c>
      <c r="AA22" s="250">
        <f>_xll.RtGet("DTSIMI1",X22,$AA$3)/100</f>
        <v>-3.2700000000000003E-3</v>
      </c>
      <c r="AB22" s="250">
        <f t="shared" ref="AB22" si="11">AVERAGE(Z22:AA22)</f>
        <v>-3.2700000000000003E-3</v>
      </c>
      <c r="AC22" s="382"/>
      <c r="AD22" s="292" t="e">
        <f>IF(ISBLANK(AC22),_xll.qlSimpleQuoteSetValue(Y22,AB22),_xll.qlSimpleQuoteSetValue(Y22,AC22))</f>
        <v>#N/A</v>
      </c>
      <c r="AE22" s="248">
        <v>1</v>
      </c>
      <c r="AF22" s="241" t="s">
        <v>95</v>
      </c>
      <c r="AG22" s="241" t="str">
        <f>AE22&amp;"X"&amp;AE22+6</f>
        <v>1X7</v>
      </c>
      <c r="AH22" s="241" t="str">
        <f t="shared" ref="AH22:AH39" si="12">IF(AF22="","",UPPER(Currency)&amp;$AF$2&amp;AF22&amp;AG22&amp;"F=")</f>
        <v>EUR6MFRA1X7F=</v>
      </c>
      <c r="AI22" s="241" t="str">
        <f>_xll.qlSimpleQuote(AH22,,RateTickValue,Permanent,Trigger,ObjectOverwrite)</f>
        <v>EUR6MFRA1X7F=#0006</v>
      </c>
      <c r="AJ22" s="242">
        <f>_xll.RtGet("DTSIMI1",AH22,$AJ$3)/100</f>
        <v>-2.3400000000000001E-3</v>
      </c>
      <c r="AK22" s="242">
        <f>_xll.RtGet("DTSIMI1",AH22,$AK$3)/100</f>
        <v>-2.3400000000000001E-3</v>
      </c>
      <c r="AL22" s="242">
        <f t="shared" si="6"/>
        <v>-2.3400000000000001E-3</v>
      </c>
      <c r="AM22" s="314"/>
      <c r="AN22" s="292" t="e">
        <f>IF(ISBLANK(AM22),_xll.qlSimpleQuoteSetValue(AI22,AL22),_xll.qlSimpleQuoteSetValue(AI22,AM22))</f>
        <v>#N/A</v>
      </c>
      <c r="AO22" s="243">
        <v>1</v>
      </c>
      <c r="AP22" s="241" t="s">
        <v>95</v>
      </c>
      <c r="AQ22" s="241" t="str">
        <f>AO22&amp;"X"&amp;AO22+12</f>
        <v>1X13</v>
      </c>
      <c r="AR22" s="241" t="str">
        <f t="shared" ref="AR22:AR33" si="13">IF(AP22="","",UPPER(Currency)&amp;"1Y"&amp;AP22&amp;AQ22&amp;"F=")</f>
        <v>EUR1YFRA1X13F=</v>
      </c>
      <c r="AS22" s="241" t="str">
        <f>_xll.qlSimpleQuote(AR22,,RateTickValue,Permanent,Trigger,ObjectOverwrite)</f>
        <v>EUR1YFRA1X13F=#0006</v>
      </c>
      <c r="AT22" s="242">
        <f>_xll.RtGet("DTSIMI1",AR22,$AT$3)/100</f>
        <v>-9.2000000000000003E-4</v>
      </c>
      <c r="AU22" s="242">
        <f>_xll.RtGet("DTSIMI1",AR22,$AU$3)/100</f>
        <v>-9.2000000000000003E-4</v>
      </c>
      <c r="AV22" s="242">
        <f t="shared" si="8"/>
        <v>-9.2000000000000003E-4</v>
      </c>
      <c r="AW22" s="314"/>
      <c r="AX22" s="292" t="e">
        <f>IF(ISBLANK(AW22),_xll.qlSimpleQuoteSetValue(AS22,AV22),_xll.qlSimpleQuoteSetValue(AS22,AW22))</f>
        <v>#N/A</v>
      </c>
      <c r="BA22" s="244" t="s">
        <v>144</v>
      </c>
      <c r="BB22" s="244" t="s">
        <v>145</v>
      </c>
    </row>
    <row r="23" spans="1:54" x14ac:dyDescent="0.2">
      <c r="A23" s="401"/>
      <c r="B23" s="125"/>
      <c r="C23" s="125"/>
      <c r="D23" s="125"/>
      <c r="E23" s="125"/>
      <c r="F23" s="125"/>
      <c r="G23" s="125"/>
      <c r="H23" s="125"/>
      <c r="I23" s="321"/>
      <c r="J23" s="295"/>
      <c r="K23" s="247"/>
      <c r="L23" s="125"/>
      <c r="M23" s="125"/>
      <c r="N23" s="125" t="str">
        <f t="shared" si="9"/>
        <v/>
      </c>
      <c r="O23" s="125" t="str">
        <f>IF(L23="","",_xll.qlSimpleQuote(N23,R23,,,$H$2))</f>
        <v/>
      </c>
      <c r="P23" s="125"/>
      <c r="Q23" s="125"/>
      <c r="R23" s="125" t="str">
        <f>IF(L23="","",_xll.RtGet("DTSIMI1",N23,"BID")/100)</f>
        <v/>
      </c>
      <c r="S23" s="321"/>
      <c r="T23" s="295"/>
      <c r="U23" s="243">
        <v>2</v>
      </c>
      <c r="V23" s="245" t="s">
        <v>95</v>
      </c>
      <c r="W23" s="245" t="str">
        <f t="shared" ref="W23:W33" si="14">U23&amp;"X"&amp;U23+3</f>
        <v>2X5</v>
      </c>
      <c r="X23" s="245" t="str">
        <f t="shared" si="10"/>
        <v>EUR3MFRA2X5F=</v>
      </c>
      <c r="Y23" s="245" t="str">
        <f>_xll.qlSimpleQuote(X23,,RateTickValue,Permanent,Trigger,ObjectOverwrite)</f>
        <v>EUR3MFRA2X5F=#0006</v>
      </c>
      <c r="Z23" s="251">
        <f>_xll.RtGet("DTSIMI1",X23,$Z$3)/100</f>
        <v>-3.29E-3</v>
      </c>
      <c r="AA23" s="251">
        <f>_xll.RtGet("DTSIMI1",X23,$AA$3)/100</f>
        <v>-3.29E-3</v>
      </c>
      <c r="AB23" s="245">
        <f t="shared" ref="AB23:AB33" si="15">AVERAGE(Z23:AA23)</f>
        <v>-3.29E-3</v>
      </c>
      <c r="AC23" s="319"/>
      <c r="AD23" s="293" t="e">
        <f>IF(ISBLANK(AC23),_xll.qlSimpleQuoteSetValue(Y23,AB23),_xll.qlSimpleQuoteSetValue(Y23,AC23))</f>
        <v>#N/A</v>
      </c>
      <c r="AE23" s="248">
        <v>2</v>
      </c>
      <c r="AF23" s="245" t="s">
        <v>95</v>
      </c>
      <c r="AG23" s="245" t="str">
        <f t="shared" ref="AG23:AG45" si="16">AE23&amp;"X"&amp;AE23+6</f>
        <v>2X8</v>
      </c>
      <c r="AH23" s="245" t="str">
        <f t="shared" si="12"/>
        <v>EUR6MFRA2X8F=</v>
      </c>
      <c r="AI23" s="245" t="str">
        <f>_xll.qlSimpleQuote(AH23,,RateTickValue,Permanent,Trigger,ObjectOverwrite)</f>
        <v>EUR6MFRA2X8F=#0006</v>
      </c>
      <c r="AJ23" s="246">
        <f>_xll.RtGet("DTSIMI1",AH23,$AJ$3)/100</f>
        <v>-2.33E-3</v>
      </c>
      <c r="AK23" s="246">
        <f>_xll.RtGet("DTSIMI1",AH23,$AK$3)/100</f>
        <v>-2.33E-3</v>
      </c>
      <c r="AL23" s="246">
        <f t="shared" si="6"/>
        <v>-2.33E-3</v>
      </c>
      <c r="AM23" s="315"/>
      <c r="AN23" s="293" t="e">
        <f>IF(ISBLANK(AM23),_xll.qlSimpleQuoteSetValue(AI23,AL23),_xll.qlSimpleQuoteSetValue(AI23,AM23))</f>
        <v>#N/A</v>
      </c>
      <c r="AO23" s="243">
        <v>2</v>
      </c>
      <c r="AP23" s="245" t="s">
        <v>95</v>
      </c>
      <c r="AQ23" s="245" t="str">
        <f t="shared" ref="AQ23:AQ45" si="17">AO23&amp;"X"&amp;AO23+12</f>
        <v>2X14</v>
      </c>
      <c r="AR23" s="245" t="str">
        <f t="shared" si="13"/>
        <v>EUR1YFRA2X14F=</v>
      </c>
      <c r="AS23" s="245" t="str">
        <f>_xll.qlSimpleQuote(AR23,,RateTickValue,Permanent,Trigger,ObjectOverwrite)</f>
        <v>EUR1YFRA2X14F=#0006</v>
      </c>
      <c r="AT23" s="246">
        <f>_xll.RtGet("DTSIMI1",AR23,$AT$3)/100</f>
        <v>-8.9999999999999998E-4</v>
      </c>
      <c r="AU23" s="246">
        <f>_xll.RtGet("DTSIMI1",AR23,$AU$3)/100</f>
        <v>-8.9999999999999998E-4</v>
      </c>
      <c r="AV23" s="246">
        <f t="shared" si="8"/>
        <v>-8.9999999999999998E-4</v>
      </c>
      <c r="AW23" s="315"/>
      <c r="AX23" s="293" t="e">
        <f>IF(ISBLANK(AW23),_xll.qlSimpleQuoteSetValue(AS23,AV23),_xll.qlSimpleQuoteSetValue(AS23,AW23))</f>
        <v>#N/A</v>
      </c>
      <c r="BA23" s="252">
        <f t="shared" ref="BA23:BA28" si="18">BB23</f>
        <v>0</v>
      </c>
      <c r="BB23" s="252">
        <v>0</v>
      </c>
    </row>
    <row r="24" spans="1:54" x14ac:dyDescent="0.2">
      <c r="A24" s="401"/>
      <c r="B24" s="125"/>
      <c r="C24" s="125"/>
      <c r="D24" s="125"/>
      <c r="E24" s="125"/>
      <c r="F24" s="125"/>
      <c r="G24" s="125"/>
      <c r="H24" s="125"/>
      <c r="I24" s="321"/>
      <c r="J24" s="295"/>
      <c r="K24" s="247"/>
      <c r="L24" s="125"/>
      <c r="M24" s="125"/>
      <c r="N24" s="125" t="str">
        <f t="shared" si="9"/>
        <v/>
      </c>
      <c r="O24" s="125" t="str">
        <f>IF(L24="","",_xll.qlSimpleQuote(N24,R24,,,$H$2))</f>
        <v/>
      </c>
      <c r="P24" s="125"/>
      <c r="Q24" s="125"/>
      <c r="R24" s="125" t="str">
        <f>IF(L24="","",_xll.RtGet("DTSIMI1",N24,"BID")/100)</f>
        <v/>
      </c>
      <c r="S24" s="321"/>
      <c r="T24" s="295"/>
      <c r="U24" s="243">
        <v>3</v>
      </c>
      <c r="V24" s="245" t="s">
        <v>95</v>
      </c>
      <c r="W24" s="245" t="str">
        <f t="shared" si="14"/>
        <v>3X6</v>
      </c>
      <c r="X24" s="245" t="str">
        <f t="shared" si="10"/>
        <v>EUR3MFRA3X6F=</v>
      </c>
      <c r="Y24" s="245" t="str">
        <f>_xll.qlSimpleQuote(X24,,RateTickValue,Permanent,Trigger,ObjectOverwrite)</f>
        <v>EUR3MFRA3X6F=#0006</v>
      </c>
      <c r="Z24" s="251">
        <f>_xll.RtGet("DTSIMI1",X24,$Z$3)/100</f>
        <v>-3.2600000000000003E-3</v>
      </c>
      <c r="AA24" s="251">
        <f>_xll.RtGet("DTSIMI1",X24,$AA$3)/100</f>
        <v>-3.2600000000000003E-3</v>
      </c>
      <c r="AB24" s="245">
        <f t="shared" si="15"/>
        <v>-3.2600000000000003E-3</v>
      </c>
      <c r="AC24" s="319"/>
      <c r="AD24" s="293" t="e">
        <f>IF(ISBLANK(AC24),_xll.qlSimpleQuoteSetValue(Y24,AB24),_xll.qlSimpleQuoteSetValue(Y24,AC24))</f>
        <v>#N/A</v>
      </c>
      <c r="AE24" s="248">
        <v>3</v>
      </c>
      <c r="AF24" s="245" t="s">
        <v>95</v>
      </c>
      <c r="AG24" s="245" t="str">
        <f t="shared" si="16"/>
        <v>3X9</v>
      </c>
      <c r="AH24" s="245" t="str">
        <f t="shared" si="12"/>
        <v>EUR6MFRA3X9F=</v>
      </c>
      <c r="AI24" s="245" t="str">
        <f>_xll.qlSimpleQuote(AH24,,RateTickValue,Permanent,Trigger,ObjectOverwrite)</f>
        <v>EUR6MFRA3X9F=#0006</v>
      </c>
      <c r="AJ24" s="246">
        <f>_xll.RtGet("DTSIMI1",AH24,$AJ$3)/100</f>
        <v>-2.2699999999999999E-3</v>
      </c>
      <c r="AK24" s="246">
        <f>_xll.RtGet("DTSIMI1",AH24,$AK$3)/100</f>
        <v>-2.2699999999999999E-3</v>
      </c>
      <c r="AL24" s="246">
        <f t="shared" si="6"/>
        <v>-2.2699999999999999E-3</v>
      </c>
      <c r="AM24" s="315"/>
      <c r="AN24" s="293" t="e">
        <f>IF(ISBLANK(AM24),_xll.qlSimpleQuoteSetValue(AI24,AL24),_xll.qlSimpleQuoteSetValue(AI24,AM24))</f>
        <v>#N/A</v>
      </c>
      <c r="AO24" s="243">
        <v>3</v>
      </c>
      <c r="AP24" s="245" t="s">
        <v>95</v>
      </c>
      <c r="AQ24" s="245" t="str">
        <f t="shared" si="17"/>
        <v>3X15</v>
      </c>
      <c r="AR24" s="245" t="str">
        <f t="shared" si="13"/>
        <v>EUR1YFRA3X15F=</v>
      </c>
      <c r="AS24" s="245" t="str">
        <f>_xll.qlSimpleQuote(AR24,,RateTickValue,Permanent,Trigger,ObjectOverwrite)</f>
        <v>EUR1YFRA3X15F=#0006</v>
      </c>
      <c r="AT24" s="246">
        <f>_xll.RtGet("DTSIMI1",AR24,$AT$3)/100</f>
        <v>-8.4000000000000003E-4</v>
      </c>
      <c r="AU24" s="246">
        <f>_xll.RtGet("DTSIMI1",AR24,$AU$3)/100</f>
        <v>-8.4000000000000003E-4</v>
      </c>
      <c r="AV24" s="246">
        <f t="shared" si="8"/>
        <v>-8.4000000000000003E-4</v>
      </c>
      <c r="AW24" s="315"/>
      <c r="AX24" s="293" t="e">
        <f>IF(ISBLANK(AW24),_xll.qlSimpleQuoteSetValue(AS24,AV24),_xll.qlSimpleQuoteSetValue(AS24,AW24))</f>
        <v>#N/A</v>
      </c>
      <c r="BA24" s="253">
        <f t="shared" si="18"/>
        <v>0</v>
      </c>
      <c r="BB24" s="253">
        <v>0</v>
      </c>
    </row>
    <row r="25" spans="1:54" x14ac:dyDescent="0.2">
      <c r="A25" s="401"/>
      <c r="B25" s="125"/>
      <c r="C25" s="125"/>
      <c r="D25" s="125"/>
      <c r="E25" s="125"/>
      <c r="F25" s="125"/>
      <c r="G25" s="125"/>
      <c r="H25" s="125"/>
      <c r="I25" s="321"/>
      <c r="J25" s="295"/>
      <c r="K25" s="247"/>
      <c r="L25" s="125"/>
      <c r="M25" s="125"/>
      <c r="N25" s="125" t="str">
        <f t="shared" si="9"/>
        <v/>
      </c>
      <c r="O25" s="125" t="str">
        <f>IF(L25="","",_xll.qlSimpleQuote(N25,R25,,,$H$2))</f>
        <v/>
      </c>
      <c r="P25" s="125"/>
      <c r="Q25" s="125"/>
      <c r="R25" s="125" t="str">
        <f>IF(L25="","",_xll.RtGet("DTSIMI1",N25,"BID")/100)</f>
        <v/>
      </c>
      <c r="S25" s="321"/>
      <c r="T25" s="295"/>
      <c r="U25" s="243">
        <v>4</v>
      </c>
      <c r="V25" s="245" t="s">
        <v>95</v>
      </c>
      <c r="W25" s="245" t="str">
        <f t="shared" si="14"/>
        <v>4X7</v>
      </c>
      <c r="X25" s="245" t="str">
        <f t="shared" si="10"/>
        <v>EUR3MFRA4X7F=</v>
      </c>
      <c r="Y25" s="245" t="str">
        <f>_xll.qlSimpleQuote(X25,,RateTickValue,Permanent,Trigger,ObjectOverwrite)</f>
        <v>EUR3MFRA4X7F=#0006</v>
      </c>
      <c r="Z25" s="251">
        <f>_xll.RtGet("DTSIMI1",X25,$Z$3)/100</f>
        <v>-3.2200000000000002E-3</v>
      </c>
      <c r="AA25" s="251">
        <f>_xll.RtGet("DTSIMI1",X25,$AA$3)/100</f>
        <v>-3.2200000000000002E-3</v>
      </c>
      <c r="AB25" s="245">
        <f t="shared" si="15"/>
        <v>-3.2200000000000002E-3</v>
      </c>
      <c r="AC25" s="319"/>
      <c r="AD25" s="293" t="e">
        <f>IF(ISBLANK(AC25),_xll.qlSimpleQuoteSetValue(Y25,AB25),_xll.qlSimpleQuoteSetValue(Y25,AC25))</f>
        <v>#N/A</v>
      </c>
      <c r="AE25" s="248">
        <v>4</v>
      </c>
      <c r="AF25" s="245" t="s">
        <v>95</v>
      </c>
      <c r="AG25" s="245" t="str">
        <f t="shared" si="16"/>
        <v>4X10</v>
      </c>
      <c r="AH25" s="245" t="str">
        <f t="shared" si="12"/>
        <v>EUR6MFRA4X10F=</v>
      </c>
      <c r="AI25" s="245" t="str">
        <f>_xll.qlSimpleQuote(AH25,,RateTickValue,Permanent,Trigger,ObjectOverwrite)</f>
        <v>EUR6MFRA4X10F=#0006</v>
      </c>
      <c r="AJ25" s="246">
        <f>_xll.RtGet("DTSIMI1",AH25,$AJ$3)/100</f>
        <v>-2.2100000000000002E-3</v>
      </c>
      <c r="AK25" s="246">
        <f>_xll.RtGet("DTSIMI1",AH25,$AK$3)/100</f>
        <v>-2.2100000000000002E-3</v>
      </c>
      <c r="AL25" s="246">
        <f t="shared" si="6"/>
        <v>-2.2100000000000002E-3</v>
      </c>
      <c r="AM25" s="315"/>
      <c r="AN25" s="293" t="e">
        <f>IF(ISBLANK(AM25),_xll.qlSimpleQuoteSetValue(AI25,AL25),_xll.qlSimpleQuoteSetValue(AI25,AM25))</f>
        <v>#N/A</v>
      </c>
      <c r="AO25" s="243">
        <v>4</v>
      </c>
      <c r="AP25" s="245" t="s">
        <v>95</v>
      </c>
      <c r="AQ25" s="245" t="str">
        <f t="shared" si="17"/>
        <v>4X16</v>
      </c>
      <c r="AR25" s="245" t="str">
        <f t="shared" si="13"/>
        <v>EUR1YFRA4X16F=</v>
      </c>
      <c r="AS25" s="245" t="str">
        <f>_xll.qlSimpleQuote(AR25,,RateTickValue,Permanent,Trigger,ObjectOverwrite)</f>
        <v>EUR1YFRA4X16F=#0006</v>
      </c>
      <c r="AT25" s="246">
        <f>_xll.RtGet("DTSIMI1",AR25,$AT$3)/100</f>
        <v>-7.9000000000000001E-4</v>
      </c>
      <c r="AU25" s="246">
        <f>_xll.RtGet("DTSIMI1",AR25,$AU$3)/100</f>
        <v>-7.9000000000000001E-4</v>
      </c>
      <c r="AV25" s="246">
        <f t="shared" si="8"/>
        <v>-7.9000000000000001E-4</v>
      </c>
      <c r="AW25" s="315"/>
      <c r="AX25" s="293" t="e">
        <f>IF(ISBLANK(AW25),_xll.qlSimpleQuoteSetValue(AS25,AV25),_xll.qlSimpleQuoteSetValue(AS25,AW25))</f>
        <v>#N/A</v>
      </c>
      <c r="BA25" s="253">
        <f t="shared" si="18"/>
        <v>0</v>
      </c>
      <c r="BB25" s="253">
        <v>0</v>
      </c>
    </row>
    <row r="26" spans="1:54" x14ac:dyDescent="0.2">
      <c r="A26" s="401"/>
      <c r="B26" s="125"/>
      <c r="C26" s="125"/>
      <c r="D26" s="125"/>
      <c r="E26" s="125"/>
      <c r="F26" s="125"/>
      <c r="G26" s="125"/>
      <c r="H26" s="125"/>
      <c r="I26" s="321"/>
      <c r="J26" s="295"/>
      <c r="K26" s="247"/>
      <c r="L26" s="125"/>
      <c r="M26" s="125"/>
      <c r="N26" s="125" t="str">
        <f t="shared" si="9"/>
        <v/>
      </c>
      <c r="O26" s="125" t="str">
        <f>IF(L26="","",_xll.qlSimpleQuote(N26,R26,,,$H$2))</f>
        <v/>
      </c>
      <c r="P26" s="125"/>
      <c r="Q26" s="125"/>
      <c r="R26" s="125" t="str">
        <f>IF(L26="","",_xll.RtGet("DTSIMI1",N26,"BID")/100)</f>
        <v/>
      </c>
      <c r="S26" s="321"/>
      <c r="T26" s="295"/>
      <c r="U26" s="243">
        <v>5</v>
      </c>
      <c r="V26" s="245" t="s">
        <v>95</v>
      </c>
      <c r="W26" s="245" t="str">
        <f t="shared" si="14"/>
        <v>5X8</v>
      </c>
      <c r="X26" s="245" t="str">
        <f t="shared" si="10"/>
        <v>EUR3MFRA5X8F=</v>
      </c>
      <c r="Y26" s="245" t="str">
        <f>_xll.qlSimpleQuote(X26,,RateTickValue,Permanent,Trigger,ObjectOverwrite)</f>
        <v>EUR3MFRA5X8F=#0006</v>
      </c>
      <c r="Z26" s="251">
        <f>_xll.RtGet("DTSIMI1",X26,$Z$3)/100</f>
        <v>-3.1900000000000001E-3</v>
      </c>
      <c r="AA26" s="251">
        <f>_xll.RtGet("DTSIMI1",X26,$AA$3)/100</f>
        <v>-3.1900000000000001E-3</v>
      </c>
      <c r="AB26" s="245">
        <f t="shared" si="15"/>
        <v>-3.1900000000000001E-3</v>
      </c>
      <c r="AC26" s="319"/>
      <c r="AD26" s="293" t="e">
        <f>IF(ISBLANK(AC26),_xll.qlSimpleQuoteSetValue(Y26,AB26),_xll.qlSimpleQuoteSetValue(Y26,AC26))</f>
        <v>#N/A</v>
      </c>
      <c r="AE26" s="248">
        <v>5</v>
      </c>
      <c r="AF26" s="245" t="s">
        <v>95</v>
      </c>
      <c r="AG26" s="245" t="str">
        <f t="shared" si="16"/>
        <v>5X11</v>
      </c>
      <c r="AH26" s="245" t="str">
        <f t="shared" si="12"/>
        <v>EUR6MFRA5X11F=</v>
      </c>
      <c r="AI26" s="245" t="str">
        <f>_xll.qlSimpleQuote(AH26,,RateTickValue,Permanent,Trigger,ObjectOverwrite)</f>
        <v>EUR6MFRA5X11F=#0006</v>
      </c>
      <c r="AJ26" s="246">
        <f>_xll.RtGet("DTSIMI1",AH26,$AJ$3)/100</f>
        <v>-2.15E-3</v>
      </c>
      <c r="AK26" s="246">
        <f>_xll.RtGet("DTSIMI1",AH26,$AK$3)/100</f>
        <v>-2.15E-3</v>
      </c>
      <c r="AL26" s="246">
        <f t="shared" si="6"/>
        <v>-2.15E-3</v>
      </c>
      <c r="AM26" s="315"/>
      <c r="AN26" s="293" t="e">
        <f>IF(ISBLANK(AM26),_xll.qlSimpleQuoteSetValue(AI26,AL26),_xll.qlSimpleQuoteSetValue(AI26,AM26))</f>
        <v>#N/A</v>
      </c>
      <c r="AO26" s="243">
        <v>5</v>
      </c>
      <c r="AP26" s="245" t="s">
        <v>95</v>
      </c>
      <c r="AQ26" s="245" t="str">
        <f t="shared" si="17"/>
        <v>5X17</v>
      </c>
      <c r="AR26" s="245" t="str">
        <f t="shared" si="13"/>
        <v>EUR1YFRA5X17F=</v>
      </c>
      <c r="AS26" s="245" t="str">
        <f>_xll.qlSimpleQuote(AR26,,RateTickValue,Permanent,Trigger,ObjectOverwrite)</f>
        <v>EUR1YFRA5X17F=#0006</v>
      </c>
      <c r="AT26" s="246">
        <f>_xll.RtGet("DTSIMI1",AR26,$AT$3)/100</f>
        <v>-7.3999999999999999E-4</v>
      </c>
      <c r="AU26" s="246">
        <f>_xll.RtGet("DTSIMI1",AR26,$AU$3)/100</f>
        <v>-7.3999999999999999E-4</v>
      </c>
      <c r="AV26" s="246">
        <f t="shared" si="8"/>
        <v>-7.3999999999999999E-4</v>
      </c>
      <c r="AW26" s="315"/>
      <c r="AX26" s="293" t="e">
        <f>IF(ISBLANK(AW26),_xll.qlSimpleQuoteSetValue(AS26,AV26),_xll.qlSimpleQuoteSetValue(AS26,AW26))</f>
        <v>#N/A</v>
      </c>
      <c r="BA26" s="253">
        <f t="shared" si="18"/>
        <v>0</v>
      </c>
      <c r="BB26" s="253">
        <v>0</v>
      </c>
    </row>
    <row r="27" spans="1:54" x14ac:dyDescent="0.2">
      <c r="A27" s="401"/>
      <c r="B27" s="125"/>
      <c r="C27" s="125"/>
      <c r="D27" s="125"/>
      <c r="E27" s="125"/>
      <c r="F27" s="125"/>
      <c r="G27" s="125"/>
      <c r="H27" s="125"/>
      <c r="I27" s="321"/>
      <c r="J27" s="295"/>
      <c r="K27" s="247"/>
      <c r="L27" s="125"/>
      <c r="M27" s="125"/>
      <c r="N27" s="125" t="str">
        <f t="shared" si="9"/>
        <v/>
      </c>
      <c r="O27" s="125" t="str">
        <f>IF(L27="","",_xll.qlSimpleQuote(N27,R27,,,$H$2))</f>
        <v/>
      </c>
      <c r="P27" s="125"/>
      <c r="Q27" s="125"/>
      <c r="R27" s="125" t="str">
        <f>IF(L27="","",_xll.RtGet("DTSIMI1",N27,"BID")/100)</f>
        <v/>
      </c>
      <c r="S27" s="321"/>
      <c r="T27" s="295"/>
      <c r="U27" s="243">
        <v>6</v>
      </c>
      <c r="V27" s="245" t="s">
        <v>95</v>
      </c>
      <c r="W27" s="245" t="str">
        <f t="shared" si="14"/>
        <v>6X9</v>
      </c>
      <c r="X27" s="245" t="str">
        <f t="shared" si="10"/>
        <v>EUR3MFRA6X9F=</v>
      </c>
      <c r="Y27" s="245" t="str">
        <f>_xll.qlSimpleQuote(X27,,RateTickValue,Permanent,Trigger,ObjectOverwrite)</f>
        <v>EUR3MFRA6X9F=#0006</v>
      </c>
      <c r="Z27" s="251">
        <f>_xll.RtGet("DTSIMI1",X27,$Z$3)/100</f>
        <v>-3.14E-3</v>
      </c>
      <c r="AA27" s="251">
        <f>_xll.RtGet("DTSIMI1",X27,$AA$3)/100</f>
        <v>-3.14E-3</v>
      </c>
      <c r="AB27" s="245">
        <f t="shared" si="15"/>
        <v>-3.14E-3</v>
      </c>
      <c r="AC27" s="319"/>
      <c r="AD27" s="293" t="e">
        <f>IF(ISBLANK(AC27),_xll.qlSimpleQuoteSetValue(Y27,AB27),_xll.qlSimpleQuoteSetValue(Y27,AC27))</f>
        <v>#N/A</v>
      </c>
      <c r="AE27" s="248">
        <v>6</v>
      </c>
      <c r="AF27" s="245" t="s">
        <v>95</v>
      </c>
      <c r="AG27" s="245" t="str">
        <f t="shared" si="16"/>
        <v>6X12</v>
      </c>
      <c r="AH27" s="245" t="str">
        <f t="shared" si="12"/>
        <v>EUR6MFRA6X12F=</v>
      </c>
      <c r="AI27" s="245" t="str">
        <f>_xll.qlSimpleQuote(AH27,,RateTickValue,Permanent,Trigger,ObjectOverwrite)</f>
        <v>EUR6MFRA6X12F=#0006</v>
      </c>
      <c r="AJ27" s="246">
        <f>_xll.RtGet("DTSIMI1",AH27,$AJ$3)/100</f>
        <v>-2.0800000000000003E-3</v>
      </c>
      <c r="AK27" s="246">
        <f>_xll.RtGet("DTSIMI1",AH27,$AK$3)/100</f>
        <v>-2.0800000000000003E-3</v>
      </c>
      <c r="AL27" s="246">
        <f t="shared" si="6"/>
        <v>-2.0800000000000003E-3</v>
      </c>
      <c r="AM27" s="315"/>
      <c r="AN27" s="293" t="e">
        <f>IF(ISBLANK(AM27),_xll.qlSimpleQuoteSetValue(AI27,AL27),_xll.qlSimpleQuoteSetValue(AI27,AM27))</f>
        <v>#N/A</v>
      </c>
      <c r="AO27" s="243">
        <v>6</v>
      </c>
      <c r="AP27" s="245" t="s">
        <v>95</v>
      </c>
      <c r="AQ27" s="245" t="str">
        <f t="shared" si="17"/>
        <v>6X18</v>
      </c>
      <c r="AR27" s="245" t="str">
        <f t="shared" si="13"/>
        <v>EUR1YFRA6X18F=</v>
      </c>
      <c r="AS27" s="245" t="str">
        <f>_xll.qlSimpleQuote(AR27,,RateTickValue,Permanent,Trigger,ObjectOverwrite)</f>
        <v>EUR1YFRA6X18F=#0006</v>
      </c>
      <c r="AT27" s="246">
        <f>_xll.RtGet("DTSIMI1",AR27,$AT$3)/100</f>
        <v>-6.7000000000000002E-4</v>
      </c>
      <c r="AU27" s="246">
        <f>_xll.RtGet("DTSIMI1",AR27,$AU$3)/100</f>
        <v>-6.7000000000000002E-4</v>
      </c>
      <c r="AV27" s="246">
        <f t="shared" si="8"/>
        <v>-6.7000000000000002E-4</v>
      </c>
      <c r="AW27" s="315"/>
      <c r="AX27" s="293" t="e">
        <f>IF(ISBLANK(AW27),_xll.qlSimpleQuoteSetValue(AS27,AV27),_xll.qlSimpleQuoteSetValue(AS27,AW27))</f>
        <v>#N/A</v>
      </c>
      <c r="BA27" s="253">
        <f t="shared" si="18"/>
        <v>0</v>
      </c>
      <c r="BB27" s="253">
        <v>0</v>
      </c>
    </row>
    <row r="28" spans="1:54" x14ac:dyDescent="0.2">
      <c r="A28" s="401"/>
      <c r="B28" s="125"/>
      <c r="C28" s="125"/>
      <c r="D28" s="125"/>
      <c r="E28" s="125"/>
      <c r="F28" s="125"/>
      <c r="G28" s="125"/>
      <c r="H28" s="125"/>
      <c r="I28" s="321"/>
      <c r="J28" s="295"/>
      <c r="K28" s="247"/>
      <c r="L28" s="125"/>
      <c r="M28" s="125"/>
      <c r="N28" s="125" t="str">
        <f t="shared" si="9"/>
        <v/>
      </c>
      <c r="O28" s="125" t="str">
        <f>IF(L28="","",_xll.qlSimpleQuote(N28,R28,,,$H$2))</f>
        <v/>
      </c>
      <c r="P28" s="125"/>
      <c r="Q28" s="125"/>
      <c r="R28" s="125" t="str">
        <f>IF(L28="","",_xll.RtGet("DTSIMI1",N28,"BID")/100)</f>
        <v/>
      </c>
      <c r="S28" s="321"/>
      <c r="T28" s="295"/>
      <c r="U28" s="243">
        <v>7</v>
      </c>
      <c r="V28" s="245" t="s">
        <v>95</v>
      </c>
      <c r="W28" s="245" t="str">
        <f t="shared" si="14"/>
        <v>7X10</v>
      </c>
      <c r="X28" s="245" t="str">
        <f t="shared" si="10"/>
        <v>EUR3MFRA7X10F=</v>
      </c>
      <c r="Y28" s="245" t="str">
        <f>_xll.qlSimpleQuote(X28,,RateTickValue,Permanent,Trigger,ObjectOverwrite)</f>
        <v>EUR3MFRA7X10F=#0006</v>
      </c>
      <c r="Z28" s="251">
        <f>_xll.RtGet("DTSIMI1",X28,$Z$3)/100</f>
        <v>-3.0899999999999999E-3</v>
      </c>
      <c r="AA28" s="251">
        <f>_xll.RtGet("DTSIMI1",X28,$AA$3)/100</f>
        <v>-3.0899999999999999E-3</v>
      </c>
      <c r="AB28" s="245">
        <f t="shared" si="15"/>
        <v>-3.0899999999999999E-3</v>
      </c>
      <c r="AC28" s="319"/>
      <c r="AD28" s="293" t="e">
        <f>IF(ISBLANK(AC28),_xll.qlSimpleQuoteSetValue(Y28,AB28),_xll.qlSimpleQuoteSetValue(Y28,AC28))</f>
        <v>#N/A</v>
      </c>
      <c r="AE28" s="248">
        <v>7</v>
      </c>
      <c r="AF28" s="245" t="s">
        <v>95</v>
      </c>
      <c r="AG28" s="245" t="str">
        <f t="shared" si="16"/>
        <v>7X13</v>
      </c>
      <c r="AH28" s="245" t="str">
        <f t="shared" si="12"/>
        <v>EUR6MFRA7X13F=</v>
      </c>
      <c r="AI28" s="245" t="str">
        <f>_xll.qlSimpleQuote(AH28,,RateTickValue,Permanent,Trigger,ObjectOverwrite)</f>
        <v>EUR6MFRA7X13F=#0006</v>
      </c>
      <c r="AJ28" s="246">
        <f>_xll.RtGet("DTSIMI1",AH28,$AJ$3)/100</f>
        <v>-2.0200000000000001E-3</v>
      </c>
      <c r="AK28" s="246">
        <f>_xll.RtGet("DTSIMI1",AH28,$AK$3)/100</f>
        <v>-2.0200000000000001E-3</v>
      </c>
      <c r="AL28" s="246">
        <f t="shared" si="6"/>
        <v>-2.0200000000000001E-3</v>
      </c>
      <c r="AM28" s="315"/>
      <c r="AN28" s="293" t="e">
        <f>IF(ISBLANK(AM28),_xll.qlSimpleQuoteSetValue(AI28,AL28),_xll.qlSimpleQuoteSetValue(AI28,AM28))</f>
        <v>#N/A</v>
      </c>
      <c r="AO28" s="243">
        <v>7</v>
      </c>
      <c r="AP28" s="245" t="s">
        <v>95</v>
      </c>
      <c r="AQ28" s="245" t="str">
        <f t="shared" si="17"/>
        <v>7X19</v>
      </c>
      <c r="AR28" s="245" t="str">
        <f t="shared" si="13"/>
        <v>EUR1YFRA7X19F=</v>
      </c>
      <c r="AS28" s="245" t="str">
        <f>_xll.qlSimpleQuote(AR28,,RateTickValue,Permanent,Trigger,ObjectOverwrite)</f>
        <v>EUR1YFRA7X19F=#0006</v>
      </c>
      <c r="AT28" s="246">
        <f>_xll.RtGet("DTSIMI1",AR28,$AT$3)/100</f>
        <v>-5.9000000000000003E-4</v>
      </c>
      <c r="AU28" s="246">
        <f>_xll.RtGet("DTSIMI1",AR28,$AU$3)/100</f>
        <v>-5.9000000000000003E-4</v>
      </c>
      <c r="AV28" s="246">
        <f t="shared" si="8"/>
        <v>-5.9000000000000003E-4</v>
      </c>
      <c r="AW28" s="315"/>
      <c r="AX28" s="293" t="e">
        <f>IF(ISBLANK(AW28),_xll.qlSimpleQuoteSetValue(AS28,AV28),_xll.qlSimpleQuoteSetValue(AS28,AW28))</f>
        <v>#N/A</v>
      </c>
      <c r="BA28" s="254">
        <f t="shared" si="18"/>
        <v>0</v>
      </c>
      <c r="BB28" s="254">
        <v>0</v>
      </c>
    </row>
    <row r="29" spans="1:54" x14ac:dyDescent="0.2">
      <c r="A29" s="401"/>
      <c r="B29" s="125"/>
      <c r="C29" s="125"/>
      <c r="D29" s="125"/>
      <c r="E29" s="125"/>
      <c r="F29" s="125"/>
      <c r="G29" s="125"/>
      <c r="H29" s="125"/>
      <c r="I29" s="321"/>
      <c r="J29" s="295"/>
      <c r="K29" s="247"/>
      <c r="L29" s="125"/>
      <c r="M29" s="125"/>
      <c r="N29" s="125" t="str">
        <f t="shared" si="9"/>
        <v/>
      </c>
      <c r="O29" s="125" t="str">
        <f>IF(L29="","",_xll.qlSimpleQuote(N29,R29,,,$H$2))</f>
        <v/>
      </c>
      <c r="P29" s="125"/>
      <c r="Q29" s="125"/>
      <c r="R29" s="125" t="str">
        <f>IF(L29="","",_xll.RtGet("DTSIMI1",N29,"BID")/100)</f>
        <v/>
      </c>
      <c r="S29" s="321"/>
      <c r="T29" s="295"/>
      <c r="U29" s="243">
        <v>8</v>
      </c>
      <c r="V29" s="245" t="s">
        <v>95</v>
      </c>
      <c r="W29" s="245" t="str">
        <f t="shared" si="14"/>
        <v>8X11</v>
      </c>
      <c r="X29" s="245" t="str">
        <f t="shared" si="10"/>
        <v>EUR3MFRA8X11F=</v>
      </c>
      <c r="Y29" s="245" t="str">
        <f>_xll.qlSimpleQuote(X29,,RateTickValue,Permanent,Trigger,ObjectOverwrite)</f>
        <v>EUR3MFRA8X11F=#0006</v>
      </c>
      <c r="Z29" s="251">
        <f>_xll.RtGet("DTSIMI1",X29,$Z$3)/100</f>
        <v>-3.0399999999999997E-3</v>
      </c>
      <c r="AA29" s="251">
        <f>_xll.RtGet("DTSIMI1",X29,$AA$3)/100</f>
        <v>-3.0399999999999997E-3</v>
      </c>
      <c r="AB29" s="245">
        <f t="shared" si="15"/>
        <v>-3.0399999999999997E-3</v>
      </c>
      <c r="AC29" s="319"/>
      <c r="AD29" s="293" t="e">
        <f>IF(ISBLANK(AC29),_xll.qlSimpleQuoteSetValue(Y29,AB29),_xll.qlSimpleQuoteSetValue(Y29,AC29))</f>
        <v>#N/A</v>
      </c>
      <c r="AE29" s="248">
        <v>8</v>
      </c>
      <c r="AF29" s="245" t="s">
        <v>95</v>
      </c>
      <c r="AG29" s="245" t="str">
        <f t="shared" si="16"/>
        <v>8X14</v>
      </c>
      <c r="AH29" s="245" t="str">
        <f t="shared" si="12"/>
        <v>EUR6MFRA8X14F=</v>
      </c>
      <c r="AI29" s="245" t="str">
        <f>_xll.qlSimpleQuote(AH29,,RateTickValue,Permanent,Trigger,ObjectOverwrite)</f>
        <v>EUR6MFRA8X14F=#0006</v>
      </c>
      <c r="AJ29" s="246">
        <f>_xll.RtGet("DTSIMI1",AH29,$AJ$3)/100</f>
        <v>-1.9500000000000001E-3</v>
      </c>
      <c r="AK29" s="246">
        <f>_xll.RtGet("DTSIMI1",AH29,$AK$3)/100</f>
        <v>-1.9500000000000001E-3</v>
      </c>
      <c r="AL29" s="246">
        <f t="shared" si="6"/>
        <v>-1.9500000000000001E-3</v>
      </c>
      <c r="AM29" s="315"/>
      <c r="AN29" s="293" t="e">
        <f>IF(ISBLANK(AM29),_xll.qlSimpleQuoteSetValue(AI29,AL29),_xll.qlSimpleQuoteSetValue(AI29,AM29))</f>
        <v>#N/A</v>
      </c>
      <c r="AO29" s="243">
        <v>8</v>
      </c>
      <c r="AP29" s="245" t="s">
        <v>95</v>
      </c>
      <c r="AQ29" s="245" t="str">
        <f t="shared" si="17"/>
        <v>8X20</v>
      </c>
      <c r="AR29" s="245" t="str">
        <f t="shared" si="13"/>
        <v>EUR1YFRA8X20F=</v>
      </c>
      <c r="AS29" s="245" t="str">
        <f>_xll.qlSimpleQuote(AR29,,RateTickValue,Permanent,Trigger,ObjectOverwrite)</f>
        <v>EUR1YFRA8X20F=#0006</v>
      </c>
      <c r="AT29" s="246">
        <f>_xll.RtGet("DTSIMI1",AR29,$AT$3)/100</f>
        <v>-4.8999999999999998E-4</v>
      </c>
      <c r="AU29" s="246">
        <f>_xll.RtGet("DTSIMI1",AR29,$AU$3)/100</f>
        <v>-4.8999999999999998E-4</v>
      </c>
      <c r="AV29" s="246">
        <f t="shared" si="8"/>
        <v>-4.8999999999999998E-4</v>
      </c>
      <c r="AW29" s="315"/>
      <c r="AX29" s="293" t="e">
        <f>IF(ISBLANK(AW29),_xll.qlSimpleQuoteSetValue(AS29,AV29),_xll.qlSimpleQuoteSetValue(AS29,AW29))</f>
        <v>#N/A</v>
      </c>
    </row>
    <row r="30" spans="1:54" x14ac:dyDescent="0.2">
      <c r="A30" s="401"/>
      <c r="B30" s="125"/>
      <c r="C30" s="125"/>
      <c r="D30" s="125"/>
      <c r="E30" s="125"/>
      <c r="F30" s="125"/>
      <c r="G30" s="125"/>
      <c r="H30" s="125"/>
      <c r="I30" s="321"/>
      <c r="J30" s="295"/>
      <c r="K30" s="247"/>
      <c r="L30" s="125"/>
      <c r="M30" s="125"/>
      <c r="N30" s="125" t="str">
        <f t="shared" si="9"/>
        <v/>
      </c>
      <c r="O30" s="125" t="str">
        <f>IF(L30="","",_xll.qlSimpleQuote(N30,R30,,,$H$2))</f>
        <v/>
      </c>
      <c r="P30" s="125"/>
      <c r="Q30" s="125"/>
      <c r="R30" s="125" t="str">
        <f>IF(L30="","",_xll.RtGet("DTSIMI1",N30,"BID")/100)</f>
        <v/>
      </c>
      <c r="S30" s="321"/>
      <c r="T30" s="295"/>
      <c r="U30" s="243">
        <v>9</v>
      </c>
      <c r="V30" s="245" t="s">
        <v>95</v>
      </c>
      <c r="W30" s="245" t="str">
        <f t="shared" si="14"/>
        <v>9X12</v>
      </c>
      <c r="X30" s="245" t="str">
        <f t="shared" si="10"/>
        <v>EUR3MFRA9X12F=</v>
      </c>
      <c r="Y30" s="245" t="str">
        <f>_xll.qlSimpleQuote(X30,,RateTickValue,Permanent,Trigger,ObjectOverwrite)</f>
        <v>EUR3MFRA9X12F=#0006</v>
      </c>
      <c r="Z30" s="251">
        <f>_xll.RtGet("DTSIMI1",X30,$Z$3)/100</f>
        <v>-2.98E-3</v>
      </c>
      <c r="AA30" s="251">
        <f>_xll.RtGet("DTSIMI1",X30,$AA$3)/100</f>
        <v>-2.98E-3</v>
      </c>
      <c r="AB30" s="245">
        <f t="shared" si="15"/>
        <v>-2.98E-3</v>
      </c>
      <c r="AC30" s="319"/>
      <c r="AD30" s="293" t="e">
        <f>IF(ISBLANK(AC30),_xll.qlSimpleQuoteSetValue(Y30,AB30),_xll.qlSimpleQuoteSetValue(Y30,AC30))</f>
        <v>#N/A</v>
      </c>
      <c r="AE30" s="248">
        <v>9</v>
      </c>
      <c r="AF30" s="245" t="s">
        <v>95</v>
      </c>
      <c r="AG30" s="245" t="str">
        <f t="shared" si="16"/>
        <v>9X15</v>
      </c>
      <c r="AH30" s="245" t="str">
        <f t="shared" si="12"/>
        <v>EUR6MFRA9X15F=</v>
      </c>
      <c r="AI30" s="245" t="str">
        <f>_xll.qlSimpleQuote(AH30,,RateTickValue,Permanent,Trigger,ObjectOverwrite)</f>
        <v>EUR6MFRA9X15F=#0006</v>
      </c>
      <c r="AJ30" s="246">
        <f>_xll.RtGet("DTSIMI1",AH30,$AJ$3)/100</f>
        <v>-1.8699999999999999E-3</v>
      </c>
      <c r="AK30" s="246">
        <f>_xll.RtGet("DTSIMI1",AH30,$AK$3)/100</f>
        <v>-1.8699999999999999E-3</v>
      </c>
      <c r="AL30" s="246">
        <f t="shared" si="6"/>
        <v>-1.8699999999999999E-3</v>
      </c>
      <c r="AM30" s="315"/>
      <c r="AN30" s="293" t="e">
        <f>IF(ISBLANK(AM30),_xll.qlSimpleQuoteSetValue(AI30,AL30),_xll.qlSimpleQuoteSetValue(AI30,AM30))</f>
        <v>#N/A</v>
      </c>
      <c r="AO30" s="243">
        <v>9</v>
      </c>
      <c r="AP30" s="245" t="s">
        <v>95</v>
      </c>
      <c r="AQ30" s="245" t="str">
        <f t="shared" si="17"/>
        <v>9X21</v>
      </c>
      <c r="AR30" s="245" t="str">
        <f t="shared" si="13"/>
        <v>EUR1YFRA9X21F=</v>
      </c>
      <c r="AS30" s="245" t="str">
        <f>_xll.qlSimpleQuote(AR30,,RateTickValue,Permanent,Trigger,ObjectOverwrite)</f>
        <v>EUR1YFRA9X21F=#0006</v>
      </c>
      <c r="AT30" s="246">
        <f>_xll.RtGet("DTSIMI1",AR30,$AT$3)/100</f>
        <v>-3.8999999999999999E-4</v>
      </c>
      <c r="AU30" s="246">
        <f>_xll.RtGet("DTSIMI1",AR30,$AU$3)/100</f>
        <v>-3.8999999999999999E-4</v>
      </c>
      <c r="AV30" s="246">
        <f t="shared" si="8"/>
        <v>-3.8999999999999999E-4</v>
      </c>
      <c r="AW30" s="315"/>
      <c r="AX30" s="293" t="e">
        <f>IF(ISBLANK(AW30),_xll.qlSimpleQuoteSetValue(AS30,AV30),_xll.qlSimpleQuoteSetValue(AS30,AW30))</f>
        <v>#N/A</v>
      </c>
    </row>
    <row r="31" spans="1:54" x14ac:dyDescent="0.2">
      <c r="A31" s="401"/>
      <c r="B31" s="125"/>
      <c r="C31" s="125"/>
      <c r="D31" s="125"/>
      <c r="E31" s="125"/>
      <c r="F31" s="125"/>
      <c r="G31" s="125"/>
      <c r="H31" s="125"/>
      <c r="I31" s="321"/>
      <c r="J31" s="295"/>
      <c r="K31" s="247"/>
      <c r="L31" s="125"/>
      <c r="M31" s="125"/>
      <c r="N31" s="125" t="str">
        <f t="shared" si="9"/>
        <v/>
      </c>
      <c r="O31" s="125" t="str">
        <f>IF(L31="","",_xll.qlSimpleQuote(N31,R31,,,$H$2))</f>
        <v/>
      </c>
      <c r="P31" s="125"/>
      <c r="Q31" s="125"/>
      <c r="R31" s="125" t="str">
        <f>IF(L31="","",_xll.RtGet("DTSIMI1",N31,"BID")/100)</f>
        <v/>
      </c>
      <c r="S31" s="321"/>
      <c r="T31" s="295"/>
      <c r="U31" s="243">
        <v>10</v>
      </c>
      <c r="V31" s="245" t="s">
        <v>95</v>
      </c>
      <c r="W31" s="245" t="str">
        <f t="shared" si="14"/>
        <v>10X13</v>
      </c>
      <c r="X31" s="245" t="str">
        <f t="shared" si="10"/>
        <v>EUR3MFRA10X13F=</v>
      </c>
      <c r="Y31" s="245" t="str">
        <f>_xll.qlSimpleQuote(X31,,RateTickValue,Permanent,Trigger,ObjectOverwrite)</f>
        <v>EUR3MFRA10X13F=#0006</v>
      </c>
      <c r="Z31" s="251">
        <f>_xll.RtGet("DTSIMI1",X31,$Z$3)/100</f>
        <v>-2.9299999999999999E-3</v>
      </c>
      <c r="AA31" s="251">
        <f>_xll.RtGet("DTSIMI1",X31,$AA$3)/100</f>
        <v>-2.9299999999999999E-3</v>
      </c>
      <c r="AB31" s="245">
        <f t="shared" si="15"/>
        <v>-2.9299999999999999E-3</v>
      </c>
      <c r="AC31" s="319"/>
      <c r="AD31" s="293" t="e">
        <f>IF(ISBLANK(AC31),_xll.qlSimpleQuoteSetValue(Y31,AB31),_xll.qlSimpleQuoteSetValue(Y31,AC31))</f>
        <v>#N/A</v>
      </c>
      <c r="AE31" s="248">
        <v>10</v>
      </c>
      <c r="AF31" s="245" t="s">
        <v>95</v>
      </c>
      <c r="AG31" s="245" t="str">
        <f t="shared" si="16"/>
        <v>10X16</v>
      </c>
      <c r="AH31" s="245" t="str">
        <f t="shared" si="12"/>
        <v>EUR6MFRA10X16F=</v>
      </c>
      <c r="AI31" s="245" t="str">
        <f>_xll.qlSimpleQuote(AH31,,RateTickValue,Permanent,Trigger,ObjectOverwrite)</f>
        <v>EUR6MFRA10X16F=#0006</v>
      </c>
      <c r="AJ31" s="246">
        <f>_xll.RtGet("DTSIMI1",AH31,$AJ$3)/100</f>
        <v>-1.7899999999999999E-3</v>
      </c>
      <c r="AK31" s="246">
        <f>_xll.RtGet("DTSIMI1",AH31,$AK$3)/100</f>
        <v>-1.7899999999999999E-3</v>
      </c>
      <c r="AL31" s="246">
        <f t="shared" si="6"/>
        <v>-1.7899999999999999E-3</v>
      </c>
      <c r="AM31" s="315"/>
      <c r="AN31" s="293" t="e">
        <f>IF(ISBLANK(AM31),_xll.qlSimpleQuoteSetValue(AI31,AL31),_xll.qlSimpleQuoteSetValue(AI31,AM31))</f>
        <v>#N/A</v>
      </c>
      <c r="AO31" s="243">
        <v>10</v>
      </c>
      <c r="AP31" s="245" t="s">
        <v>95</v>
      </c>
      <c r="AQ31" s="245" t="str">
        <f t="shared" si="17"/>
        <v>10X22</v>
      </c>
      <c r="AR31" s="245" t="str">
        <f t="shared" si="13"/>
        <v>EUR1YFRA10X22F=</v>
      </c>
      <c r="AS31" s="245" t="str">
        <f>_xll.qlSimpleQuote(AR31,,RateTickValue,Permanent,Trigger,ObjectOverwrite)</f>
        <v>EUR1YFRA10X22F=#0006</v>
      </c>
      <c r="AT31" s="246">
        <f>_xll.RtGet("DTSIMI1",AR31,$AT$3)/100</f>
        <v>-2.9E-4</v>
      </c>
      <c r="AU31" s="246">
        <f>_xll.RtGet("DTSIMI1",AR31,$AU$3)/100</f>
        <v>-2.9E-4</v>
      </c>
      <c r="AV31" s="246">
        <f t="shared" si="8"/>
        <v>-2.9E-4</v>
      </c>
      <c r="AW31" s="315"/>
      <c r="AX31" s="293" t="e">
        <f>IF(ISBLANK(AW31),_xll.qlSimpleQuoteSetValue(AS31,AV31),_xll.qlSimpleQuoteSetValue(AS31,AW31))</f>
        <v>#N/A</v>
      </c>
    </row>
    <row r="32" spans="1:54" x14ac:dyDescent="0.2">
      <c r="A32" s="401"/>
      <c r="B32" s="125"/>
      <c r="C32" s="125"/>
      <c r="D32" s="125"/>
      <c r="E32" s="125"/>
      <c r="F32" s="125"/>
      <c r="G32" s="125"/>
      <c r="H32" s="125"/>
      <c r="I32" s="321"/>
      <c r="J32" s="295"/>
      <c r="K32" s="247"/>
      <c r="L32" s="125"/>
      <c r="M32" s="125"/>
      <c r="N32" s="125" t="str">
        <f t="shared" si="9"/>
        <v/>
      </c>
      <c r="O32" s="125" t="str">
        <f>IF(L32="","",_xll.qlSimpleQuote(N32,R32,,,$H$2))</f>
        <v/>
      </c>
      <c r="P32" s="125"/>
      <c r="Q32" s="125"/>
      <c r="R32" s="125" t="str">
        <f>IF(L32="","",_xll.RtGet("DTSIMI1",N32,"BID")/100)</f>
        <v/>
      </c>
      <c r="S32" s="321"/>
      <c r="T32" s="295"/>
      <c r="U32" s="243">
        <v>11</v>
      </c>
      <c r="V32" s="245" t="s">
        <v>95</v>
      </c>
      <c r="W32" s="245" t="str">
        <f t="shared" si="14"/>
        <v>11X14</v>
      </c>
      <c r="X32" s="245" t="str">
        <f t="shared" si="10"/>
        <v>EUR3MFRA11X14F=</v>
      </c>
      <c r="Y32" s="245" t="str">
        <f>_xll.qlSimpleQuote(X32,,RateTickValue,Permanent,Trigger,ObjectOverwrite)</f>
        <v>EUR3MFRA11X14F=#0006</v>
      </c>
      <c r="Z32" s="251">
        <f>_xll.RtGet("DTSIMI1",X32,$Z$3)/100</f>
        <v>-2.8899999999999998E-3</v>
      </c>
      <c r="AA32" s="251">
        <f>_xll.RtGet("DTSIMI1",X32,$AA$3)/100</f>
        <v>-2.8899999999999998E-3</v>
      </c>
      <c r="AB32" s="245">
        <f t="shared" si="15"/>
        <v>-2.8899999999999998E-3</v>
      </c>
      <c r="AC32" s="319"/>
      <c r="AD32" s="293" t="e">
        <f>IF(ISBLANK(AC32),_xll.qlSimpleQuoteSetValue(Y32,AB32),_xll.qlSimpleQuoteSetValue(Y32,AC32))</f>
        <v>#N/A</v>
      </c>
      <c r="AE32" s="248">
        <v>11</v>
      </c>
      <c r="AF32" s="245" t="s">
        <v>95</v>
      </c>
      <c r="AG32" s="245" t="str">
        <f t="shared" si="16"/>
        <v>11X17</v>
      </c>
      <c r="AH32" s="245" t="str">
        <f t="shared" si="12"/>
        <v>EUR6MFRA11X17F=</v>
      </c>
      <c r="AI32" s="245" t="str">
        <f>_xll.qlSimpleQuote(AH32,,RateTickValue,Permanent,Trigger,ObjectOverwrite)</f>
        <v>EUR6MFRA11X17F=#0006</v>
      </c>
      <c r="AJ32" s="246">
        <f>_xll.RtGet("DTSIMI1",AH32,$AJ$3)/100</f>
        <v>-1.7200000000000002E-3</v>
      </c>
      <c r="AK32" s="246">
        <f>_xll.RtGet("DTSIMI1",AH32,$AK$3)/100</f>
        <v>-1.7200000000000002E-3</v>
      </c>
      <c r="AL32" s="246">
        <f t="shared" si="6"/>
        <v>-1.7200000000000002E-3</v>
      </c>
      <c r="AM32" s="315"/>
      <c r="AN32" s="293" t="e">
        <f>IF(ISBLANK(AM32),_xll.qlSimpleQuoteSetValue(AI32,AL32),_xll.qlSimpleQuoteSetValue(AI32,AM32))</f>
        <v>#N/A</v>
      </c>
      <c r="AO32" s="243">
        <v>11</v>
      </c>
      <c r="AP32" s="245" t="s">
        <v>95</v>
      </c>
      <c r="AQ32" s="245" t="str">
        <f t="shared" si="17"/>
        <v>11X23</v>
      </c>
      <c r="AR32" s="245" t="str">
        <f t="shared" si="13"/>
        <v>EUR1YFRA11X23F=</v>
      </c>
      <c r="AS32" s="245" t="str">
        <f>_xll.qlSimpleQuote(AR32,,RateTickValue,Permanent,Trigger,ObjectOverwrite)</f>
        <v>EUR1YFRA11X23F=#0006</v>
      </c>
      <c r="AT32" s="246">
        <f>_xll.RtGet("DTSIMI1",AR32,$AT$3)/100</f>
        <v>-1.8000000000000001E-4</v>
      </c>
      <c r="AU32" s="246">
        <f>_xll.RtGet("DTSIMI1",AR32,$AU$3)/100</f>
        <v>-1.8000000000000001E-4</v>
      </c>
      <c r="AV32" s="246">
        <f t="shared" si="8"/>
        <v>-1.8000000000000001E-4</v>
      </c>
      <c r="AW32" s="315"/>
      <c r="AX32" s="293" t="e">
        <f>IF(ISBLANK(AW32),_xll.qlSimpleQuoteSetValue(AS32,AV32),_xll.qlSimpleQuoteSetValue(AS32,AW32))</f>
        <v>#N/A</v>
      </c>
    </row>
    <row r="33" spans="1:50" x14ac:dyDescent="0.2">
      <c r="A33" s="401"/>
      <c r="B33" s="125"/>
      <c r="C33" s="125"/>
      <c r="D33" s="125"/>
      <c r="E33" s="125"/>
      <c r="F33" s="125"/>
      <c r="G33" s="125"/>
      <c r="H33" s="125"/>
      <c r="I33" s="321"/>
      <c r="J33" s="295"/>
      <c r="K33" s="247"/>
      <c r="L33" s="125"/>
      <c r="M33" s="125"/>
      <c r="N33" s="125" t="str">
        <f t="shared" si="9"/>
        <v/>
      </c>
      <c r="O33" s="125" t="str">
        <f>IF(L33="","",_xll.qlSimpleQuote(N33,R33,,,$H$2))</f>
        <v/>
      </c>
      <c r="P33" s="125"/>
      <c r="Q33" s="125"/>
      <c r="R33" s="125" t="str">
        <f>IF(L33="","",_xll.RtGet("DTSIMI1",N33,"BID")/100)</f>
        <v/>
      </c>
      <c r="S33" s="321"/>
      <c r="T33" s="295"/>
      <c r="U33" s="243">
        <v>12</v>
      </c>
      <c r="V33" s="269" t="s">
        <v>95</v>
      </c>
      <c r="W33" s="269" t="str">
        <f t="shared" si="14"/>
        <v>12X15</v>
      </c>
      <c r="X33" s="269" t="str">
        <f t="shared" si="10"/>
        <v>EUR3MFRA12X15F=</v>
      </c>
      <c r="Y33" s="269" t="str">
        <f>_xll.qlSimpleQuote(X33,,RateTickValue,Permanent,Trigger,ObjectOverwrite)</f>
        <v>EUR3MFRA12X15F=#0006</v>
      </c>
      <c r="Z33" s="311">
        <f>_xll.RtGet("DTSIMI1",X33,$Z$3)/100</f>
        <v>-2.8100000000000004E-3</v>
      </c>
      <c r="AA33" s="311">
        <f>_xll.RtGet("DTSIMI1",X33,$AA$3)/100</f>
        <v>-2.8100000000000004E-3</v>
      </c>
      <c r="AB33" s="269">
        <f t="shared" si="15"/>
        <v>-2.8100000000000004E-3</v>
      </c>
      <c r="AC33" s="320"/>
      <c r="AD33" s="294" t="e">
        <f>IF(ISBLANK(AC33),_xll.qlSimpleQuoteSetValue(Y33,AB33),_xll.qlSimpleQuoteSetValue(Y33,AC33))</f>
        <v>#N/A</v>
      </c>
      <c r="AE33" s="248">
        <v>12</v>
      </c>
      <c r="AF33" s="245" t="s">
        <v>95</v>
      </c>
      <c r="AG33" s="245" t="str">
        <f t="shared" si="16"/>
        <v>12X18</v>
      </c>
      <c r="AH33" s="245" t="str">
        <f t="shared" si="12"/>
        <v>EUR6MFRA12X18F=</v>
      </c>
      <c r="AI33" s="245" t="str">
        <f>_xll.qlSimpleQuote(AH33,,RateTickValue,Permanent,Trigger,ObjectOverwrite)</f>
        <v>EUR6MFRA12X18F=#0006</v>
      </c>
      <c r="AJ33" s="246">
        <f>_xll.RtGet("DTSIMI1",AH33,$AJ$3)/100</f>
        <v>-1.6300000000000002E-3</v>
      </c>
      <c r="AK33" s="246">
        <f>_xll.RtGet("DTSIMI1",AH33,$AK$3)/100</f>
        <v>-1.6300000000000002E-3</v>
      </c>
      <c r="AL33" s="246">
        <f t="shared" si="6"/>
        <v>-1.6300000000000002E-3</v>
      </c>
      <c r="AM33" s="315"/>
      <c r="AN33" s="293" t="e">
        <f>IF(ISBLANK(AM33),_xll.qlSimpleQuoteSetValue(AI33,AL33),_xll.qlSimpleQuoteSetValue(AI33,AM33))</f>
        <v>#N/A</v>
      </c>
      <c r="AO33" s="243">
        <v>12</v>
      </c>
      <c r="AP33" s="245" t="s">
        <v>95</v>
      </c>
      <c r="AQ33" s="245" t="str">
        <f t="shared" si="17"/>
        <v>12X24</v>
      </c>
      <c r="AR33" s="245" t="str">
        <f t="shared" si="13"/>
        <v>EUR1YFRA12X24F=</v>
      </c>
      <c r="AS33" s="245" t="str">
        <f>_xll.qlSimpleQuote(AR33,,RateTickValue,Permanent,Trigger,ObjectOverwrite)</f>
        <v>EUR1YFRA12X24F=#0006</v>
      </c>
      <c r="AT33" s="246">
        <f>_xll.RtGet("DTSIMI1",AR33,$AT$3)/100</f>
        <v>-5.0000000000000002E-5</v>
      </c>
      <c r="AU33" s="246">
        <f>_xll.RtGet("DTSIMI1",AR33,$AU$3)/100</f>
        <v>-5.0000000000000002E-5</v>
      </c>
      <c r="AV33" s="246">
        <f t="shared" si="8"/>
        <v>-5.0000000000000002E-5</v>
      </c>
      <c r="AW33" s="315"/>
      <c r="AX33" s="293" t="e">
        <f>IF(ISBLANK(AW33),_xll.qlSimpleQuoteSetValue(AS33,AV33),_xll.qlSimpleQuoteSetValue(AS33,AW33))</f>
        <v>#N/A</v>
      </c>
    </row>
    <row r="34" spans="1:50" x14ac:dyDescent="0.2">
      <c r="A34" s="401"/>
      <c r="B34" s="125"/>
      <c r="C34" s="125"/>
      <c r="D34" s="125"/>
      <c r="E34" s="125"/>
      <c r="F34" s="125"/>
      <c r="G34" s="125"/>
      <c r="H34" s="125"/>
      <c r="I34" s="321"/>
      <c r="J34" s="295"/>
      <c r="K34" s="247"/>
      <c r="L34" s="125"/>
      <c r="M34" s="125"/>
      <c r="N34" s="125" t="str">
        <f t="shared" si="9"/>
        <v/>
      </c>
      <c r="O34" s="125" t="str">
        <f>IF(L34="","",_xll.qlSimpleQuote(N34,R34,,,$H$2))</f>
        <v/>
      </c>
      <c r="P34" s="125"/>
      <c r="Q34" s="125"/>
      <c r="R34" s="125" t="str">
        <f>IF(L34="","",_xll.RtGet("DTSIMI1",N34,"BID")/100)</f>
        <v/>
      </c>
      <c r="S34" s="321"/>
      <c r="T34" s="295"/>
      <c r="U34" s="243"/>
      <c r="V34" s="241" t="s">
        <v>96</v>
      </c>
      <c r="W34" s="241" t="str">
        <f>_xll.qlIMMNextCode(Evaluationdate,,Trigger)</f>
        <v>H7</v>
      </c>
      <c r="X34" s="241" t="str">
        <f t="shared" ref="X34:X44" si="19">IF(V34="","",UPPER(Currency)&amp;$V$2&amp;V34&amp;W34)</f>
        <v>EUR3MFUTH7</v>
      </c>
      <c r="Y34" s="241" t="str">
        <f>_xll.qlSimpleQuote(X34,,PriceTickValue,Permanent,Trigger,ObjectOverwrite)</f>
        <v>EUR3MFUTH7#0006</v>
      </c>
      <c r="Z34" s="250">
        <f>_xll.RtGet("DTSIMI1",X34,$Z$3)</f>
        <v>100.3275</v>
      </c>
      <c r="AA34" s="250">
        <f>_xll.RtGet("DTSIMI1",X34,$AA$3)</f>
        <v>100.3275</v>
      </c>
      <c r="AB34" s="250">
        <f t="shared" ref="AB34:AB44" si="20">AVERAGE(Z34:AA34)</f>
        <v>100.3275</v>
      </c>
      <c r="AC34" s="382"/>
      <c r="AD34" s="292" t="e">
        <f>IF(ISBLANK(AC34),_xll.qlSimpleQuoteSetValue(Y34,AB34),_xll.qlSimpleQuoteSetValue(Y34,AC34))</f>
        <v>#N/A</v>
      </c>
      <c r="AE34" s="248">
        <v>13</v>
      </c>
      <c r="AF34" s="245" t="s">
        <v>95</v>
      </c>
      <c r="AG34" s="245" t="str">
        <f t="shared" si="16"/>
        <v>13X19</v>
      </c>
      <c r="AH34" s="245" t="str">
        <f t="shared" si="12"/>
        <v>EUR6MFRA13X19F=</v>
      </c>
      <c r="AI34" s="245" t="str">
        <f>_xll.qlSimpleQuote(AH34,,RateTickValue,Permanent,Trigger,ObjectOverwrite)</f>
        <v>EUR6MFRA13X19F=#0006</v>
      </c>
      <c r="AJ34" s="246">
        <f>_xll.RtGet("DTSIMI1",AH34,$AJ$3)/100</f>
        <v>-1.5399999999999999E-3</v>
      </c>
      <c r="AK34" s="246">
        <f>_xll.RtGet("DTSIMI1",AH34,$AK$3)/100</f>
        <v>-1.5399999999999999E-3</v>
      </c>
      <c r="AL34" s="246">
        <f t="shared" si="6"/>
        <v>-1.5399999999999999E-3</v>
      </c>
      <c r="AM34" s="315"/>
      <c r="AN34" s="293" t="e">
        <f>IF(ISBLANK(AM34),_xll.qlSimpleQuoteSetValue(AI34,AL34),_xll.qlSimpleQuoteSetValue(AI34,AM34))</f>
        <v>#N/A</v>
      </c>
      <c r="AO34" s="243">
        <v>13</v>
      </c>
      <c r="AP34" s="274" t="s">
        <v>95</v>
      </c>
      <c r="AQ34" s="274" t="str">
        <f t="shared" si="17"/>
        <v>13X25</v>
      </c>
      <c r="AR34" s="275"/>
      <c r="AS34" s="275"/>
      <c r="AT34" s="275"/>
      <c r="AU34" s="275"/>
      <c r="AV34" s="275"/>
      <c r="AW34" s="329"/>
      <c r="AX34" s="275"/>
    </row>
    <row r="35" spans="1:50" x14ac:dyDescent="0.2">
      <c r="A35" s="401"/>
      <c r="B35" s="125"/>
      <c r="C35" s="125"/>
      <c r="D35" s="125"/>
      <c r="E35" s="125"/>
      <c r="F35" s="125"/>
      <c r="G35" s="125"/>
      <c r="H35" s="125"/>
      <c r="I35" s="321"/>
      <c r="J35" s="295"/>
      <c r="K35" s="247"/>
      <c r="L35" s="125"/>
      <c r="M35" s="125"/>
      <c r="N35" s="125" t="str">
        <f t="shared" si="9"/>
        <v/>
      </c>
      <c r="O35" s="125" t="str">
        <f>IF(L35="","",_xll.qlSimpleQuote(N35,R35,,,$H$2))</f>
        <v/>
      </c>
      <c r="P35" s="125"/>
      <c r="Q35" s="125"/>
      <c r="R35" s="125" t="str">
        <f>IF(L35="","",_xll.RtGet("DTSIMI1",N35,"BID")/100)</f>
        <v/>
      </c>
      <c r="S35" s="321"/>
      <c r="T35" s="295"/>
      <c r="U35" s="243"/>
      <c r="V35" s="245" t="s">
        <v>96</v>
      </c>
      <c r="W35" s="245" t="str">
        <f>_xll.qlIMMNextCode(W34,,Trigger)</f>
        <v>M7</v>
      </c>
      <c r="X35" s="245" t="str">
        <f t="shared" si="19"/>
        <v>EUR3MFUTM7</v>
      </c>
      <c r="Y35" s="245" t="str">
        <f>_xll.qlSimpleQuote(X35,,PriceTickValue,Permanent,Trigger,ObjectOverwrite)</f>
        <v>EUR3MFUTM7#0006</v>
      </c>
      <c r="Z35" s="251">
        <f>_xll.RtGet("DTSIMI1",X35,$Z$3)</f>
        <v>100.31750000000001</v>
      </c>
      <c r="AA35" s="251">
        <f>_xll.RtGet("DTSIMI1",X35,$AA$3)</f>
        <v>100.31750000000001</v>
      </c>
      <c r="AB35" s="245">
        <f t="shared" si="20"/>
        <v>100.31750000000001</v>
      </c>
      <c r="AC35" s="319"/>
      <c r="AD35" s="293" t="e">
        <f>IF(ISBLANK(AC35),_xll.qlSimpleQuoteSetValue(Y35,AB35),_xll.qlSimpleQuoteSetValue(Y35,AC35))</f>
        <v>#N/A</v>
      </c>
      <c r="AE35" s="248">
        <v>14</v>
      </c>
      <c r="AF35" s="245" t="s">
        <v>95</v>
      </c>
      <c r="AG35" s="245" t="str">
        <f t="shared" si="16"/>
        <v>14X20</v>
      </c>
      <c r="AH35" s="245" t="str">
        <f t="shared" si="12"/>
        <v>EUR6MFRA14X20F=</v>
      </c>
      <c r="AI35" s="245" t="str">
        <f>_xll.qlSimpleQuote(AH35,,RateTickValue,Permanent,Trigger,ObjectOverwrite)</f>
        <v>EUR6MFRA14X20F=#0006</v>
      </c>
      <c r="AJ35" s="246">
        <f>_xll.RtGet("DTSIMI1",AH35,$AJ$3)/100</f>
        <v>-1.4599999999999999E-3</v>
      </c>
      <c r="AK35" s="246">
        <f>_xll.RtGet("DTSIMI1",AH35,$AK$3)/100</f>
        <v>-1.4599999999999999E-3</v>
      </c>
      <c r="AL35" s="246">
        <f t="shared" ref="AL35:AL45" si="21">AVERAGE(AJ35:AK35)</f>
        <v>-1.4599999999999999E-3</v>
      </c>
      <c r="AM35" s="315"/>
      <c r="AN35" s="293" t="e">
        <f>IF(ISBLANK(AM35),_xll.qlSimpleQuoteSetValue(AI35,AL35),_xll.qlSimpleQuoteSetValue(AI35,AM35))</f>
        <v>#N/A</v>
      </c>
      <c r="AO35" s="243">
        <v>14</v>
      </c>
      <c r="AP35" s="245" t="s">
        <v>95</v>
      </c>
      <c r="AQ35" s="245" t="str">
        <f t="shared" si="17"/>
        <v>14X26</v>
      </c>
      <c r="AR35" s="125"/>
      <c r="AS35" s="125"/>
      <c r="AT35" s="125"/>
      <c r="AU35" s="125"/>
      <c r="AV35" s="125"/>
      <c r="AW35" s="321"/>
      <c r="AX35" s="125"/>
    </row>
    <row r="36" spans="1:50" x14ac:dyDescent="0.2">
      <c r="A36" s="401"/>
      <c r="B36" s="125"/>
      <c r="C36" s="125"/>
      <c r="D36" s="125"/>
      <c r="E36" s="125"/>
      <c r="F36" s="125"/>
      <c r="G36" s="125"/>
      <c r="H36" s="125"/>
      <c r="I36" s="321"/>
      <c r="J36" s="295"/>
      <c r="K36" s="247"/>
      <c r="L36" s="125"/>
      <c r="M36" s="125"/>
      <c r="N36" s="125" t="str">
        <f t="shared" ref="N36:N67" si="22">IF(L36="","",UPPER(Currency)&amp;$L$2&amp;L36&amp;M36&amp;"=")</f>
        <v/>
      </c>
      <c r="O36" s="125" t="str">
        <f>IF(L36="","",_xll.qlSimpleQuote(N36,R36,,,$H$2))</f>
        <v/>
      </c>
      <c r="P36" s="125"/>
      <c r="Q36" s="125"/>
      <c r="R36" s="125" t="str">
        <f>IF(L36="","",_xll.RtGet("DTSIMI1",N36,"BID")/100)</f>
        <v/>
      </c>
      <c r="S36" s="321"/>
      <c r="T36" s="295"/>
      <c r="U36" s="243"/>
      <c r="V36" s="245" t="s">
        <v>96</v>
      </c>
      <c r="W36" s="245" t="str">
        <f>_xll.qlIMMNextCode(W35,,Trigger)</f>
        <v>U7</v>
      </c>
      <c r="X36" s="245" t="str">
        <f t="shared" si="19"/>
        <v>EUR3MFUTU7</v>
      </c>
      <c r="Y36" s="245" t="str">
        <f>_xll.qlSimpleQuote(X36,,PriceTickValue,Permanent,Trigger,ObjectOverwrite)</f>
        <v>EUR3MFUTU7#0006</v>
      </c>
      <c r="Z36" s="251">
        <f>_xll.RtGet("DTSIMI1",X36,$Z$3)</f>
        <v>100.30250000000001</v>
      </c>
      <c r="AA36" s="251">
        <f>_xll.RtGet("DTSIMI1",X36,$AA$3)</f>
        <v>100.30250000000001</v>
      </c>
      <c r="AB36" s="245">
        <f t="shared" si="20"/>
        <v>100.30250000000001</v>
      </c>
      <c r="AC36" s="319"/>
      <c r="AD36" s="293" t="e">
        <f>IF(ISBLANK(AC36),_xll.qlSimpleQuoteSetValue(Y36,AB36),_xll.qlSimpleQuoteSetValue(Y36,AC36))</f>
        <v>#N/A</v>
      </c>
      <c r="AE36" s="248">
        <v>15</v>
      </c>
      <c r="AF36" s="245" t="s">
        <v>95</v>
      </c>
      <c r="AG36" s="245" t="str">
        <f t="shared" si="16"/>
        <v>15X21</v>
      </c>
      <c r="AH36" s="245" t="str">
        <f t="shared" si="12"/>
        <v>EUR6MFRA15X21F=</v>
      </c>
      <c r="AI36" s="245" t="str">
        <f>_xll.qlSimpleQuote(AH36,,RateTickValue,Permanent,Trigger,ObjectOverwrite)</f>
        <v>EUR6MFRA15X21F=#0006</v>
      </c>
      <c r="AJ36" s="246">
        <f>_xll.RtGet("DTSIMI1",AH36,$AJ$3)/100</f>
        <v>-1.3600000000000001E-3</v>
      </c>
      <c r="AK36" s="246">
        <f>_xll.RtGet("DTSIMI1",AH36,$AK$3)/100</f>
        <v>-1.3600000000000001E-3</v>
      </c>
      <c r="AL36" s="246">
        <f t="shared" si="21"/>
        <v>-1.3600000000000001E-3</v>
      </c>
      <c r="AM36" s="315"/>
      <c r="AN36" s="293" t="e">
        <f>IF(ISBLANK(AM36),_xll.qlSimpleQuoteSetValue(AI36,AL36),_xll.qlSimpleQuoteSetValue(AI36,AM36))</f>
        <v>#N/A</v>
      </c>
      <c r="AO36" s="243">
        <v>15</v>
      </c>
      <c r="AP36" s="245" t="s">
        <v>95</v>
      </c>
      <c r="AQ36" s="245" t="str">
        <f t="shared" si="17"/>
        <v>15X27</v>
      </c>
      <c r="AR36" s="125"/>
      <c r="AS36" s="125"/>
      <c r="AT36" s="125"/>
      <c r="AU36" s="125"/>
      <c r="AV36" s="125"/>
      <c r="AW36" s="321"/>
      <c r="AX36" s="125"/>
    </row>
    <row r="37" spans="1:50" x14ac:dyDescent="0.2">
      <c r="A37" s="401"/>
      <c r="B37" s="125"/>
      <c r="C37" s="125"/>
      <c r="D37" s="125"/>
      <c r="E37" s="125"/>
      <c r="F37" s="125"/>
      <c r="G37" s="125"/>
      <c r="H37" s="125"/>
      <c r="I37" s="321"/>
      <c r="J37" s="295"/>
      <c r="K37" s="247"/>
      <c r="L37" s="125"/>
      <c r="M37" s="125"/>
      <c r="N37" s="125" t="str">
        <f t="shared" si="22"/>
        <v/>
      </c>
      <c r="O37" s="125" t="str">
        <f>IF(L37="","",_xll.qlSimpleQuote(N37,R37,,,$H$2))</f>
        <v/>
      </c>
      <c r="P37" s="125"/>
      <c r="Q37" s="125"/>
      <c r="R37" s="125" t="str">
        <f>IF(L37="","",_xll.RtGet("DTSIMI1",N37,"BID")/100)</f>
        <v/>
      </c>
      <c r="S37" s="321"/>
      <c r="T37" s="295"/>
      <c r="U37" s="243"/>
      <c r="V37" s="245" t="s">
        <v>96</v>
      </c>
      <c r="W37" s="245" t="str">
        <f>_xll.qlIMMNextCode(W36,,Trigger)</f>
        <v>Z7</v>
      </c>
      <c r="X37" s="245" t="str">
        <f t="shared" si="19"/>
        <v>EUR3MFUTZ7</v>
      </c>
      <c r="Y37" s="245" t="str">
        <f>_xll.qlSimpleQuote(X37,,PriceTickValue,Permanent,Trigger,ObjectOverwrite)</f>
        <v>EUR3MFUTZ7#0006</v>
      </c>
      <c r="Z37" s="251">
        <f>_xll.RtGet("DTSIMI1",X37,$Z$3)</f>
        <v>100.28750000000001</v>
      </c>
      <c r="AA37" s="251">
        <f>_xll.RtGet("DTSIMI1",X37,$AA$3)</f>
        <v>100.28750000000001</v>
      </c>
      <c r="AB37" s="245">
        <f t="shared" si="20"/>
        <v>100.28750000000001</v>
      </c>
      <c r="AC37" s="319"/>
      <c r="AD37" s="293" t="e">
        <f>IF(ISBLANK(AC37),_xll.qlSimpleQuoteSetValue(Y37,AB37),_xll.qlSimpleQuoteSetValue(Y37,AC37))</f>
        <v>#N/A</v>
      </c>
      <c r="AE37" s="248">
        <v>16</v>
      </c>
      <c r="AF37" s="245" t="s">
        <v>95</v>
      </c>
      <c r="AG37" s="245" t="str">
        <f t="shared" si="16"/>
        <v>16X22</v>
      </c>
      <c r="AH37" s="245" t="str">
        <f t="shared" si="12"/>
        <v>EUR6MFRA16X22F=</v>
      </c>
      <c r="AI37" s="245" t="str">
        <f>_xll.qlSimpleQuote(AH37,,RateTickValue,Permanent,Trigger,ObjectOverwrite)</f>
        <v>EUR6MFRA16X22F=#0006</v>
      </c>
      <c r="AJ37" s="246">
        <f>_xll.RtGet("DTSIMI1",AH37,$AJ$3)/100</f>
        <v>-1.2700000000000001E-3</v>
      </c>
      <c r="AK37" s="246">
        <f>_xll.RtGet("DTSIMI1",AH37,$AK$3)/100</f>
        <v>-1.2700000000000001E-3</v>
      </c>
      <c r="AL37" s="246">
        <f t="shared" si="21"/>
        <v>-1.2700000000000001E-3</v>
      </c>
      <c r="AM37" s="315"/>
      <c r="AN37" s="293" t="e">
        <f>IF(ISBLANK(AM37),_xll.qlSimpleQuoteSetValue(AI37,AL37),_xll.qlSimpleQuoteSetValue(AI37,AM37))</f>
        <v>#N/A</v>
      </c>
      <c r="AO37" s="243">
        <v>16</v>
      </c>
      <c r="AP37" s="245" t="s">
        <v>95</v>
      </c>
      <c r="AQ37" s="245" t="str">
        <f t="shared" si="17"/>
        <v>16X28</v>
      </c>
      <c r="AR37" s="125"/>
      <c r="AS37" s="125"/>
      <c r="AT37" s="125"/>
      <c r="AU37" s="125"/>
      <c r="AV37" s="125"/>
      <c r="AW37" s="321"/>
      <c r="AX37" s="125"/>
    </row>
    <row r="38" spans="1:50" x14ac:dyDescent="0.2">
      <c r="A38" s="401"/>
      <c r="B38" s="125"/>
      <c r="C38" s="125"/>
      <c r="D38" s="125"/>
      <c r="E38" s="125"/>
      <c r="F38" s="125"/>
      <c r="G38" s="125"/>
      <c r="H38" s="125"/>
      <c r="I38" s="321"/>
      <c r="J38" s="295"/>
      <c r="K38" s="247"/>
      <c r="L38" s="125"/>
      <c r="M38" s="125"/>
      <c r="N38" s="125" t="str">
        <f t="shared" si="22"/>
        <v/>
      </c>
      <c r="O38" s="125" t="str">
        <f>IF(L38="","",_xll.qlSimpleQuote(N38,R38,,,$H$2))</f>
        <v/>
      </c>
      <c r="P38" s="125"/>
      <c r="Q38" s="125"/>
      <c r="R38" s="125" t="str">
        <f>IF(L38="","",_xll.RtGet("DTSIMI1",N38,"BID")/100)</f>
        <v/>
      </c>
      <c r="S38" s="321"/>
      <c r="T38" s="295"/>
      <c r="U38" s="243"/>
      <c r="V38" s="245" t="s">
        <v>96</v>
      </c>
      <c r="W38" s="245" t="str">
        <f>_xll.qlIMMNextCode(W37,,Trigger)</f>
        <v>H8</v>
      </c>
      <c r="X38" s="245" t="str">
        <f t="shared" si="19"/>
        <v>EUR3MFUTH8</v>
      </c>
      <c r="Y38" s="245" t="str">
        <f>_xll.qlSimpleQuote(X38,,PriceTickValue,Permanent,Trigger,ObjectOverwrite)</f>
        <v>EUR3MFUTH8#0006</v>
      </c>
      <c r="Z38" s="251">
        <f>_xll.RtGet("DTSIMI1",X38,$Z$3)</f>
        <v>100.2675</v>
      </c>
      <c r="AA38" s="251">
        <f>_xll.RtGet("DTSIMI1",X38,$AA$3)</f>
        <v>100.2675</v>
      </c>
      <c r="AB38" s="245">
        <f t="shared" si="20"/>
        <v>100.2675</v>
      </c>
      <c r="AC38" s="319"/>
      <c r="AD38" s="293" t="e">
        <f>IF(ISBLANK(AC38),_xll.qlSimpleQuoteSetValue(Y38,AB38),_xll.qlSimpleQuoteSetValue(Y38,AC38))</f>
        <v>#N/A</v>
      </c>
      <c r="AE38" s="248">
        <v>17</v>
      </c>
      <c r="AF38" s="245" t="s">
        <v>95</v>
      </c>
      <c r="AG38" s="245" t="str">
        <f t="shared" si="16"/>
        <v>17X23</v>
      </c>
      <c r="AH38" s="245" t="str">
        <f t="shared" si="12"/>
        <v>EUR6MFRA17X23F=</v>
      </c>
      <c r="AI38" s="245" t="str">
        <f>_xll.qlSimpleQuote(AH38,,RateTickValue,Permanent,Trigger,ObjectOverwrite)</f>
        <v>EUR6MFRA17X23F=#0006</v>
      </c>
      <c r="AJ38" s="246">
        <f>_xll.RtGet("DTSIMI1",AH38,$AJ$3)/100</f>
        <v>-1.17E-3</v>
      </c>
      <c r="AK38" s="246">
        <f>_xll.RtGet("DTSIMI1",AH38,$AK$3)/100</f>
        <v>-1.17E-3</v>
      </c>
      <c r="AL38" s="246">
        <f t="shared" si="21"/>
        <v>-1.17E-3</v>
      </c>
      <c r="AM38" s="315"/>
      <c r="AN38" s="293" t="e">
        <f>IF(ISBLANK(AM38),_xll.qlSimpleQuoteSetValue(AI38,AL38),_xll.qlSimpleQuoteSetValue(AI38,AM38))</f>
        <v>#N/A</v>
      </c>
      <c r="AO38" s="243">
        <v>17</v>
      </c>
      <c r="AP38" s="245" t="s">
        <v>95</v>
      </c>
      <c r="AQ38" s="245" t="str">
        <f t="shared" si="17"/>
        <v>17X29</v>
      </c>
      <c r="AR38" s="125"/>
      <c r="AS38" s="125"/>
      <c r="AT38" s="125"/>
      <c r="AU38" s="125"/>
      <c r="AV38" s="125"/>
      <c r="AW38" s="321"/>
      <c r="AX38" s="125"/>
    </row>
    <row r="39" spans="1:50" x14ac:dyDescent="0.2">
      <c r="A39" s="401"/>
      <c r="B39" s="125"/>
      <c r="C39" s="125"/>
      <c r="D39" s="125"/>
      <c r="E39" s="125"/>
      <c r="F39" s="125"/>
      <c r="G39" s="125"/>
      <c r="H39" s="125"/>
      <c r="I39" s="321"/>
      <c r="J39" s="295"/>
      <c r="K39" s="247"/>
      <c r="L39" s="125"/>
      <c r="M39" s="125"/>
      <c r="N39" s="125" t="str">
        <f t="shared" si="22"/>
        <v/>
      </c>
      <c r="O39" s="125" t="str">
        <f>IF(L39="","",_xll.qlSimpleQuote(N39,R39,,,$H$2))</f>
        <v/>
      </c>
      <c r="P39" s="125"/>
      <c r="Q39" s="125"/>
      <c r="R39" s="125" t="str">
        <f>IF(L39="","",_xll.RtGet("DTSIMI1",N39,"BID")/100)</f>
        <v/>
      </c>
      <c r="S39" s="321"/>
      <c r="T39" s="295"/>
      <c r="U39" s="243"/>
      <c r="V39" s="245" t="s">
        <v>96</v>
      </c>
      <c r="W39" s="245" t="str">
        <f>_xll.qlIMMNextCode(W38,,Trigger)</f>
        <v>M8</v>
      </c>
      <c r="X39" s="245" t="str">
        <f t="shared" si="19"/>
        <v>EUR3MFUTM8</v>
      </c>
      <c r="Y39" s="245" t="str">
        <f>_xll.qlSimpleQuote(X39,,PriceTickValue,Permanent,Trigger,ObjectOverwrite)</f>
        <v>EUR3MFUTM8#0006</v>
      </c>
      <c r="Z39" s="251">
        <f>_xll.RtGet("DTSIMI1",X39,$Z$3)</f>
        <v>100.24250000000001</v>
      </c>
      <c r="AA39" s="251">
        <f>_xll.RtGet("DTSIMI1",X39,$AA$3)</f>
        <v>100.24250000000001</v>
      </c>
      <c r="AB39" s="245">
        <f t="shared" si="20"/>
        <v>100.24250000000001</v>
      </c>
      <c r="AC39" s="319"/>
      <c r="AD39" s="293" t="e">
        <f>IF(ISBLANK(AC39),_xll.qlSimpleQuoteSetValue(Y39,AB39),_xll.qlSimpleQuoteSetValue(Y39,AC39))</f>
        <v>#N/A</v>
      </c>
      <c r="AE39" s="248">
        <v>18</v>
      </c>
      <c r="AF39" s="245" t="s">
        <v>95</v>
      </c>
      <c r="AG39" s="245" t="str">
        <f t="shared" si="16"/>
        <v>18X24</v>
      </c>
      <c r="AH39" s="245" t="str">
        <f t="shared" si="12"/>
        <v>EUR6MFRA18X24F=</v>
      </c>
      <c r="AI39" s="245" t="str">
        <f>_xll.qlSimpleQuote(AH39,,RateTickValue,Permanent,Trigger,ObjectOverwrite)</f>
        <v>EUR6MFRA18X24F=#0006</v>
      </c>
      <c r="AJ39" s="246">
        <f>_xll.RtGet("DTSIMI1",AH39,$AJ$3)/100</f>
        <v>-1.0300000000000001E-3</v>
      </c>
      <c r="AK39" s="246">
        <f>_xll.RtGet("DTSIMI1",AH39,$AK$3)/100</f>
        <v>-1.0300000000000001E-3</v>
      </c>
      <c r="AL39" s="246">
        <f t="shared" si="21"/>
        <v>-1.0300000000000001E-3</v>
      </c>
      <c r="AM39" s="315"/>
      <c r="AN39" s="293" t="e">
        <f>IF(ISBLANK(AM39),_xll.qlSimpleQuoteSetValue(AI39,AL39),_xll.qlSimpleQuoteSetValue(AI39,AM39))</f>
        <v>#N/A</v>
      </c>
      <c r="AO39" s="243">
        <v>18</v>
      </c>
      <c r="AP39" s="245" t="s">
        <v>95</v>
      </c>
      <c r="AQ39" s="245" t="str">
        <f t="shared" si="17"/>
        <v>18X30</v>
      </c>
      <c r="AR39" s="125"/>
      <c r="AS39" s="125"/>
      <c r="AT39" s="125"/>
      <c r="AU39" s="125"/>
      <c r="AV39" s="125"/>
      <c r="AW39" s="321"/>
      <c r="AX39" s="125"/>
    </row>
    <row r="40" spans="1:50" x14ac:dyDescent="0.2">
      <c r="A40" s="401"/>
      <c r="B40" s="125"/>
      <c r="C40" s="125"/>
      <c r="D40" s="125"/>
      <c r="E40" s="125"/>
      <c r="F40" s="125"/>
      <c r="G40" s="125"/>
      <c r="H40" s="125"/>
      <c r="I40" s="321"/>
      <c r="J40" s="295"/>
      <c r="K40" s="247"/>
      <c r="L40" s="125"/>
      <c r="M40" s="125"/>
      <c r="N40" s="125" t="str">
        <f t="shared" si="22"/>
        <v/>
      </c>
      <c r="O40" s="125" t="str">
        <f>IF(L40="","",_xll.qlSimpleQuote(N40,R40,,,$H$2))</f>
        <v/>
      </c>
      <c r="P40" s="125"/>
      <c r="Q40" s="125"/>
      <c r="R40" s="125" t="str">
        <f>IF(L40="","",_xll.RtGet("DTSIMI1",N40,"BID")/100)</f>
        <v/>
      </c>
      <c r="S40" s="321"/>
      <c r="T40" s="295"/>
      <c r="U40" s="243"/>
      <c r="V40" s="245" t="s">
        <v>96</v>
      </c>
      <c r="W40" s="245" t="str">
        <f>_xll.qlIMMNextCode(W39,,Trigger)</f>
        <v>U8</v>
      </c>
      <c r="X40" s="245" t="str">
        <f t="shared" si="19"/>
        <v>EUR3MFUTU8</v>
      </c>
      <c r="Y40" s="245" t="str">
        <f>_xll.qlSimpleQuote(X40,,PriceTickValue,Permanent,Trigger,ObjectOverwrite)</f>
        <v>EUR3MFUTU8#0006</v>
      </c>
      <c r="Z40" s="251">
        <f>_xll.RtGet("DTSIMI1",X40,$Z$3)</f>
        <v>100.21250000000001</v>
      </c>
      <c r="AA40" s="251">
        <f>_xll.RtGet("DTSIMI1",X40,$AA$3)</f>
        <v>100.21250000000001</v>
      </c>
      <c r="AB40" s="245">
        <f t="shared" si="20"/>
        <v>100.21250000000001</v>
      </c>
      <c r="AC40" s="319"/>
      <c r="AD40" s="293" t="e">
        <f>IF(ISBLANK(AC40),_xll.qlSimpleQuoteSetValue(Y40,AB40),_xll.qlSimpleQuoteSetValue(Y40,AC40))</f>
        <v>#N/A</v>
      </c>
      <c r="AE40" s="248">
        <v>19</v>
      </c>
      <c r="AF40" s="274" t="s">
        <v>95</v>
      </c>
      <c r="AG40" s="274" t="str">
        <f t="shared" si="16"/>
        <v>19X25</v>
      </c>
      <c r="AH40" s="275"/>
      <c r="AI40" s="275"/>
      <c r="AJ40" s="275"/>
      <c r="AK40" s="275"/>
      <c r="AL40" s="275"/>
      <c r="AM40" s="329"/>
      <c r="AN40" s="275"/>
      <c r="AO40" s="243">
        <v>19</v>
      </c>
      <c r="AP40" s="245" t="s">
        <v>95</v>
      </c>
      <c r="AQ40" s="245" t="str">
        <f t="shared" si="17"/>
        <v>19X31</v>
      </c>
      <c r="AR40" s="125"/>
      <c r="AS40" s="125"/>
      <c r="AT40" s="125"/>
      <c r="AU40" s="125"/>
      <c r="AV40" s="125"/>
      <c r="AW40" s="321"/>
      <c r="AX40" s="125"/>
    </row>
    <row r="41" spans="1:50" x14ac:dyDescent="0.2">
      <c r="A41" s="401"/>
      <c r="B41" s="125"/>
      <c r="C41" s="125"/>
      <c r="D41" s="125"/>
      <c r="E41" s="125"/>
      <c r="F41" s="125"/>
      <c r="G41" s="125"/>
      <c r="H41" s="125"/>
      <c r="I41" s="321"/>
      <c r="J41" s="295"/>
      <c r="K41" s="247"/>
      <c r="L41" s="125"/>
      <c r="M41" s="125"/>
      <c r="N41" s="125" t="str">
        <f t="shared" si="22"/>
        <v/>
      </c>
      <c r="O41" s="125" t="str">
        <f>IF(L41="","",_xll.qlSimpleQuote(N41,R41,,,$H$2))</f>
        <v/>
      </c>
      <c r="P41" s="125"/>
      <c r="Q41" s="125"/>
      <c r="R41" s="125" t="str">
        <f>IF(L41="","",_xll.RtGet("DTSIMI1",N41,"BID")/100)</f>
        <v/>
      </c>
      <c r="S41" s="321"/>
      <c r="T41" s="295"/>
      <c r="U41" s="243"/>
      <c r="V41" s="245" t="s">
        <v>96</v>
      </c>
      <c r="W41" s="245" t="str">
        <f>_xll.qlIMMNextCode(W40,,Trigger)</f>
        <v>Z8</v>
      </c>
      <c r="X41" s="245" t="str">
        <f t="shared" si="19"/>
        <v>EUR3MFUTZ8</v>
      </c>
      <c r="Y41" s="245" t="str">
        <f>_xll.qlSimpleQuote(X41,,PriceTickValue,Permanent,Trigger,ObjectOverwrite)</f>
        <v>EUR3MFUTZ8#0006</v>
      </c>
      <c r="Z41" s="251">
        <f>_xll.RtGet("DTSIMI1",X41,$Z$3)</f>
        <v>100.17750000000001</v>
      </c>
      <c r="AA41" s="251">
        <f>_xll.RtGet("DTSIMI1",X41,$AA$3)</f>
        <v>100.17750000000001</v>
      </c>
      <c r="AB41" s="245">
        <f t="shared" si="20"/>
        <v>100.17750000000001</v>
      </c>
      <c r="AC41" s="319"/>
      <c r="AD41" s="293" t="e">
        <f>IF(ISBLANK(AC41),_xll.qlSimpleQuoteSetValue(Y41,AB41),_xll.qlSimpleQuoteSetValue(Y41,AC41))</f>
        <v>#N/A</v>
      </c>
      <c r="AE41" s="248">
        <v>20</v>
      </c>
      <c r="AF41" s="245" t="s">
        <v>95</v>
      </c>
      <c r="AG41" s="245" t="str">
        <f t="shared" si="16"/>
        <v>20X26</v>
      </c>
      <c r="AH41" s="125"/>
      <c r="AI41" s="125"/>
      <c r="AJ41" s="125"/>
      <c r="AK41" s="125"/>
      <c r="AL41" s="125"/>
      <c r="AM41" s="321"/>
      <c r="AN41" s="125"/>
      <c r="AO41" s="243">
        <v>20</v>
      </c>
      <c r="AP41" s="245" t="s">
        <v>95</v>
      </c>
      <c r="AQ41" s="245" t="str">
        <f t="shared" si="17"/>
        <v>20X32</v>
      </c>
      <c r="AR41" s="125"/>
      <c r="AS41" s="125"/>
      <c r="AT41" s="125"/>
      <c r="AU41" s="125"/>
      <c r="AV41" s="125"/>
      <c r="AW41" s="321"/>
      <c r="AX41" s="125"/>
    </row>
    <row r="42" spans="1:50" x14ac:dyDescent="0.2">
      <c r="A42" s="401"/>
      <c r="B42" s="125"/>
      <c r="C42" s="125"/>
      <c r="D42" s="125"/>
      <c r="E42" s="125"/>
      <c r="F42" s="125"/>
      <c r="G42" s="125"/>
      <c r="H42" s="125"/>
      <c r="I42" s="321"/>
      <c r="J42" s="295"/>
      <c r="K42" s="247"/>
      <c r="L42" s="125"/>
      <c r="M42" s="125"/>
      <c r="N42" s="125" t="str">
        <f t="shared" si="22"/>
        <v/>
      </c>
      <c r="O42" s="125" t="str">
        <f>IF(L42="","",_xll.qlSimpleQuote(N42,R42,,,$H$2))</f>
        <v/>
      </c>
      <c r="P42" s="125"/>
      <c r="Q42" s="125"/>
      <c r="R42" s="125" t="str">
        <f>IF(L42="","",_xll.RtGet("DTSIMI1",N42,"BID")/100)</f>
        <v/>
      </c>
      <c r="S42" s="321"/>
      <c r="T42" s="295"/>
      <c r="U42" s="243"/>
      <c r="V42" s="245" t="s">
        <v>96</v>
      </c>
      <c r="W42" s="245" t="str">
        <f>_xll.qlIMMNextCode(W41,,Trigger)</f>
        <v>H9</v>
      </c>
      <c r="X42" s="245" t="str">
        <f t="shared" si="19"/>
        <v>EUR3MFUTH9</v>
      </c>
      <c r="Y42" s="245" t="str">
        <f>_xll.qlSimpleQuote(X42,,PriceTickValue,Permanent,Trigger,ObjectOverwrite)</f>
        <v>EUR3MFUTH9#0006</v>
      </c>
      <c r="Z42" s="251">
        <f>_xll.RtGet("DTSIMI1",X42,$Z$3)</f>
        <v>100.13250000000001</v>
      </c>
      <c r="AA42" s="251">
        <f>_xll.RtGet("DTSIMI1",X42,$AA$3)</f>
        <v>100.13250000000001</v>
      </c>
      <c r="AB42" s="245">
        <f t="shared" si="20"/>
        <v>100.13250000000001</v>
      </c>
      <c r="AC42" s="319"/>
      <c r="AD42" s="293" t="e">
        <f>IF(ISBLANK(AC42),_xll.qlSimpleQuoteSetValue(Y42,AB42),_xll.qlSimpleQuoteSetValue(Y42,AC42))</f>
        <v>#N/A</v>
      </c>
      <c r="AE42" s="248">
        <v>21</v>
      </c>
      <c r="AF42" s="245" t="s">
        <v>95</v>
      </c>
      <c r="AG42" s="245" t="str">
        <f t="shared" si="16"/>
        <v>21X27</v>
      </c>
      <c r="AH42" s="125"/>
      <c r="AI42" s="125"/>
      <c r="AJ42" s="125"/>
      <c r="AK42" s="125"/>
      <c r="AL42" s="125"/>
      <c r="AM42" s="321"/>
      <c r="AN42" s="125"/>
      <c r="AO42" s="243">
        <v>21</v>
      </c>
      <c r="AP42" s="245" t="s">
        <v>95</v>
      </c>
      <c r="AQ42" s="245" t="str">
        <f t="shared" si="17"/>
        <v>21X33</v>
      </c>
      <c r="AR42" s="125"/>
      <c r="AS42" s="125"/>
      <c r="AT42" s="125"/>
      <c r="AU42" s="125"/>
      <c r="AV42" s="125"/>
      <c r="AW42" s="321"/>
      <c r="AX42" s="125"/>
    </row>
    <row r="43" spans="1:50" x14ac:dyDescent="0.2">
      <c r="A43" s="401"/>
      <c r="B43" s="125"/>
      <c r="C43" s="125"/>
      <c r="D43" s="125"/>
      <c r="E43" s="125"/>
      <c r="F43" s="125"/>
      <c r="G43" s="125"/>
      <c r="H43" s="125"/>
      <c r="I43" s="321"/>
      <c r="J43" s="295"/>
      <c r="K43" s="247"/>
      <c r="L43" s="125"/>
      <c r="M43" s="125"/>
      <c r="N43" s="125" t="str">
        <f t="shared" si="22"/>
        <v/>
      </c>
      <c r="O43" s="125" t="str">
        <f>IF(L43="","",_xll.qlSimpleQuote(N43,R43,,,$H$2))</f>
        <v/>
      </c>
      <c r="P43" s="125"/>
      <c r="Q43" s="125"/>
      <c r="R43" s="125" t="str">
        <f>IF(L43="","",_xll.RtGet("DTSIMI1",N43,"BID")/100)</f>
        <v/>
      </c>
      <c r="S43" s="321"/>
      <c r="T43" s="295"/>
      <c r="U43" s="243"/>
      <c r="V43" s="245" t="s">
        <v>96</v>
      </c>
      <c r="W43" s="245" t="str">
        <f>_xll.qlIMMNextCode(W42,,Trigger)</f>
        <v>M9</v>
      </c>
      <c r="X43" s="245" t="str">
        <f t="shared" si="19"/>
        <v>EUR3MFUTM9</v>
      </c>
      <c r="Y43" s="245" t="str">
        <f>_xll.qlSimpleQuote(X43,,PriceTickValue,Permanent,Trigger,ObjectOverwrite)</f>
        <v>EUR3MFUTM9#0006</v>
      </c>
      <c r="Z43" s="251">
        <f>_xll.RtGet("DTSIMI1",X43,$Z$3)</f>
        <v>100.09</v>
      </c>
      <c r="AA43" s="251">
        <f>_xll.RtGet("DTSIMI1",X43,$AA$3)</f>
        <v>100.09</v>
      </c>
      <c r="AB43" s="245">
        <f t="shared" si="20"/>
        <v>100.09</v>
      </c>
      <c r="AC43" s="319"/>
      <c r="AD43" s="293" t="e">
        <f>IF(ISBLANK(AC43),_xll.qlSimpleQuoteSetValue(Y43,AB43),_xll.qlSimpleQuoteSetValue(Y43,AC43))</f>
        <v>#N/A</v>
      </c>
      <c r="AE43" s="248">
        <v>22</v>
      </c>
      <c r="AF43" s="245" t="s">
        <v>95</v>
      </c>
      <c r="AG43" s="245" t="str">
        <f t="shared" si="16"/>
        <v>22X28</v>
      </c>
      <c r="AH43" s="125"/>
      <c r="AI43" s="125"/>
      <c r="AJ43" s="125"/>
      <c r="AK43" s="125"/>
      <c r="AL43" s="125"/>
      <c r="AM43" s="321"/>
      <c r="AN43" s="125"/>
      <c r="AO43" s="243">
        <v>22</v>
      </c>
      <c r="AP43" s="245" t="s">
        <v>95</v>
      </c>
      <c r="AQ43" s="245" t="str">
        <f t="shared" si="17"/>
        <v>22X34</v>
      </c>
      <c r="AR43" s="125"/>
      <c r="AS43" s="125"/>
      <c r="AT43" s="125"/>
      <c r="AU43" s="125"/>
      <c r="AV43" s="125"/>
      <c r="AW43" s="321"/>
      <c r="AX43" s="125"/>
    </row>
    <row r="44" spans="1:50" x14ac:dyDescent="0.2">
      <c r="A44" s="401"/>
      <c r="B44" s="125"/>
      <c r="C44" s="125"/>
      <c r="D44" s="125"/>
      <c r="E44" s="125"/>
      <c r="F44" s="125"/>
      <c r="G44" s="125"/>
      <c r="H44" s="125"/>
      <c r="I44" s="321"/>
      <c r="J44" s="295"/>
      <c r="K44" s="247"/>
      <c r="L44" s="125"/>
      <c r="M44" s="125"/>
      <c r="N44" s="125" t="str">
        <f t="shared" si="22"/>
        <v/>
      </c>
      <c r="O44" s="125" t="str">
        <f>IF(L44="","",_xll.qlSimpleQuote(N44,R44,,,$H$2))</f>
        <v/>
      </c>
      <c r="P44" s="125"/>
      <c r="Q44" s="125"/>
      <c r="R44" s="125" t="str">
        <f>IF(L44="","",_xll.RtGet("DTSIMI1",N44,"BID")/100)</f>
        <v/>
      </c>
      <c r="S44" s="321"/>
      <c r="T44" s="295"/>
      <c r="U44" s="243"/>
      <c r="V44" s="245" t="s">
        <v>96</v>
      </c>
      <c r="W44" s="245" t="str">
        <f>_xll.qlIMMNextCode(W43,,Trigger)</f>
        <v>U9</v>
      </c>
      <c r="X44" s="245" t="str">
        <f t="shared" si="19"/>
        <v>EUR3MFUTU9</v>
      </c>
      <c r="Y44" s="245" t="str">
        <f>_xll.qlSimpleQuote(X44,,PriceTickValue,Permanent,Trigger,ObjectOverwrite)</f>
        <v>EUR3MFUTU9#0006</v>
      </c>
      <c r="Z44" s="251">
        <f>_xll.RtGet("DTSIMI1",X44,$Z$3)</f>
        <v>100.03595047900001</v>
      </c>
      <c r="AA44" s="251">
        <f>_xll.RtGet("DTSIMI1",X44,$AA$3)</f>
        <v>100.03595047900001</v>
      </c>
      <c r="AB44" s="245">
        <f t="shared" si="20"/>
        <v>100.03595047900001</v>
      </c>
      <c r="AC44" s="319"/>
      <c r="AD44" s="293" t="e">
        <f>IF(ISBLANK(AC44),_xll.qlSimpleQuoteSetValue(Y44,AB44),_xll.qlSimpleQuoteSetValue(Y44,AC44))</f>
        <v>#N/A</v>
      </c>
      <c r="AE44" s="248">
        <v>23</v>
      </c>
      <c r="AF44" s="269" t="s">
        <v>95</v>
      </c>
      <c r="AG44" s="269" t="str">
        <f t="shared" si="16"/>
        <v>23X29</v>
      </c>
      <c r="AH44" s="278"/>
      <c r="AI44" s="278"/>
      <c r="AJ44" s="278"/>
      <c r="AK44" s="278"/>
      <c r="AL44" s="278"/>
      <c r="AM44" s="328"/>
      <c r="AN44" s="278"/>
      <c r="AO44" s="243">
        <v>23</v>
      </c>
      <c r="AP44" s="245" t="s">
        <v>95</v>
      </c>
      <c r="AQ44" s="245" t="str">
        <f t="shared" si="17"/>
        <v>23X35</v>
      </c>
      <c r="AR44" s="125"/>
      <c r="AS44" s="125"/>
      <c r="AT44" s="125"/>
      <c r="AU44" s="125"/>
      <c r="AV44" s="125"/>
      <c r="AW44" s="321"/>
      <c r="AX44" s="125"/>
    </row>
    <row r="45" spans="1:50" x14ac:dyDescent="0.2">
      <c r="A45" s="402"/>
      <c r="B45" s="126"/>
      <c r="C45" s="126"/>
      <c r="D45" s="126"/>
      <c r="E45" s="126"/>
      <c r="F45" s="126"/>
      <c r="G45" s="126"/>
      <c r="H45" s="126"/>
      <c r="I45" s="323"/>
      <c r="J45" s="297"/>
      <c r="K45" s="247"/>
      <c r="L45" s="126"/>
      <c r="M45" s="126"/>
      <c r="N45" s="126" t="str">
        <f t="shared" si="22"/>
        <v/>
      </c>
      <c r="O45" s="126" t="str">
        <f>IF(L45="","",_xll.qlSimpleQuote(N45,R45,,,$H$2))</f>
        <v/>
      </c>
      <c r="P45" s="126"/>
      <c r="Q45" s="126"/>
      <c r="R45" s="126" t="str">
        <f>IF(L45="","",_xll.RtGet("DTSIMI1",N45,"BID")/100)</f>
        <v/>
      </c>
      <c r="S45" s="323"/>
      <c r="T45" s="297"/>
      <c r="U45" s="243"/>
      <c r="V45" s="269" t="s">
        <v>96</v>
      </c>
      <c r="W45" s="269" t="str">
        <f>_xll.qlIMMNextCode(W44,,Trigger)</f>
        <v>Z9</v>
      </c>
      <c r="X45" s="124"/>
      <c r="Y45" s="124"/>
      <c r="Z45" s="124"/>
      <c r="AA45" s="124"/>
      <c r="AB45" s="124"/>
      <c r="AC45" s="389"/>
      <c r="AD45" s="390"/>
      <c r="AE45" s="248">
        <v>24</v>
      </c>
      <c r="AF45" s="255" t="s">
        <v>95</v>
      </c>
      <c r="AG45" s="255" t="str">
        <f t="shared" si="16"/>
        <v>24X30</v>
      </c>
      <c r="AH45" s="255" t="str">
        <f>IF(AF45="","",UPPER(Currency)&amp;$AF$2&amp;AF45&amp;AG45&amp;"F=")</f>
        <v>EUR6MFRA24X30F=</v>
      </c>
      <c r="AI45" s="255" t="str">
        <f>_xll.qlSimpleQuote(AH45,,RateTickValue,Permanent,Trigger,ObjectOverwrite)</f>
        <v>EUR6MFRA24X30F=#0006</v>
      </c>
      <c r="AJ45" s="256">
        <f>_xll.RtGet("DTSIMI1",AH45,$AJ$3)/100</f>
        <v>-7.1880940000000008E-5</v>
      </c>
      <c r="AK45" s="256">
        <f>_xll.RtGet("DTSIMI1",AH45,$AK$3)/100</f>
        <v>-7.1880940000000008E-5</v>
      </c>
      <c r="AL45" s="256">
        <f t="shared" si="21"/>
        <v>-7.1880940000000008E-5</v>
      </c>
      <c r="AM45" s="317"/>
      <c r="AN45" s="302" t="e">
        <f>IF(ISBLANK(AM45),_xll.qlSimpleQuoteSetValue(AI45,AL45),_xll.qlSimpleQuoteSetValue(AI45,AM45))</f>
        <v>#N/A</v>
      </c>
      <c r="AO45" s="243">
        <v>24</v>
      </c>
      <c r="AP45" s="255" t="s">
        <v>95</v>
      </c>
      <c r="AQ45" s="255" t="str">
        <f t="shared" si="17"/>
        <v>24X36</v>
      </c>
      <c r="AR45" s="126"/>
      <c r="AS45" s="126"/>
      <c r="AT45" s="126"/>
      <c r="AU45" s="126"/>
      <c r="AV45" s="126"/>
      <c r="AW45" s="323"/>
      <c r="AX45" s="126"/>
    </row>
    <row r="46" spans="1:50" x14ac:dyDescent="0.2">
      <c r="A46" s="403" t="s">
        <v>146</v>
      </c>
      <c r="B46" s="245" t="s">
        <v>68</v>
      </c>
      <c r="C46" s="241" t="s">
        <v>91</v>
      </c>
      <c r="D46" s="241" t="str">
        <f t="shared" ref="D46:D67" si="23">IF(B46="","",UPPER(Currency)&amp;$B$2&amp;B46&amp;C46&amp;"=")</f>
        <v>EURONOISSW=</v>
      </c>
      <c r="E46" s="241" t="str">
        <f>_xll.qlSimpleQuote(D46,,RateTickValue,Permanent,Trigger,ObjectOverwrite)</f>
        <v>EURONOISSW=#0006</v>
      </c>
      <c r="F46" s="242">
        <f>_xll.RtGet("DTSIMI1",D46,$F$3)/100</f>
        <v>-3.5100000000000005E-3</v>
      </c>
      <c r="G46" s="242">
        <f>_xll.RtGet("DTSIMI1",D46,$G$3)/100</f>
        <v>-3.5100000000000005E-3</v>
      </c>
      <c r="H46" s="242">
        <f>AVERAGE(F46:G46)</f>
        <v>-3.5100000000000005E-3</v>
      </c>
      <c r="I46" s="314"/>
      <c r="J46" s="292" t="e">
        <f>IF(ISBLANK(I46),_xll.qlSimpleQuoteSetValue(E46,H46),_xll.qlSimpleQuoteSetValue(E46,I46))</f>
        <v>#N/A</v>
      </c>
      <c r="K46" s="247"/>
      <c r="L46" s="241" t="s">
        <v>91</v>
      </c>
      <c r="M46" s="241" t="s">
        <v>91</v>
      </c>
      <c r="N46" s="129"/>
      <c r="O46" s="129"/>
      <c r="P46" s="129"/>
      <c r="Q46" s="129"/>
      <c r="R46" s="129"/>
      <c r="S46" s="322"/>
      <c r="T46" s="129"/>
      <c r="U46" s="243"/>
      <c r="V46" s="245" t="s">
        <v>91</v>
      </c>
      <c r="W46" s="245" t="s">
        <v>91</v>
      </c>
      <c r="X46" s="125"/>
      <c r="Y46" s="125"/>
      <c r="Z46" s="125"/>
      <c r="AA46" s="125"/>
      <c r="AB46" s="125"/>
      <c r="AC46" s="321"/>
      <c r="AD46" s="295"/>
      <c r="AE46" s="248"/>
      <c r="AF46" s="245" t="s">
        <v>91</v>
      </c>
      <c r="AG46" s="241" t="s">
        <v>91</v>
      </c>
      <c r="AH46" s="129"/>
      <c r="AI46" s="129"/>
      <c r="AJ46" s="129"/>
      <c r="AK46" s="129"/>
      <c r="AL46" s="129"/>
      <c r="AM46" s="322"/>
      <c r="AN46" s="129"/>
      <c r="AO46" s="243"/>
      <c r="AP46" s="245" t="s">
        <v>91</v>
      </c>
      <c r="AQ46" s="241" t="s">
        <v>91</v>
      </c>
      <c r="AR46" s="129"/>
      <c r="AS46" s="129"/>
      <c r="AT46" s="129"/>
      <c r="AU46" s="129"/>
      <c r="AV46" s="129"/>
      <c r="AW46" s="322"/>
      <c r="AX46" s="129"/>
    </row>
    <row r="47" spans="1:50" x14ac:dyDescent="0.2">
      <c r="A47" s="404"/>
      <c r="B47" s="245" t="s">
        <v>68</v>
      </c>
      <c r="C47" s="245" t="s">
        <v>37</v>
      </c>
      <c r="D47" s="245" t="str">
        <f t="shared" si="23"/>
        <v>EURONOIS2W=</v>
      </c>
      <c r="E47" s="245" t="str">
        <f>_xll.qlSimpleQuote(D47,,RateTickValue,Permanent,Trigger,ObjectOverwrite)</f>
        <v>EURONOIS2W=#0006</v>
      </c>
      <c r="F47" s="246">
        <f>_xll.RtGet("DTSIMI1",D47,$F$3)/100</f>
        <v>-3.5100000000000005E-3</v>
      </c>
      <c r="G47" s="246">
        <f>_xll.RtGet("DTSIMI1",D47,$G$3)/100</f>
        <v>-3.5100000000000005E-3</v>
      </c>
      <c r="H47" s="246">
        <f t="shared" ref="H47:H109" si="24">AVERAGE(F47:G47)</f>
        <v>-3.5100000000000005E-3</v>
      </c>
      <c r="I47" s="315"/>
      <c r="J47" s="293" t="e">
        <f>IF(ISBLANK(I47),_xll.qlSimpleQuoteSetValue(E47,H47),_xll.qlSimpleQuoteSetValue(E47,I47))</f>
        <v>#N/A</v>
      </c>
      <c r="K47" s="247"/>
      <c r="L47" s="245" t="s">
        <v>91</v>
      </c>
      <c r="M47" s="245" t="s">
        <v>37</v>
      </c>
      <c r="N47" s="125"/>
      <c r="O47" s="125"/>
      <c r="P47" s="125"/>
      <c r="Q47" s="125"/>
      <c r="R47" s="125"/>
      <c r="S47" s="321"/>
      <c r="T47" s="125"/>
      <c r="U47" s="243"/>
      <c r="V47" s="245" t="s">
        <v>91</v>
      </c>
      <c r="W47" s="245" t="s">
        <v>37</v>
      </c>
      <c r="X47" s="125"/>
      <c r="Y47" s="125"/>
      <c r="Z47" s="125"/>
      <c r="AA47" s="125"/>
      <c r="AB47" s="125"/>
      <c r="AC47" s="321"/>
      <c r="AD47" s="295"/>
      <c r="AE47" s="248"/>
      <c r="AF47" s="245" t="s">
        <v>91</v>
      </c>
      <c r="AG47" s="245" t="s">
        <v>37</v>
      </c>
      <c r="AH47" s="125"/>
      <c r="AI47" s="125"/>
      <c r="AJ47" s="125"/>
      <c r="AK47" s="125"/>
      <c r="AL47" s="125"/>
      <c r="AM47" s="321"/>
      <c r="AN47" s="125"/>
      <c r="AO47" s="243"/>
      <c r="AP47" s="245" t="s">
        <v>91</v>
      </c>
      <c r="AQ47" s="245" t="s">
        <v>37</v>
      </c>
      <c r="AR47" s="125"/>
      <c r="AS47" s="125"/>
      <c r="AT47" s="125"/>
      <c r="AU47" s="125"/>
      <c r="AV47" s="125"/>
      <c r="AW47" s="321"/>
      <c r="AX47" s="125"/>
    </row>
    <row r="48" spans="1:50" x14ac:dyDescent="0.2">
      <c r="A48" s="404"/>
      <c r="B48" s="245" t="s">
        <v>68</v>
      </c>
      <c r="C48" s="245" t="s">
        <v>38</v>
      </c>
      <c r="D48" s="245" t="str">
        <f t="shared" si="23"/>
        <v>EURONOIS3W=</v>
      </c>
      <c r="E48" s="245" t="str">
        <f>_xll.qlSimpleQuote(D48,,RateTickValue,Permanent,Trigger,ObjectOverwrite)</f>
        <v>EURONOIS3W=#0006</v>
      </c>
      <c r="F48" s="246">
        <f>_xll.RtGet("DTSIMI1",D48,$F$3)/100</f>
        <v>-3.5000000000000005E-3</v>
      </c>
      <c r="G48" s="246">
        <f>_xll.RtGet("DTSIMI1",D48,$G$3)/100</f>
        <v>-3.5000000000000005E-3</v>
      </c>
      <c r="H48" s="246">
        <f t="shared" si="24"/>
        <v>-3.5000000000000005E-3</v>
      </c>
      <c r="I48" s="315"/>
      <c r="J48" s="293" t="e">
        <f>IF(ISBLANK(I48),_xll.qlSimpleQuoteSetValue(E48,H48),_xll.qlSimpleQuoteSetValue(E48,I48))</f>
        <v>#N/A</v>
      </c>
      <c r="K48" s="247"/>
      <c r="L48" s="269" t="s">
        <v>91</v>
      </c>
      <c r="M48" s="269" t="s">
        <v>38</v>
      </c>
      <c r="N48" s="278"/>
      <c r="O48" s="278"/>
      <c r="P48" s="278"/>
      <c r="Q48" s="278"/>
      <c r="R48" s="278"/>
      <c r="S48" s="328"/>
      <c r="T48" s="278"/>
      <c r="U48" s="243"/>
      <c r="V48" s="245" t="s">
        <v>91</v>
      </c>
      <c r="W48" s="245" t="s">
        <v>38</v>
      </c>
      <c r="X48" s="125"/>
      <c r="Y48" s="125"/>
      <c r="Z48" s="125"/>
      <c r="AA48" s="125"/>
      <c r="AB48" s="125"/>
      <c r="AC48" s="321"/>
      <c r="AD48" s="295"/>
      <c r="AE48" s="248"/>
      <c r="AF48" s="245" t="s">
        <v>91</v>
      </c>
      <c r="AG48" s="245" t="s">
        <v>38</v>
      </c>
      <c r="AH48" s="125"/>
      <c r="AI48" s="125"/>
      <c r="AJ48" s="125"/>
      <c r="AK48" s="125"/>
      <c r="AL48" s="125"/>
      <c r="AM48" s="321"/>
      <c r="AN48" s="125"/>
      <c r="AO48" s="243"/>
      <c r="AP48" s="245" t="s">
        <v>91</v>
      </c>
      <c r="AQ48" s="245" t="s">
        <v>38</v>
      </c>
      <c r="AR48" s="125"/>
      <c r="AS48" s="125"/>
      <c r="AT48" s="125"/>
      <c r="AU48" s="125"/>
      <c r="AV48" s="125"/>
      <c r="AW48" s="321"/>
      <c r="AX48" s="125"/>
    </row>
    <row r="49" spans="1:50" x14ac:dyDescent="0.2">
      <c r="A49" s="404"/>
      <c r="B49" s="245" t="s">
        <v>68</v>
      </c>
      <c r="C49" s="245" t="s">
        <v>2</v>
      </c>
      <c r="D49" s="245" t="str">
        <f t="shared" si="23"/>
        <v>EURONOIS1M=</v>
      </c>
      <c r="E49" s="245" t="str">
        <f>_xll.qlSimpleQuote(D49,,RateTickValue,Permanent,Trigger,ObjectOverwrite)</f>
        <v>EURONOIS1M=#0006</v>
      </c>
      <c r="F49" s="246">
        <f>_xll.RtGet("DTSIMI1",D49,$F$3)/100</f>
        <v>-3.5100000000000005E-3</v>
      </c>
      <c r="G49" s="246">
        <f>_xll.RtGet("DTSIMI1",D49,$G$3)/100</f>
        <v>-3.5100000000000005E-3</v>
      </c>
      <c r="H49" s="246">
        <f t="shared" si="24"/>
        <v>-3.5100000000000005E-3</v>
      </c>
      <c r="I49" s="315"/>
      <c r="J49" s="293" t="e">
        <f>IF(ISBLANK(I49),_xll.qlSimpleQuoteSetValue(E49,H49),_xll.qlSimpleQuoteSetValue(E49,I49))</f>
        <v>#N/A</v>
      </c>
      <c r="K49" s="247"/>
      <c r="L49" s="245" t="s">
        <v>91</v>
      </c>
      <c r="M49" s="245" t="s">
        <v>2</v>
      </c>
      <c r="N49" s="245" t="str">
        <f t="shared" si="22"/>
        <v>EUR1MSW1M=</v>
      </c>
      <c r="O49" s="245" t="str">
        <f>_xll.qlSimpleQuote(N49,,RateTickValue,Permanent,Trigger,ObjectOverwrite)</f>
        <v>EUR1MSW1M=#0006</v>
      </c>
      <c r="P49" s="246">
        <f>_xll.RtGet("DTSIMI1",N49,$P$3)/100</f>
        <v>-3.7199999999999998E-3</v>
      </c>
      <c r="Q49" s="246">
        <f>_xll.RtGet("DTSIMI1",N49,$Q$3)/100</f>
        <v>-3.7199999999999998E-3</v>
      </c>
      <c r="R49" s="246">
        <f t="shared" ref="R49:R110" si="25">AVERAGE(P49:Q49)</f>
        <v>-3.7199999999999998E-3</v>
      </c>
      <c r="S49" s="315"/>
      <c r="T49" s="293" t="e">
        <f>IF(ISBLANK(S49),_xll.qlSimpleQuoteSetValue(O49,R49),_xll.qlSimpleQuoteSetValue(O49,S49))</f>
        <v>#N/A</v>
      </c>
      <c r="U49" s="243"/>
      <c r="V49" s="245" t="s">
        <v>91</v>
      </c>
      <c r="W49" s="245" t="s">
        <v>2</v>
      </c>
      <c r="X49" s="125"/>
      <c r="Y49" s="125"/>
      <c r="Z49" s="125"/>
      <c r="AA49" s="125"/>
      <c r="AB49" s="125"/>
      <c r="AC49" s="321"/>
      <c r="AD49" s="295"/>
      <c r="AE49" s="248"/>
      <c r="AF49" s="245" t="s">
        <v>91</v>
      </c>
      <c r="AG49" s="245" t="s">
        <v>2</v>
      </c>
      <c r="AH49" s="125"/>
      <c r="AI49" s="125"/>
      <c r="AJ49" s="125"/>
      <c r="AK49" s="125"/>
      <c r="AL49" s="125"/>
      <c r="AM49" s="321"/>
      <c r="AN49" s="125"/>
      <c r="AO49" s="243"/>
      <c r="AP49" s="245" t="s">
        <v>91</v>
      </c>
      <c r="AQ49" s="245" t="s">
        <v>2</v>
      </c>
      <c r="AR49" s="125"/>
      <c r="AS49" s="125"/>
      <c r="AT49" s="125"/>
      <c r="AU49" s="125"/>
      <c r="AV49" s="125"/>
      <c r="AW49" s="321"/>
      <c r="AX49" s="125"/>
    </row>
    <row r="50" spans="1:50" x14ac:dyDescent="0.2">
      <c r="A50" s="404"/>
      <c r="B50" s="245" t="s">
        <v>68</v>
      </c>
      <c r="C50" s="245" t="s">
        <v>39</v>
      </c>
      <c r="D50" s="245" t="str">
        <f t="shared" si="23"/>
        <v>EURONOIS2M=</v>
      </c>
      <c r="E50" s="245" t="str">
        <f>_xll.qlSimpleQuote(D50,,RateTickValue,Permanent,Trigger,ObjectOverwrite)</f>
        <v>EURONOIS2M=#0006</v>
      </c>
      <c r="F50" s="246">
        <f>_xll.RtGet("DTSIMI1",D50,$F$3)/100</f>
        <v>-3.5090135700000004E-3</v>
      </c>
      <c r="G50" s="246">
        <f>_xll.RtGet("DTSIMI1",D50,$G$3)/100</f>
        <v>-3.5090135700000004E-3</v>
      </c>
      <c r="H50" s="246">
        <f t="shared" si="24"/>
        <v>-3.5090135700000004E-3</v>
      </c>
      <c r="I50" s="315"/>
      <c r="J50" s="293" t="e">
        <f>IF(ISBLANK(I50),_xll.qlSimpleQuoteSetValue(E50,H50),_xll.qlSimpleQuoteSetValue(E50,I50))</f>
        <v>#N/A</v>
      </c>
      <c r="K50" s="247"/>
      <c r="L50" s="245" t="s">
        <v>91</v>
      </c>
      <c r="M50" s="245" t="s">
        <v>39</v>
      </c>
      <c r="N50" s="245" t="str">
        <f t="shared" si="22"/>
        <v>EUR1MSW2M=</v>
      </c>
      <c r="O50" s="245" t="str">
        <f>_xll.qlSimpleQuote(N50,,RateTickValue,Permanent,Trigger,ObjectOverwrite)</f>
        <v>EUR1MSW2M=#0006</v>
      </c>
      <c r="P50" s="246">
        <f>_xll.RtGet("DTSIMI1",N50,$P$3)/100</f>
        <v>-3.7000000000000002E-3</v>
      </c>
      <c r="Q50" s="246">
        <f>_xll.RtGet("DTSIMI1",N50,$Q$3)/100</f>
        <v>-3.7000000000000002E-3</v>
      </c>
      <c r="R50" s="246">
        <f t="shared" si="25"/>
        <v>-3.7000000000000002E-3</v>
      </c>
      <c r="S50" s="315"/>
      <c r="T50" s="293" t="e">
        <f>IF(ISBLANK(S50),_xll.qlSimpleQuoteSetValue(O50,R50),_xll.qlSimpleQuoteSetValue(O50,S50))</f>
        <v>#N/A</v>
      </c>
      <c r="U50" s="243"/>
      <c r="V50" s="245" t="s">
        <v>91</v>
      </c>
      <c r="W50" s="245" t="s">
        <v>39</v>
      </c>
      <c r="X50" s="125"/>
      <c r="Y50" s="125"/>
      <c r="Z50" s="125"/>
      <c r="AA50" s="125"/>
      <c r="AB50" s="125"/>
      <c r="AC50" s="321"/>
      <c r="AD50" s="295"/>
      <c r="AE50" s="248"/>
      <c r="AF50" s="245" t="s">
        <v>91</v>
      </c>
      <c r="AG50" s="245" t="s">
        <v>39</v>
      </c>
      <c r="AH50" s="125"/>
      <c r="AI50" s="125"/>
      <c r="AJ50" s="125"/>
      <c r="AK50" s="125"/>
      <c r="AL50" s="125"/>
      <c r="AM50" s="321"/>
      <c r="AN50" s="125"/>
      <c r="AO50" s="243"/>
      <c r="AP50" s="245" t="s">
        <v>91</v>
      </c>
      <c r="AQ50" s="245" t="s">
        <v>39</v>
      </c>
      <c r="AR50" s="125"/>
      <c r="AS50" s="125"/>
      <c r="AT50" s="125"/>
      <c r="AU50" s="125"/>
      <c r="AV50" s="125"/>
      <c r="AW50" s="321"/>
      <c r="AX50" s="125"/>
    </row>
    <row r="51" spans="1:50" x14ac:dyDescent="0.2">
      <c r="A51" s="404"/>
      <c r="B51" s="245" t="s">
        <v>68</v>
      </c>
      <c r="C51" s="245" t="s">
        <v>0</v>
      </c>
      <c r="D51" s="245" t="str">
        <f t="shared" si="23"/>
        <v>EURONOIS3M=</v>
      </c>
      <c r="E51" s="245" t="str">
        <f>_xll.qlSimpleQuote(D51,,RateTickValue,Permanent,Trigger,ObjectOverwrite)</f>
        <v>EURONOIS3M=#0006</v>
      </c>
      <c r="F51" s="246">
        <f>_xll.RtGet("DTSIMI1",D51,$F$3)/100</f>
        <v>-3.5216671400000003E-3</v>
      </c>
      <c r="G51" s="246">
        <f>_xll.RtGet("DTSIMI1",D51,$G$3)/100</f>
        <v>-3.5216671400000003E-3</v>
      </c>
      <c r="H51" s="246">
        <f t="shared" si="24"/>
        <v>-3.5216671400000003E-3</v>
      </c>
      <c r="I51" s="315"/>
      <c r="J51" s="293" t="e">
        <f>IF(ISBLANK(I51),_xll.qlSimpleQuoteSetValue(E51,H51),_xll.qlSimpleQuoteSetValue(E51,I51))</f>
        <v>#N/A</v>
      </c>
      <c r="K51" s="247"/>
      <c r="L51" s="245" t="s">
        <v>91</v>
      </c>
      <c r="M51" s="245" t="s">
        <v>0</v>
      </c>
      <c r="N51" s="245" t="str">
        <f t="shared" si="22"/>
        <v>EUR1MSW3M=</v>
      </c>
      <c r="O51" s="245" t="str">
        <f>_xll.qlSimpleQuote(N51,,RateTickValue,Permanent,Trigger,ObjectOverwrite)</f>
        <v>EUR1MSW3M=#0006</v>
      </c>
      <c r="P51" s="246">
        <f>_xll.RtGet("DTSIMI1",N51,$P$3)/100</f>
        <v>-3.7199999999999998E-3</v>
      </c>
      <c r="Q51" s="246">
        <f>_xll.RtGet("DTSIMI1",N51,$Q$3)/100</f>
        <v>-3.7199999999999998E-3</v>
      </c>
      <c r="R51" s="246">
        <f t="shared" si="25"/>
        <v>-3.7199999999999998E-3</v>
      </c>
      <c r="S51" s="315"/>
      <c r="T51" s="293" t="e">
        <f>IF(ISBLANK(S51),_xll.qlSimpleQuoteSetValue(O51,R51),_xll.qlSimpleQuoteSetValue(O51,S51))</f>
        <v>#N/A</v>
      </c>
      <c r="U51" s="243"/>
      <c r="V51" s="245" t="s">
        <v>91</v>
      </c>
      <c r="W51" s="245" t="s">
        <v>0</v>
      </c>
      <c r="X51" s="125"/>
      <c r="Y51" s="125"/>
      <c r="Z51" s="125"/>
      <c r="AA51" s="125"/>
      <c r="AB51" s="125"/>
      <c r="AC51" s="321"/>
      <c r="AD51" s="295"/>
      <c r="AE51" s="248"/>
      <c r="AF51" s="245" t="s">
        <v>91</v>
      </c>
      <c r="AG51" s="245" t="s">
        <v>0</v>
      </c>
      <c r="AH51" s="125"/>
      <c r="AI51" s="125"/>
      <c r="AJ51" s="125"/>
      <c r="AK51" s="125"/>
      <c r="AL51" s="125"/>
      <c r="AM51" s="321"/>
      <c r="AN51" s="125"/>
      <c r="AO51" s="243"/>
      <c r="AP51" s="245" t="s">
        <v>91</v>
      </c>
      <c r="AQ51" s="245" t="s">
        <v>0</v>
      </c>
      <c r="AR51" s="125"/>
      <c r="AS51" s="125"/>
      <c r="AT51" s="125"/>
      <c r="AU51" s="125"/>
      <c r="AV51" s="125"/>
      <c r="AW51" s="321"/>
      <c r="AX51" s="125"/>
    </row>
    <row r="52" spans="1:50" x14ac:dyDescent="0.2">
      <c r="A52" s="404"/>
      <c r="B52" s="245" t="s">
        <v>68</v>
      </c>
      <c r="C52" s="245" t="s">
        <v>40</v>
      </c>
      <c r="D52" s="245" t="str">
        <f t="shared" si="23"/>
        <v>EURONOIS4M=</v>
      </c>
      <c r="E52" s="245" t="str">
        <f>_xll.qlSimpleQuote(D52,,RateTickValue,Permanent,Trigger,ObjectOverwrite)</f>
        <v>EURONOIS4M=#0006</v>
      </c>
      <c r="F52" s="246">
        <f>_xll.RtGet("DTSIMI1",D52,$F$3)/100</f>
        <v>-3.5408524900000004E-3</v>
      </c>
      <c r="G52" s="246">
        <f>_xll.RtGet("DTSIMI1",D52,$G$3)/100</f>
        <v>-3.5408524900000004E-3</v>
      </c>
      <c r="H52" s="246">
        <f t="shared" si="24"/>
        <v>-3.5408524900000004E-3</v>
      </c>
      <c r="I52" s="315"/>
      <c r="J52" s="293" t="e">
        <f>IF(ISBLANK(I52),_xll.qlSimpleQuoteSetValue(E52,H52),_xll.qlSimpleQuoteSetValue(E52,I52))</f>
        <v>#N/A</v>
      </c>
      <c r="K52" s="247"/>
      <c r="L52" s="245" t="s">
        <v>91</v>
      </c>
      <c r="M52" s="245" t="s">
        <v>40</v>
      </c>
      <c r="N52" s="245" t="str">
        <f t="shared" si="22"/>
        <v>EUR1MSW4M=</v>
      </c>
      <c r="O52" s="245" t="str">
        <f>_xll.qlSimpleQuote(N52,,RateTickValue,Permanent,Trigger,ObjectOverwrite)</f>
        <v>EUR1MSW4M=#0006</v>
      </c>
      <c r="P52" s="246">
        <f>_xll.RtGet("DTSIMI1",N52,$P$3)/100</f>
        <v>-3.7199999999999998E-3</v>
      </c>
      <c r="Q52" s="246">
        <f>_xll.RtGet("DTSIMI1",N52,$Q$3)/100</f>
        <v>-3.7199999999999998E-3</v>
      </c>
      <c r="R52" s="246">
        <f t="shared" si="25"/>
        <v>-3.7199999999999998E-3</v>
      </c>
      <c r="S52" s="315"/>
      <c r="T52" s="293" t="e">
        <f>IF(ISBLANK(S52),_xll.qlSimpleQuoteSetValue(O52,R52),_xll.qlSimpleQuoteSetValue(O52,S52))</f>
        <v>#N/A</v>
      </c>
      <c r="U52" s="243"/>
      <c r="V52" s="245" t="s">
        <v>91</v>
      </c>
      <c r="W52" s="245" t="s">
        <v>40</v>
      </c>
      <c r="X52" s="125"/>
      <c r="Y52" s="125"/>
      <c r="Z52" s="125"/>
      <c r="AA52" s="125"/>
      <c r="AB52" s="125"/>
      <c r="AC52" s="321"/>
      <c r="AD52" s="295"/>
      <c r="AE52" s="248"/>
      <c r="AF52" s="245" t="s">
        <v>91</v>
      </c>
      <c r="AG52" s="245" t="s">
        <v>40</v>
      </c>
      <c r="AH52" s="125"/>
      <c r="AI52" s="125"/>
      <c r="AJ52" s="125"/>
      <c r="AK52" s="125"/>
      <c r="AL52" s="125"/>
      <c r="AM52" s="321"/>
      <c r="AN52" s="125"/>
      <c r="AO52" s="243"/>
      <c r="AP52" s="245" t="s">
        <v>91</v>
      </c>
      <c r="AQ52" s="245" t="s">
        <v>40</v>
      </c>
      <c r="AR52" s="125"/>
      <c r="AS52" s="125"/>
      <c r="AT52" s="125"/>
      <c r="AU52" s="125"/>
      <c r="AV52" s="125"/>
      <c r="AW52" s="321"/>
      <c r="AX52" s="125"/>
    </row>
    <row r="53" spans="1:50" x14ac:dyDescent="0.2">
      <c r="A53" s="404"/>
      <c r="B53" s="245" t="s">
        <v>68</v>
      </c>
      <c r="C53" s="245" t="s">
        <v>41</v>
      </c>
      <c r="D53" s="245" t="str">
        <f t="shared" si="23"/>
        <v>EURONOIS5M=</v>
      </c>
      <c r="E53" s="245" t="str">
        <f>_xll.qlSimpleQuote(D53,,RateTickValue,Permanent,Trigger,ObjectOverwrite)</f>
        <v>EURONOIS5M=#0006</v>
      </c>
      <c r="F53" s="246">
        <f>_xll.RtGet("DTSIMI1",D53,$F$3)/100</f>
        <v>-3.5464264999999998E-3</v>
      </c>
      <c r="G53" s="246">
        <f>_xll.RtGet("DTSIMI1",D53,$G$3)/100</f>
        <v>-3.5464264999999998E-3</v>
      </c>
      <c r="H53" s="246">
        <f t="shared" si="24"/>
        <v>-3.5464264999999998E-3</v>
      </c>
      <c r="I53" s="315"/>
      <c r="J53" s="293" t="e">
        <f>IF(ISBLANK(I53),_xll.qlSimpleQuoteSetValue(E53,H53),_xll.qlSimpleQuoteSetValue(E53,I53))</f>
        <v>#N/A</v>
      </c>
      <c r="K53" s="247"/>
      <c r="L53" s="245" t="s">
        <v>91</v>
      </c>
      <c r="M53" s="245" t="s">
        <v>41</v>
      </c>
      <c r="N53" s="245" t="str">
        <f t="shared" si="22"/>
        <v>EUR1MSW5M=</v>
      </c>
      <c r="O53" s="245" t="str">
        <f>_xll.qlSimpleQuote(N53,,RateTickValue,Permanent,Trigger,ObjectOverwrite)</f>
        <v>EUR1MSW5M=#0006</v>
      </c>
      <c r="P53" s="246">
        <f>_xll.RtGet("DTSIMI1",N53,$P$3)/100</f>
        <v>-3.7199999999999998E-3</v>
      </c>
      <c r="Q53" s="246">
        <f>_xll.RtGet("DTSIMI1",N53,$Q$3)/100</f>
        <v>-3.7199999999999998E-3</v>
      </c>
      <c r="R53" s="246">
        <f t="shared" si="25"/>
        <v>-3.7199999999999998E-3</v>
      </c>
      <c r="S53" s="315"/>
      <c r="T53" s="293" t="e">
        <f>IF(ISBLANK(S53),_xll.qlSimpleQuoteSetValue(O53,R53),_xll.qlSimpleQuoteSetValue(O53,S53))</f>
        <v>#N/A</v>
      </c>
      <c r="U53" s="243"/>
      <c r="V53" s="245" t="s">
        <v>91</v>
      </c>
      <c r="W53" s="245" t="s">
        <v>41</v>
      </c>
      <c r="X53" s="125"/>
      <c r="Y53" s="125"/>
      <c r="Z53" s="125"/>
      <c r="AA53" s="125"/>
      <c r="AB53" s="125"/>
      <c r="AC53" s="321"/>
      <c r="AD53" s="295"/>
      <c r="AE53" s="248"/>
      <c r="AF53" s="245" t="s">
        <v>91</v>
      </c>
      <c r="AG53" s="245" t="s">
        <v>41</v>
      </c>
      <c r="AH53" s="125"/>
      <c r="AI53" s="125"/>
      <c r="AJ53" s="125"/>
      <c r="AK53" s="125"/>
      <c r="AL53" s="125"/>
      <c r="AM53" s="321"/>
      <c r="AN53" s="125"/>
      <c r="AO53" s="243"/>
      <c r="AP53" s="245" t="s">
        <v>91</v>
      </c>
      <c r="AQ53" s="245" t="s">
        <v>41</v>
      </c>
      <c r="AR53" s="125"/>
      <c r="AS53" s="125"/>
      <c r="AT53" s="125"/>
      <c r="AU53" s="125"/>
      <c r="AV53" s="125"/>
      <c r="AW53" s="321"/>
      <c r="AX53" s="125"/>
    </row>
    <row r="54" spans="1:50" x14ac:dyDescent="0.2">
      <c r="A54" s="404"/>
      <c r="B54" s="245" t="s">
        <v>68</v>
      </c>
      <c r="C54" s="245" t="s">
        <v>3</v>
      </c>
      <c r="D54" s="245" t="str">
        <f t="shared" si="23"/>
        <v>EURONOIS6M=</v>
      </c>
      <c r="E54" s="245" t="str">
        <f>_xll.qlSimpleQuote(D54,,RateTickValue,Permanent,Trigger,ObjectOverwrite)</f>
        <v>EURONOIS6M=#0006</v>
      </c>
      <c r="F54" s="246">
        <f>_xll.RtGet("DTSIMI1",D54,$F$3)/100</f>
        <v>-3.5493118500000004E-3</v>
      </c>
      <c r="G54" s="246">
        <f>_xll.RtGet("DTSIMI1",D54,$G$3)/100</f>
        <v>-3.5493118500000004E-3</v>
      </c>
      <c r="H54" s="246">
        <f t="shared" si="24"/>
        <v>-3.5493118500000004E-3</v>
      </c>
      <c r="I54" s="315"/>
      <c r="J54" s="293" t="e">
        <f>IF(ISBLANK(I54),_xll.qlSimpleQuoteSetValue(E54,H54),_xll.qlSimpleQuoteSetValue(E54,I54))</f>
        <v>#N/A</v>
      </c>
      <c r="K54" s="247"/>
      <c r="L54" s="245" t="s">
        <v>91</v>
      </c>
      <c r="M54" s="245" t="s">
        <v>3</v>
      </c>
      <c r="N54" s="245" t="str">
        <f t="shared" si="22"/>
        <v>EUR1MSW6M=</v>
      </c>
      <c r="O54" s="245" t="str">
        <f>_xll.qlSimpleQuote(N54,,RateTickValue,Permanent,Trigger,ObjectOverwrite)</f>
        <v>EUR1MSW6M=#0006</v>
      </c>
      <c r="P54" s="246">
        <f>_xll.RtGet("DTSIMI1",N54,$P$3)/100</f>
        <v>-3.7199999999999998E-3</v>
      </c>
      <c r="Q54" s="246">
        <f>_xll.RtGet("DTSIMI1",N54,$Q$3)/100</f>
        <v>-3.7199999999999998E-3</v>
      </c>
      <c r="R54" s="246">
        <f t="shared" si="25"/>
        <v>-3.7199999999999998E-3</v>
      </c>
      <c r="S54" s="315"/>
      <c r="T54" s="293" t="e">
        <f>IF(ISBLANK(S54),_xll.qlSimpleQuoteSetValue(O54,R54),_xll.qlSimpleQuoteSetValue(O54,S54))</f>
        <v>#N/A</v>
      </c>
      <c r="U54" s="243"/>
      <c r="V54" s="245" t="s">
        <v>91</v>
      </c>
      <c r="W54" s="245" t="s">
        <v>3</v>
      </c>
      <c r="X54" s="125"/>
      <c r="Y54" s="125"/>
      <c r="Z54" s="125"/>
      <c r="AA54" s="125"/>
      <c r="AB54" s="125"/>
      <c r="AC54" s="321"/>
      <c r="AD54" s="295"/>
      <c r="AE54" s="248"/>
      <c r="AF54" s="245" t="s">
        <v>91</v>
      </c>
      <c r="AG54" s="245" t="s">
        <v>3</v>
      </c>
      <c r="AH54" s="125"/>
      <c r="AI54" s="125"/>
      <c r="AJ54" s="125"/>
      <c r="AK54" s="125"/>
      <c r="AL54" s="125"/>
      <c r="AM54" s="321"/>
      <c r="AN54" s="125"/>
      <c r="AO54" s="243"/>
      <c r="AP54" s="245" t="s">
        <v>91</v>
      </c>
      <c r="AQ54" s="245" t="s">
        <v>3</v>
      </c>
      <c r="AR54" s="125"/>
      <c r="AS54" s="125"/>
      <c r="AT54" s="125"/>
      <c r="AU54" s="125"/>
      <c r="AV54" s="125"/>
      <c r="AW54" s="321"/>
      <c r="AX54" s="125"/>
    </row>
    <row r="55" spans="1:50" x14ac:dyDescent="0.2">
      <c r="A55" s="404"/>
      <c r="B55" s="245" t="s">
        <v>68</v>
      </c>
      <c r="C55" s="245" t="s">
        <v>42</v>
      </c>
      <c r="D55" s="245" t="str">
        <f t="shared" si="23"/>
        <v>EURONOIS7M=</v>
      </c>
      <c r="E55" s="245" t="str">
        <f>_xll.qlSimpleQuote(D55,,RateTickValue,Permanent,Trigger,ObjectOverwrite)</f>
        <v>EURONOIS7M=#0006</v>
      </c>
      <c r="F55" s="246">
        <f>_xll.RtGet("DTSIMI1",D55,$F$3)/100</f>
        <v>-3.5519552600000006E-3</v>
      </c>
      <c r="G55" s="246">
        <f>_xll.RtGet("DTSIMI1",D55,$G$3)/100</f>
        <v>-3.5519552600000006E-3</v>
      </c>
      <c r="H55" s="246">
        <f t="shared" si="24"/>
        <v>-3.5519552600000006E-3</v>
      </c>
      <c r="I55" s="315"/>
      <c r="J55" s="293" t="e">
        <f>IF(ISBLANK(I55),_xll.qlSimpleQuoteSetValue(E55,H55),_xll.qlSimpleQuoteSetValue(E55,I55))</f>
        <v>#N/A</v>
      </c>
      <c r="K55" s="247"/>
      <c r="L55" s="245" t="s">
        <v>91</v>
      </c>
      <c r="M55" s="245" t="s">
        <v>42</v>
      </c>
      <c r="N55" s="245" t="str">
        <f t="shared" si="22"/>
        <v>EUR1MSW7M=</v>
      </c>
      <c r="O55" s="245" t="str">
        <f>_xll.qlSimpleQuote(N55,,RateTickValue,Permanent,Trigger,ObjectOverwrite)</f>
        <v>EUR1MSW7M=#0006</v>
      </c>
      <c r="P55" s="246">
        <f>_xll.RtGet("DTSIMI1",N55,$P$3)/100</f>
        <v>-3.7199999999999998E-3</v>
      </c>
      <c r="Q55" s="246">
        <f>_xll.RtGet("DTSIMI1",N55,$Q$3)/100</f>
        <v>-3.7199999999999998E-3</v>
      </c>
      <c r="R55" s="246">
        <f t="shared" si="25"/>
        <v>-3.7199999999999998E-3</v>
      </c>
      <c r="S55" s="315"/>
      <c r="T55" s="293" t="e">
        <f>IF(ISBLANK(S55),_xll.qlSimpleQuoteSetValue(O55,R55),_xll.qlSimpleQuoteSetValue(O55,S55))</f>
        <v>#N/A</v>
      </c>
      <c r="U55" s="243"/>
      <c r="V55" s="245" t="s">
        <v>91</v>
      </c>
      <c r="W55" s="245" t="s">
        <v>42</v>
      </c>
      <c r="X55" s="125"/>
      <c r="Y55" s="125"/>
      <c r="Z55" s="125"/>
      <c r="AA55" s="125"/>
      <c r="AB55" s="125"/>
      <c r="AC55" s="321"/>
      <c r="AD55" s="295"/>
      <c r="AE55" s="248"/>
      <c r="AF55" s="245" t="s">
        <v>91</v>
      </c>
      <c r="AG55" s="245" t="s">
        <v>42</v>
      </c>
      <c r="AH55" s="125"/>
      <c r="AI55" s="125"/>
      <c r="AJ55" s="125"/>
      <c r="AK55" s="125"/>
      <c r="AL55" s="125"/>
      <c r="AM55" s="321"/>
      <c r="AN55" s="125"/>
      <c r="AO55" s="243"/>
      <c r="AP55" s="245" t="s">
        <v>91</v>
      </c>
      <c r="AQ55" s="245" t="s">
        <v>42</v>
      </c>
      <c r="AR55" s="125"/>
      <c r="AS55" s="125"/>
      <c r="AT55" s="125"/>
      <c r="AU55" s="125"/>
      <c r="AV55" s="125"/>
      <c r="AW55" s="321"/>
      <c r="AX55" s="125"/>
    </row>
    <row r="56" spans="1:50" x14ac:dyDescent="0.2">
      <c r="A56" s="404"/>
      <c r="B56" s="245" t="s">
        <v>68</v>
      </c>
      <c r="C56" s="245" t="s">
        <v>43</v>
      </c>
      <c r="D56" s="245" t="str">
        <f t="shared" si="23"/>
        <v>EURONOIS8M=</v>
      </c>
      <c r="E56" s="245" t="str">
        <f>_xll.qlSimpleQuote(D56,,RateTickValue,Permanent,Trigger,ObjectOverwrite)</f>
        <v>EURONOIS8M=#0006</v>
      </c>
      <c r="F56" s="246">
        <f>_xll.RtGet("DTSIMI1",D56,$F$3)/100</f>
        <v>-3.5530173400000003E-3</v>
      </c>
      <c r="G56" s="246">
        <f>_xll.RtGet("DTSIMI1",D56,$G$3)/100</f>
        <v>-3.5530173400000003E-3</v>
      </c>
      <c r="H56" s="246">
        <f t="shared" si="24"/>
        <v>-3.5530173400000003E-3</v>
      </c>
      <c r="I56" s="315"/>
      <c r="J56" s="293" t="e">
        <f>IF(ISBLANK(I56),_xll.qlSimpleQuoteSetValue(E56,H56),_xll.qlSimpleQuoteSetValue(E56,I56))</f>
        <v>#N/A</v>
      </c>
      <c r="K56" s="247"/>
      <c r="L56" s="245" t="s">
        <v>91</v>
      </c>
      <c r="M56" s="245" t="s">
        <v>43</v>
      </c>
      <c r="N56" s="245" t="str">
        <f t="shared" si="22"/>
        <v>EUR1MSW8M=</v>
      </c>
      <c r="O56" s="245" t="str">
        <f>_xll.qlSimpleQuote(N56,,RateTickValue,Permanent,Trigger,ObjectOverwrite)</f>
        <v>EUR1MSW8M=#0006</v>
      </c>
      <c r="P56" s="246">
        <f>_xll.RtGet("DTSIMI1",N56,$P$3)/100</f>
        <v>-3.7299999999999998E-3</v>
      </c>
      <c r="Q56" s="246">
        <f>_xll.RtGet("DTSIMI1",N56,$Q$3)/100</f>
        <v>-3.7299999999999998E-3</v>
      </c>
      <c r="R56" s="246">
        <f t="shared" si="25"/>
        <v>-3.7299999999999998E-3</v>
      </c>
      <c r="S56" s="315"/>
      <c r="T56" s="293" t="e">
        <f>IF(ISBLANK(S56),_xll.qlSimpleQuoteSetValue(O56,R56),_xll.qlSimpleQuoteSetValue(O56,S56))</f>
        <v>#N/A</v>
      </c>
      <c r="U56" s="243"/>
      <c r="V56" s="245" t="s">
        <v>91</v>
      </c>
      <c r="W56" s="245" t="s">
        <v>43</v>
      </c>
      <c r="X56" s="125"/>
      <c r="Y56" s="125"/>
      <c r="Z56" s="125"/>
      <c r="AA56" s="125"/>
      <c r="AB56" s="125"/>
      <c r="AC56" s="321"/>
      <c r="AD56" s="295"/>
      <c r="AE56" s="248"/>
      <c r="AF56" s="245" t="s">
        <v>91</v>
      </c>
      <c r="AG56" s="245" t="s">
        <v>43</v>
      </c>
      <c r="AH56" s="125"/>
      <c r="AI56" s="125"/>
      <c r="AJ56" s="125"/>
      <c r="AK56" s="125"/>
      <c r="AL56" s="125"/>
      <c r="AM56" s="321"/>
      <c r="AN56" s="125"/>
      <c r="AO56" s="243"/>
      <c r="AP56" s="245" t="s">
        <v>91</v>
      </c>
      <c r="AQ56" s="245" t="s">
        <v>43</v>
      </c>
      <c r="AR56" s="125"/>
      <c r="AS56" s="125"/>
      <c r="AT56" s="125"/>
      <c r="AU56" s="125"/>
      <c r="AV56" s="125"/>
      <c r="AW56" s="321"/>
      <c r="AX56" s="125"/>
    </row>
    <row r="57" spans="1:50" x14ac:dyDescent="0.2">
      <c r="A57" s="404"/>
      <c r="B57" s="245" t="s">
        <v>68</v>
      </c>
      <c r="C57" s="245" t="s">
        <v>44</v>
      </c>
      <c r="D57" s="245" t="str">
        <f t="shared" si="23"/>
        <v>EURONOIS9M=</v>
      </c>
      <c r="E57" s="245" t="str">
        <f>_xll.qlSimpleQuote(D57,,RateTickValue,Permanent,Trigger,ObjectOverwrite)</f>
        <v>EURONOIS9M=#0006</v>
      </c>
      <c r="F57" s="246">
        <f>_xll.RtGet("DTSIMI1",D57,$F$3)/100</f>
        <v>-3.5514952600000007E-3</v>
      </c>
      <c r="G57" s="246">
        <f>_xll.RtGet("DTSIMI1",D57,$G$3)/100</f>
        <v>-3.5514952600000007E-3</v>
      </c>
      <c r="H57" s="246">
        <f t="shared" si="24"/>
        <v>-3.5514952600000007E-3</v>
      </c>
      <c r="I57" s="315"/>
      <c r="J57" s="293" t="e">
        <f>IF(ISBLANK(I57),_xll.qlSimpleQuoteSetValue(E57,H57),_xll.qlSimpleQuoteSetValue(E57,I57))</f>
        <v>#N/A</v>
      </c>
      <c r="K57" s="247"/>
      <c r="L57" s="245" t="s">
        <v>91</v>
      </c>
      <c r="M57" s="245" t="s">
        <v>44</v>
      </c>
      <c r="N57" s="245" t="str">
        <f t="shared" si="22"/>
        <v>EUR1MSW9M=</v>
      </c>
      <c r="O57" s="245" t="str">
        <f>_xll.qlSimpleQuote(N57,,RateTickValue,Permanent,Trigger,ObjectOverwrite)</f>
        <v>EUR1MSW9M=#0006</v>
      </c>
      <c r="P57" s="246">
        <f>_xll.RtGet("DTSIMI1",N57,$P$3)/100</f>
        <v>-3.7199999999999998E-3</v>
      </c>
      <c r="Q57" s="246">
        <f>_xll.RtGet("DTSIMI1",N57,$Q$3)/100</f>
        <v>-3.7199999999999998E-3</v>
      </c>
      <c r="R57" s="246">
        <f t="shared" si="25"/>
        <v>-3.7199999999999998E-3</v>
      </c>
      <c r="S57" s="315"/>
      <c r="T57" s="293" t="e">
        <f>IF(ISBLANK(S57),_xll.qlSimpleQuoteSetValue(O57,R57),_xll.qlSimpleQuoteSetValue(O57,S57))</f>
        <v>#N/A</v>
      </c>
      <c r="U57" s="243"/>
      <c r="V57" s="245" t="s">
        <v>91</v>
      </c>
      <c r="W57" s="245" t="s">
        <v>44</v>
      </c>
      <c r="X57" s="125"/>
      <c r="Y57" s="125"/>
      <c r="Z57" s="125"/>
      <c r="AA57" s="125"/>
      <c r="AB57" s="125"/>
      <c r="AC57" s="321"/>
      <c r="AD57" s="295"/>
      <c r="AE57" s="248"/>
      <c r="AF57" s="245" t="s">
        <v>91</v>
      </c>
      <c r="AG57" s="245" t="s">
        <v>44</v>
      </c>
      <c r="AH57" s="125"/>
      <c r="AI57" s="125"/>
      <c r="AJ57" s="125"/>
      <c r="AK57" s="125"/>
      <c r="AL57" s="125"/>
      <c r="AM57" s="321"/>
      <c r="AN57" s="125"/>
      <c r="AO57" s="243"/>
      <c r="AP57" s="245" t="s">
        <v>91</v>
      </c>
      <c r="AQ57" s="245" t="s">
        <v>44</v>
      </c>
      <c r="AR57" s="125"/>
      <c r="AS57" s="125"/>
      <c r="AT57" s="125"/>
      <c r="AU57" s="125"/>
      <c r="AV57" s="125"/>
      <c r="AW57" s="321"/>
      <c r="AX57" s="125"/>
    </row>
    <row r="58" spans="1:50" x14ac:dyDescent="0.2">
      <c r="A58" s="404"/>
      <c r="B58" s="245" t="s">
        <v>68</v>
      </c>
      <c r="C58" s="245" t="s">
        <v>45</v>
      </c>
      <c r="D58" s="245" t="str">
        <f t="shared" si="23"/>
        <v>EURONOIS10M=</v>
      </c>
      <c r="E58" s="245" t="str">
        <f>_xll.qlSimpleQuote(D58,,RateTickValue,Permanent,Trigger,ObjectOverwrite)</f>
        <v>EURONOIS10M=#0006</v>
      </c>
      <c r="F58" s="246">
        <f>_xll.RtGet("DTSIMI1",D58,$F$3)/100</f>
        <v>-3.5479048900000005E-3</v>
      </c>
      <c r="G58" s="246">
        <f>_xll.RtGet("DTSIMI1",D58,$G$3)/100</f>
        <v>-3.5479048900000005E-3</v>
      </c>
      <c r="H58" s="246">
        <f t="shared" si="24"/>
        <v>-3.5479048900000005E-3</v>
      </c>
      <c r="I58" s="315"/>
      <c r="J58" s="293" t="e">
        <f>IF(ISBLANK(I58),_xll.qlSimpleQuoteSetValue(E58,H58),_xll.qlSimpleQuoteSetValue(E58,I58))</f>
        <v>#N/A</v>
      </c>
      <c r="K58" s="247"/>
      <c r="L58" s="245" t="s">
        <v>91</v>
      </c>
      <c r="M58" s="245" t="s">
        <v>45</v>
      </c>
      <c r="N58" s="245" t="str">
        <f t="shared" si="22"/>
        <v>EUR1MSW10M=</v>
      </c>
      <c r="O58" s="245" t="str">
        <f>_xll.qlSimpleQuote(N58,,RateTickValue,Permanent,Trigger,ObjectOverwrite)</f>
        <v>EUR1MSW10M=#0006</v>
      </c>
      <c r="P58" s="246">
        <f>_xll.RtGet("DTSIMI1",N58,$P$3)/100</f>
        <v>-3.7199999999999998E-3</v>
      </c>
      <c r="Q58" s="246">
        <f>_xll.RtGet("DTSIMI1",N58,$Q$3)/100</f>
        <v>-3.7199999999999998E-3</v>
      </c>
      <c r="R58" s="246">
        <f t="shared" si="25"/>
        <v>-3.7199999999999998E-3</v>
      </c>
      <c r="S58" s="315"/>
      <c r="T58" s="293" t="e">
        <f>IF(ISBLANK(S58),_xll.qlSimpleQuoteSetValue(O58,R58),_xll.qlSimpleQuoteSetValue(O58,S58))</f>
        <v>#N/A</v>
      </c>
      <c r="U58" s="243"/>
      <c r="V58" s="245" t="s">
        <v>91</v>
      </c>
      <c r="W58" s="245" t="s">
        <v>45</v>
      </c>
      <c r="X58" s="125"/>
      <c r="Y58" s="125"/>
      <c r="Z58" s="125"/>
      <c r="AA58" s="125"/>
      <c r="AB58" s="125"/>
      <c r="AC58" s="321"/>
      <c r="AD58" s="295"/>
      <c r="AE58" s="248"/>
      <c r="AF58" s="245" t="s">
        <v>91</v>
      </c>
      <c r="AG58" s="245" t="s">
        <v>45</v>
      </c>
      <c r="AH58" s="125"/>
      <c r="AI58" s="125"/>
      <c r="AJ58" s="125"/>
      <c r="AK58" s="125"/>
      <c r="AL58" s="125"/>
      <c r="AM58" s="321"/>
      <c r="AN58" s="125"/>
      <c r="AO58" s="243"/>
      <c r="AP58" s="245" t="s">
        <v>91</v>
      </c>
      <c r="AQ58" s="245" t="s">
        <v>45</v>
      </c>
      <c r="AR58" s="125"/>
      <c r="AS58" s="125"/>
      <c r="AT58" s="125"/>
      <c r="AU58" s="125"/>
      <c r="AV58" s="125"/>
      <c r="AW58" s="321"/>
      <c r="AX58" s="125"/>
    </row>
    <row r="59" spans="1:50" x14ac:dyDescent="0.2">
      <c r="A59" s="404"/>
      <c r="B59" s="245" t="s">
        <v>68</v>
      </c>
      <c r="C59" s="245" t="s">
        <v>46</v>
      </c>
      <c r="D59" s="245" t="str">
        <f t="shared" si="23"/>
        <v>EURONOIS11M=</v>
      </c>
      <c r="E59" s="245" t="str">
        <f>_xll.qlSimpleQuote(D59,,RateTickValue,Permanent,Trigger,ObjectOverwrite)</f>
        <v>EURONOIS11M=#0006</v>
      </c>
      <c r="F59" s="246">
        <f>_xll.RtGet("DTSIMI1",D59,$F$3)/100</f>
        <v>-3.5434617700000003E-3</v>
      </c>
      <c r="G59" s="246">
        <f>_xll.RtGet("DTSIMI1",D59,$G$3)/100</f>
        <v>-3.5434617700000003E-3</v>
      </c>
      <c r="H59" s="246">
        <f t="shared" si="24"/>
        <v>-3.5434617700000003E-3</v>
      </c>
      <c r="I59" s="315"/>
      <c r="J59" s="293" t="e">
        <f>IF(ISBLANK(I59),_xll.qlSimpleQuoteSetValue(E59,H59),_xll.qlSimpleQuoteSetValue(E59,I59))</f>
        <v>#N/A</v>
      </c>
      <c r="K59" s="247"/>
      <c r="L59" s="245" t="s">
        <v>91</v>
      </c>
      <c r="M59" s="245" t="s">
        <v>46</v>
      </c>
      <c r="N59" s="245" t="str">
        <f t="shared" si="22"/>
        <v>EUR1MSW11M=</v>
      </c>
      <c r="O59" s="245" t="str">
        <f>_xll.qlSimpleQuote(N59,,RateTickValue,Permanent,Trigger,ObjectOverwrite)</f>
        <v>EUR1MSW11M=#0006</v>
      </c>
      <c r="P59" s="246">
        <f>_xll.RtGet("DTSIMI1",N59,$P$3)/100</f>
        <v>-3.7099999999999998E-3</v>
      </c>
      <c r="Q59" s="246">
        <f>_xll.RtGet("DTSIMI1",N59,$Q$3)/100</f>
        <v>-3.7099999999999998E-3</v>
      </c>
      <c r="R59" s="246">
        <f t="shared" si="25"/>
        <v>-3.7099999999999998E-3</v>
      </c>
      <c r="S59" s="315"/>
      <c r="T59" s="293" t="e">
        <f>IF(ISBLANK(S59),_xll.qlSimpleQuoteSetValue(O59,R59),_xll.qlSimpleQuoteSetValue(O59,S59))</f>
        <v>#N/A</v>
      </c>
      <c r="U59" s="243"/>
      <c r="V59" s="245" t="s">
        <v>91</v>
      </c>
      <c r="W59" s="245" t="s">
        <v>46</v>
      </c>
      <c r="X59" s="125"/>
      <c r="Y59" s="125"/>
      <c r="Z59" s="125"/>
      <c r="AA59" s="125"/>
      <c r="AB59" s="125"/>
      <c r="AC59" s="321"/>
      <c r="AD59" s="295"/>
      <c r="AE59" s="248"/>
      <c r="AF59" s="245" t="s">
        <v>91</v>
      </c>
      <c r="AG59" s="245" t="s">
        <v>46</v>
      </c>
      <c r="AH59" s="125"/>
      <c r="AI59" s="125"/>
      <c r="AJ59" s="125"/>
      <c r="AK59" s="125"/>
      <c r="AL59" s="125"/>
      <c r="AM59" s="321"/>
      <c r="AN59" s="125"/>
      <c r="AO59" s="243"/>
      <c r="AP59" s="245" t="s">
        <v>91</v>
      </c>
      <c r="AQ59" s="245" t="s">
        <v>46</v>
      </c>
      <c r="AR59" s="125"/>
      <c r="AS59" s="125"/>
      <c r="AT59" s="125"/>
      <c r="AU59" s="125"/>
      <c r="AV59" s="125"/>
      <c r="AW59" s="321"/>
      <c r="AX59" s="125"/>
    </row>
    <row r="60" spans="1:50" x14ac:dyDescent="0.2">
      <c r="A60" s="404"/>
      <c r="B60" s="271" t="s">
        <v>68</v>
      </c>
      <c r="C60" s="271" t="s">
        <v>116</v>
      </c>
      <c r="D60" s="272"/>
      <c r="E60" s="272"/>
      <c r="F60" s="272"/>
      <c r="G60" s="272"/>
      <c r="H60" s="272"/>
      <c r="I60" s="324"/>
      <c r="J60" s="298"/>
      <c r="K60" s="247"/>
      <c r="L60" s="255" t="s">
        <v>91</v>
      </c>
      <c r="M60" s="255" t="s">
        <v>116</v>
      </c>
      <c r="N60" s="255" t="str">
        <f t="shared" si="22"/>
        <v>EUR1MSW12M=</v>
      </c>
      <c r="O60" s="255" t="str">
        <f>_xll.qlSimpleQuote(N60,,RateTickValue,Permanent,Trigger,ObjectOverwrite)</f>
        <v>EUR1MSW12M=#0006</v>
      </c>
      <c r="P60" s="256">
        <f>_xll.RtGet("DTSIMI1",N60,$P$3)/100</f>
        <v>-3.7099999999999998E-3</v>
      </c>
      <c r="Q60" s="256">
        <f>_xll.RtGet("DTSIMI1",N60,$Q$3)/100</f>
        <v>-3.7099999999999998E-3</v>
      </c>
      <c r="R60" s="256">
        <f t="shared" si="25"/>
        <v>-3.7099999999999998E-3</v>
      </c>
      <c r="S60" s="317"/>
      <c r="T60" s="302" t="e">
        <f>IF(ISBLANK(S60),_xll.qlSimpleQuoteSetValue(O60,R60),_xll.qlSimpleQuoteSetValue(O60,S60))</f>
        <v>#N/A</v>
      </c>
      <c r="U60" s="243"/>
      <c r="V60" s="255" t="s">
        <v>91</v>
      </c>
      <c r="W60" s="255" t="s">
        <v>116</v>
      </c>
      <c r="X60" s="125"/>
      <c r="Y60" s="125"/>
      <c r="Z60" s="125"/>
      <c r="AA60" s="125"/>
      <c r="AB60" s="125"/>
      <c r="AC60" s="321"/>
      <c r="AD60" s="295"/>
      <c r="AE60" s="248"/>
      <c r="AF60" s="255" t="s">
        <v>91</v>
      </c>
      <c r="AG60" s="255" t="s">
        <v>116</v>
      </c>
      <c r="AH60" s="125"/>
      <c r="AI60" s="125"/>
      <c r="AJ60" s="125"/>
      <c r="AK60" s="125"/>
      <c r="AL60" s="125"/>
      <c r="AM60" s="321"/>
      <c r="AN60" s="125"/>
      <c r="AO60" s="243"/>
      <c r="AP60" s="255" t="s">
        <v>91</v>
      </c>
      <c r="AQ60" s="255" t="s">
        <v>116</v>
      </c>
      <c r="AR60" s="125"/>
      <c r="AS60" s="125"/>
      <c r="AT60" s="125"/>
      <c r="AU60" s="125"/>
      <c r="AV60" s="125"/>
      <c r="AW60" s="321"/>
      <c r="AX60" s="125"/>
    </row>
    <row r="61" spans="1:50" x14ac:dyDescent="0.2">
      <c r="A61" s="404"/>
      <c r="B61" s="241" t="s">
        <v>68</v>
      </c>
      <c r="C61" s="241" t="s">
        <v>27</v>
      </c>
      <c r="D61" s="241" t="str">
        <f t="shared" si="23"/>
        <v>EURONOIS1Y=</v>
      </c>
      <c r="E61" s="241" t="str">
        <f>_xll.qlSimpleQuote(D61,,RateTickValue,Permanent,Trigger,ObjectOverwrite)</f>
        <v>EURONOIS1Y=#0006</v>
      </c>
      <c r="F61" s="242">
        <f>_xll.RtGet("DTSIMI1",D61,$F$3)/100</f>
        <v>-3.5383140300000006E-3</v>
      </c>
      <c r="G61" s="242">
        <f>_xll.RtGet("DTSIMI1",D61,$G$3)/100</f>
        <v>-3.5383140300000006E-3</v>
      </c>
      <c r="H61" s="242">
        <f t="shared" si="24"/>
        <v>-3.5383140300000006E-3</v>
      </c>
      <c r="I61" s="314"/>
      <c r="J61" s="292" t="e">
        <f>IF(ISBLANK(I61),_xll.qlSimpleQuoteSetValue(E61,H61),_xll.qlSimpleQuoteSetValue(E61,I61))</f>
        <v>#N/A</v>
      </c>
      <c r="K61" s="247"/>
      <c r="L61" s="241" t="s">
        <v>91</v>
      </c>
      <c r="M61" s="241" t="s">
        <v>27</v>
      </c>
      <c r="N61" s="129"/>
      <c r="O61" s="129"/>
      <c r="P61" s="129"/>
      <c r="Q61" s="129"/>
      <c r="R61" s="129"/>
      <c r="S61" s="322"/>
      <c r="T61" s="129"/>
      <c r="U61" s="243"/>
      <c r="V61" s="241" t="s">
        <v>91</v>
      </c>
      <c r="W61" s="241" t="s">
        <v>27</v>
      </c>
      <c r="X61" s="129"/>
      <c r="Y61" s="129"/>
      <c r="Z61" s="129"/>
      <c r="AA61" s="129"/>
      <c r="AB61" s="129"/>
      <c r="AC61" s="322"/>
      <c r="AD61" s="296"/>
      <c r="AE61" s="248"/>
      <c r="AF61" s="241" t="s">
        <v>91</v>
      </c>
      <c r="AG61" s="241" t="s">
        <v>27</v>
      </c>
      <c r="AH61" s="129"/>
      <c r="AI61" s="129"/>
      <c r="AJ61" s="129"/>
      <c r="AK61" s="129"/>
      <c r="AL61" s="129"/>
      <c r="AM61" s="322"/>
      <c r="AN61" s="129"/>
      <c r="AO61" s="243"/>
      <c r="AP61" s="241" t="s">
        <v>91</v>
      </c>
      <c r="AQ61" s="241" t="s">
        <v>27</v>
      </c>
      <c r="AR61" s="129"/>
      <c r="AS61" s="129"/>
      <c r="AT61" s="129"/>
      <c r="AU61" s="129"/>
      <c r="AV61" s="129"/>
      <c r="AW61" s="322"/>
      <c r="AX61" s="129"/>
    </row>
    <row r="62" spans="1:50" x14ac:dyDescent="0.2">
      <c r="A62" s="404"/>
      <c r="B62" s="245" t="s">
        <v>68</v>
      </c>
      <c r="C62" s="245" t="s">
        <v>147</v>
      </c>
      <c r="D62" s="245" t="str">
        <f t="shared" si="23"/>
        <v>EURONOIS13M=</v>
      </c>
      <c r="E62" s="245" t="str">
        <f>_xll.qlSimpleQuote(D62,,RateTickValue,Permanent,Trigger,ObjectOverwrite)</f>
        <v>EURONOIS13M=#0006</v>
      </c>
      <c r="F62" s="246">
        <f>_xll.RtGet("DTSIMI1",D62,$F$3)/100</f>
        <v>-3.5341593700000001E-3</v>
      </c>
      <c r="G62" s="246">
        <f>_xll.RtGet("DTSIMI1",D62,$G$3)/100</f>
        <v>-3.5341593700000001E-3</v>
      </c>
      <c r="H62" s="246">
        <f t="shared" si="24"/>
        <v>-3.5341593700000001E-3</v>
      </c>
      <c r="I62" s="315"/>
      <c r="J62" s="293" t="e">
        <f>IF(ISBLANK(I62),_xll.qlSimpleQuoteSetValue(E62,H62),_xll.qlSimpleQuoteSetValue(E62,I62))</f>
        <v>#N/A</v>
      </c>
      <c r="K62" s="247"/>
      <c r="L62" s="245" t="s">
        <v>91</v>
      </c>
      <c r="M62" s="245" t="s">
        <v>147</v>
      </c>
      <c r="N62" s="125"/>
      <c r="O62" s="125"/>
      <c r="P62" s="125"/>
      <c r="Q62" s="125"/>
      <c r="R62" s="125"/>
      <c r="S62" s="321"/>
      <c r="T62" s="125"/>
      <c r="U62" s="243"/>
      <c r="V62" s="245" t="s">
        <v>91</v>
      </c>
      <c r="W62" s="245" t="s">
        <v>147</v>
      </c>
      <c r="X62" s="125"/>
      <c r="Y62" s="125"/>
      <c r="Z62" s="125"/>
      <c r="AA62" s="125"/>
      <c r="AB62" s="125"/>
      <c r="AC62" s="321"/>
      <c r="AD62" s="295"/>
      <c r="AE62" s="248"/>
      <c r="AF62" s="245" t="s">
        <v>91</v>
      </c>
      <c r="AG62" s="245" t="s">
        <v>147</v>
      </c>
      <c r="AH62" s="125"/>
      <c r="AI62" s="125"/>
      <c r="AJ62" s="125"/>
      <c r="AK62" s="125"/>
      <c r="AL62" s="125"/>
      <c r="AM62" s="321"/>
      <c r="AN62" s="125"/>
      <c r="AO62" s="243"/>
      <c r="AP62" s="245" t="s">
        <v>91</v>
      </c>
      <c r="AQ62" s="245" t="s">
        <v>147</v>
      </c>
      <c r="AR62" s="125"/>
      <c r="AS62" s="125"/>
      <c r="AT62" s="125"/>
      <c r="AU62" s="125"/>
      <c r="AV62" s="125"/>
      <c r="AW62" s="321"/>
      <c r="AX62" s="125"/>
    </row>
    <row r="63" spans="1:50" x14ac:dyDescent="0.2">
      <c r="A63" s="404"/>
      <c r="B63" s="245" t="s">
        <v>68</v>
      </c>
      <c r="C63" s="245" t="s">
        <v>148</v>
      </c>
      <c r="D63" s="245" t="str">
        <f t="shared" si="23"/>
        <v>EURONOIS14M=</v>
      </c>
      <c r="E63" s="245" t="str">
        <f>_xll.qlSimpleQuote(D63,,RateTickValue,Permanent,Trigger,ObjectOverwrite)</f>
        <v>EURONOIS14M=#0006</v>
      </c>
      <c r="F63" s="246">
        <f>_xll.RtGet("DTSIMI1",D63,$F$3)/100</f>
        <v>-3.5286307500000001E-3</v>
      </c>
      <c r="G63" s="246">
        <f>_xll.RtGet("DTSIMI1",D63,$G$3)/100</f>
        <v>-3.5286307500000001E-3</v>
      </c>
      <c r="H63" s="246">
        <f t="shared" si="24"/>
        <v>-3.5286307500000001E-3</v>
      </c>
      <c r="I63" s="315"/>
      <c r="J63" s="293" t="e">
        <f>IF(ISBLANK(I63),_xll.qlSimpleQuoteSetValue(E63,H63),_xll.qlSimpleQuoteSetValue(E63,I63))</f>
        <v>#N/A</v>
      </c>
      <c r="K63" s="247"/>
      <c r="L63" s="269" t="s">
        <v>91</v>
      </c>
      <c r="M63" s="269" t="s">
        <v>148</v>
      </c>
      <c r="N63" s="278"/>
      <c r="O63" s="278"/>
      <c r="P63" s="278"/>
      <c r="Q63" s="278"/>
      <c r="R63" s="278"/>
      <c r="S63" s="328"/>
      <c r="T63" s="278"/>
      <c r="U63" s="243"/>
      <c r="V63" s="245" t="s">
        <v>91</v>
      </c>
      <c r="W63" s="245" t="s">
        <v>148</v>
      </c>
      <c r="X63" s="125"/>
      <c r="Y63" s="125"/>
      <c r="Z63" s="125"/>
      <c r="AA63" s="125"/>
      <c r="AB63" s="125"/>
      <c r="AC63" s="321"/>
      <c r="AD63" s="295"/>
      <c r="AE63" s="248"/>
      <c r="AF63" s="245" t="s">
        <v>91</v>
      </c>
      <c r="AG63" s="245" t="s">
        <v>148</v>
      </c>
      <c r="AH63" s="125"/>
      <c r="AI63" s="125"/>
      <c r="AJ63" s="125"/>
      <c r="AK63" s="125"/>
      <c r="AL63" s="125"/>
      <c r="AM63" s="321"/>
      <c r="AN63" s="125"/>
      <c r="AO63" s="243"/>
      <c r="AP63" s="245" t="s">
        <v>91</v>
      </c>
      <c r="AQ63" s="245" t="s">
        <v>148</v>
      </c>
      <c r="AR63" s="125"/>
      <c r="AS63" s="125"/>
      <c r="AT63" s="125"/>
      <c r="AU63" s="125"/>
      <c r="AV63" s="125"/>
      <c r="AW63" s="321"/>
      <c r="AX63" s="125"/>
    </row>
    <row r="64" spans="1:50" x14ac:dyDescent="0.2">
      <c r="A64" s="404"/>
      <c r="B64" s="245" t="s">
        <v>68</v>
      </c>
      <c r="C64" s="245" t="s">
        <v>47</v>
      </c>
      <c r="D64" s="245" t="str">
        <f t="shared" si="23"/>
        <v>EURONOIS15M=</v>
      </c>
      <c r="E64" s="245" t="str">
        <f>_xll.qlSimpleQuote(D64,,RateTickValue,Permanent,Trigger,ObjectOverwrite)</f>
        <v>EURONOIS15M=#0006</v>
      </c>
      <c r="F64" s="246">
        <f>_xll.RtGet("DTSIMI1",D64,$F$3)/100</f>
        <v>-3.5199999999999997E-3</v>
      </c>
      <c r="G64" s="246">
        <f>_xll.RtGet("DTSIMI1",D64,$G$3)/100</f>
        <v>-3.5199999999999997E-3</v>
      </c>
      <c r="H64" s="246">
        <f t="shared" si="24"/>
        <v>-3.5199999999999997E-3</v>
      </c>
      <c r="I64" s="315"/>
      <c r="J64" s="293" t="e">
        <f>IF(ISBLANK(I64),_xll.qlSimpleQuoteSetValue(E64,H64),_xll.qlSimpleQuoteSetValue(E64,I64))</f>
        <v>#N/A</v>
      </c>
      <c r="K64" s="247"/>
      <c r="L64" s="245" t="s">
        <v>91</v>
      </c>
      <c r="M64" s="245" t="s">
        <v>47</v>
      </c>
      <c r="N64" s="245" t="str">
        <f t="shared" si="22"/>
        <v>EUR1MSW15M=</v>
      </c>
      <c r="O64" s="245" t="str">
        <f>_xll.qlSimpleQuote(N64,,RateTickValue,Permanent,Trigger,ObjectOverwrite)</f>
        <v>EUR1MSW15M=#0006</v>
      </c>
      <c r="P64" s="246">
        <f>_xll.RtGet("DTSIMI1",N64,$P$3)/100</f>
        <v>-3.7422875800000007E-3</v>
      </c>
      <c r="Q64" s="246">
        <f>_xll.RtGet("DTSIMI1",N64,$Q$3)/100</f>
        <v>-3.7422875800000007E-3</v>
      </c>
      <c r="R64" s="246">
        <f t="shared" si="25"/>
        <v>-3.7422875800000007E-3</v>
      </c>
      <c r="S64" s="315"/>
      <c r="T64" s="293" t="e">
        <f>IF(ISBLANK(S64),_xll.qlSimpleQuoteSetValue(O64,R64),_xll.qlSimpleQuoteSetValue(O64,S64))</f>
        <v>#N/A</v>
      </c>
      <c r="U64" s="243"/>
      <c r="V64" s="245" t="s">
        <v>91</v>
      </c>
      <c r="W64" s="245" t="s">
        <v>47</v>
      </c>
      <c r="X64" s="125"/>
      <c r="Y64" s="125"/>
      <c r="Z64" s="125"/>
      <c r="AA64" s="125"/>
      <c r="AB64" s="125"/>
      <c r="AC64" s="321"/>
      <c r="AD64" s="295"/>
      <c r="AE64" s="248"/>
      <c r="AF64" s="245" t="s">
        <v>91</v>
      </c>
      <c r="AG64" s="245" t="s">
        <v>47</v>
      </c>
      <c r="AH64" s="125"/>
      <c r="AI64" s="125"/>
      <c r="AJ64" s="125"/>
      <c r="AK64" s="125"/>
      <c r="AL64" s="125"/>
      <c r="AM64" s="321"/>
      <c r="AN64" s="125"/>
      <c r="AO64" s="243"/>
      <c r="AP64" s="245" t="s">
        <v>91</v>
      </c>
      <c r="AQ64" s="245" t="s">
        <v>47</v>
      </c>
      <c r="AR64" s="125"/>
      <c r="AS64" s="125"/>
      <c r="AT64" s="125"/>
      <c r="AU64" s="125"/>
      <c r="AV64" s="125"/>
      <c r="AW64" s="321"/>
      <c r="AX64" s="125"/>
    </row>
    <row r="65" spans="1:50" x14ac:dyDescent="0.2">
      <c r="A65" s="404"/>
      <c r="B65" s="245" t="s">
        <v>68</v>
      </c>
      <c r="C65" s="245" t="s">
        <v>149</v>
      </c>
      <c r="D65" s="245" t="str">
        <f t="shared" si="23"/>
        <v>EURONOIS16M=</v>
      </c>
      <c r="E65" s="245" t="str">
        <f>_xll.qlSimpleQuote(D65,,RateTickValue,Permanent,Trigger,ObjectOverwrite)</f>
        <v>EURONOIS16M=#0006</v>
      </c>
      <c r="F65" s="246">
        <f>_xll.RtGet("DTSIMI1",D65,$F$3)/100</f>
        <v>-3.5082024300000002E-3</v>
      </c>
      <c r="G65" s="246">
        <f>_xll.RtGet("DTSIMI1",D65,$G$3)/100</f>
        <v>-3.5082024300000002E-3</v>
      </c>
      <c r="H65" s="246">
        <f t="shared" si="24"/>
        <v>-3.5082024300000002E-3</v>
      </c>
      <c r="I65" s="315"/>
      <c r="J65" s="293" t="e">
        <f>IF(ISBLANK(I65),_xll.qlSimpleQuoteSetValue(E65,H65),_xll.qlSimpleQuoteSetValue(E65,I65))</f>
        <v>#N/A</v>
      </c>
      <c r="K65" s="247"/>
      <c r="L65" s="274" t="s">
        <v>91</v>
      </c>
      <c r="M65" s="274" t="s">
        <v>149</v>
      </c>
      <c r="N65" s="275"/>
      <c r="O65" s="275"/>
      <c r="P65" s="275"/>
      <c r="Q65" s="275"/>
      <c r="R65" s="275"/>
      <c r="S65" s="329"/>
      <c r="T65" s="275"/>
      <c r="U65" s="243"/>
      <c r="V65" s="245" t="s">
        <v>91</v>
      </c>
      <c r="W65" s="245" t="s">
        <v>149</v>
      </c>
      <c r="X65" s="125"/>
      <c r="Y65" s="125"/>
      <c r="Z65" s="125"/>
      <c r="AA65" s="125"/>
      <c r="AB65" s="125"/>
      <c r="AC65" s="321"/>
      <c r="AD65" s="295"/>
      <c r="AE65" s="248"/>
      <c r="AF65" s="245" t="s">
        <v>91</v>
      </c>
      <c r="AG65" s="245" t="s">
        <v>149</v>
      </c>
      <c r="AH65" s="125"/>
      <c r="AI65" s="125"/>
      <c r="AJ65" s="125"/>
      <c r="AK65" s="125"/>
      <c r="AL65" s="125"/>
      <c r="AM65" s="321"/>
      <c r="AN65" s="125"/>
      <c r="AO65" s="243"/>
      <c r="AP65" s="245" t="s">
        <v>91</v>
      </c>
      <c r="AQ65" s="245" t="s">
        <v>149</v>
      </c>
      <c r="AR65" s="125"/>
      <c r="AS65" s="125"/>
      <c r="AT65" s="125"/>
      <c r="AU65" s="125"/>
      <c r="AV65" s="125"/>
      <c r="AW65" s="321"/>
      <c r="AX65" s="125"/>
    </row>
    <row r="66" spans="1:50" x14ac:dyDescent="0.2">
      <c r="A66" s="404"/>
      <c r="B66" s="245" t="s">
        <v>68</v>
      </c>
      <c r="C66" s="245" t="s">
        <v>150</v>
      </c>
      <c r="D66" s="245" t="str">
        <f t="shared" si="23"/>
        <v>EURONOIS17M=</v>
      </c>
      <c r="E66" s="245" t="str">
        <f>_xll.qlSimpleQuote(D66,,RateTickValue,Permanent,Trigger,ObjectOverwrite)</f>
        <v>EURONOIS17M=#0006</v>
      </c>
      <c r="F66" s="246">
        <f>_xll.RtGet("DTSIMI1",D66,$F$3)/100</f>
        <v>-3.4945776900000003E-3</v>
      </c>
      <c r="G66" s="246">
        <f>_xll.RtGet("DTSIMI1",D66,$G$3)/100</f>
        <v>-3.4945776900000003E-3</v>
      </c>
      <c r="H66" s="246">
        <f t="shared" si="24"/>
        <v>-3.4945776900000003E-3</v>
      </c>
      <c r="I66" s="315"/>
      <c r="J66" s="293" t="e">
        <f>IF(ISBLANK(I66),_xll.qlSimpleQuoteSetValue(E66,H66),_xll.qlSimpleQuoteSetValue(E66,I66))</f>
        <v>#N/A</v>
      </c>
      <c r="K66" s="247"/>
      <c r="L66" s="269" t="s">
        <v>91</v>
      </c>
      <c r="M66" s="269" t="s">
        <v>150</v>
      </c>
      <c r="N66" s="278"/>
      <c r="O66" s="278"/>
      <c r="P66" s="278"/>
      <c r="Q66" s="278"/>
      <c r="R66" s="278"/>
      <c r="S66" s="328"/>
      <c r="T66" s="278"/>
      <c r="U66" s="243"/>
      <c r="V66" s="245" t="s">
        <v>91</v>
      </c>
      <c r="W66" s="245" t="s">
        <v>150</v>
      </c>
      <c r="X66" s="125"/>
      <c r="Y66" s="125"/>
      <c r="Z66" s="125"/>
      <c r="AA66" s="125"/>
      <c r="AB66" s="125"/>
      <c r="AC66" s="321"/>
      <c r="AD66" s="295"/>
      <c r="AE66" s="248"/>
      <c r="AF66" s="245" t="s">
        <v>91</v>
      </c>
      <c r="AG66" s="245" t="s">
        <v>150</v>
      </c>
      <c r="AH66" s="125"/>
      <c r="AI66" s="125"/>
      <c r="AJ66" s="125"/>
      <c r="AK66" s="125"/>
      <c r="AL66" s="125"/>
      <c r="AM66" s="321"/>
      <c r="AN66" s="125"/>
      <c r="AO66" s="243"/>
      <c r="AP66" s="245" t="s">
        <v>91</v>
      </c>
      <c r="AQ66" s="245" t="s">
        <v>150</v>
      </c>
      <c r="AR66" s="125"/>
      <c r="AS66" s="125"/>
      <c r="AT66" s="125"/>
      <c r="AU66" s="125"/>
      <c r="AV66" s="125"/>
      <c r="AW66" s="321"/>
      <c r="AX66" s="125"/>
    </row>
    <row r="67" spans="1:50" x14ac:dyDescent="0.2">
      <c r="A67" s="404"/>
      <c r="B67" s="245" t="s">
        <v>68</v>
      </c>
      <c r="C67" s="245" t="s">
        <v>48</v>
      </c>
      <c r="D67" s="245" t="str">
        <f t="shared" si="23"/>
        <v>EURONOIS18M=</v>
      </c>
      <c r="E67" s="245" t="str">
        <f>_xll.qlSimpleQuote(D67,,RateTickValue,Permanent,Trigger,ObjectOverwrite)</f>
        <v>EURONOIS18M=#0006</v>
      </c>
      <c r="F67" s="246">
        <f>_xll.RtGet("DTSIMI1",D67,$F$3)/100</f>
        <v>-3.4800000000000005E-3</v>
      </c>
      <c r="G67" s="246">
        <f>_xll.RtGet("DTSIMI1",D67,$G$3)/100</f>
        <v>-3.4800000000000005E-3</v>
      </c>
      <c r="H67" s="246">
        <f t="shared" si="24"/>
        <v>-3.4800000000000005E-3</v>
      </c>
      <c r="I67" s="315"/>
      <c r="J67" s="293" t="e">
        <f>IF(ISBLANK(I67),_xll.qlSimpleQuoteSetValue(E67,H67),_xll.qlSimpleQuoteSetValue(E67,I67))</f>
        <v>#N/A</v>
      </c>
      <c r="K67" s="247"/>
      <c r="L67" s="245" t="s">
        <v>91</v>
      </c>
      <c r="M67" s="245" t="s">
        <v>48</v>
      </c>
      <c r="N67" s="245" t="str">
        <f t="shared" si="22"/>
        <v>EUR1MSW18M=</v>
      </c>
      <c r="O67" s="245" t="str">
        <f>_xll.qlSimpleQuote(N67,,RateTickValue,Permanent,Trigger,ObjectOverwrite)</f>
        <v>EUR1MSW18M=#0006</v>
      </c>
      <c r="P67" s="246">
        <f>_xll.RtGet("DTSIMI1",N67,$P$3)/100</f>
        <v>-3.7099829400000003E-3</v>
      </c>
      <c r="Q67" s="246">
        <f>_xll.RtGet("DTSIMI1",N67,$Q$3)/100</f>
        <v>-3.7099829400000003E-3</v>
      </c>
      <c r="R67" s="246">
        <f t="shared" si="25"/>
        <v>-3.7099829400000003E-3</v>
      </c>
      <c r="S67" s="315"/>
      <c r="T67" s="293" t="e">
        <f>IF(ISBLANK(S67),_xll.qlSimpleQuoteSetValue(O67,R67),_xll.qlSimpleQuoteSetValue(O67,S67))</f>
        <v>#N/A</v>
      </c>
      <c r="U67" s="243"/>
      <c r="V67" s="245" t="s">
        <v>91</v>
      </c>
      <c r="W67" s="245" t="s">
        <v>48</v>
      </c>
      <c r="X67" s="125"/>
      <c r="Y67" s="125"/>
      <c r="Z67" s="125"/>
      <c r="AA67" s="125"/>
      <c r="AB67" s="125"/>
      <c r="AC67" s="321"/>
      <c r="AD67" s="295"/>
      <c r="AE67" s="248"/>
      <c r="AF67" s="245" t="s">
        <v>91</v>
      </c>
      <c r="AG67" s="245" t="s">
        <v>48</v>
      </c>
      <c r="AH67" s="125"/>
      <c r="AI67" s="125"/>
      <c r="AJ67" s="125"/>
      <c r="AK67" s="125"/>
      <c r="AL67" s="125"/>
      <c r="AM67" s="321"/>
      <c r="AN67" s="125"/>
      <c r="AO67" s="243"/>
      <c r="AP67" s="245" t="s">
        <v>91</v>
      </c>
      <c r="AQ67" s="245" t="s">
        <v>48</v>
      </c>
      <c r="AR67" s="125"/>
      <c r="AS67" s="125"/>
      <c r="AT67" s="125"/>
      <c r="AU67" s="125"/>
      <c r="AV67" s="125"/>
      <c r="AW67" s="321"/>
      <c r="AX67" s="125"/>
    </row>
    <row r="68" spans="1:50" x14ac:dyDescent="0.2">
      <c r="A68" s="404"/>
      <c r="B68" s="245" t="s">
        <v>68</v>
      </c>
      <c r="C68" s="245" t="s">
        <v>151</v>
      </c>
      <c r="D68" s="245" t="str">
        <f t="shared" ref="D68:D99" si="26">IF(B68="","",UPPER(Currency)&amp;$B$2&amp;B68&amp;C68&amp;"=")</f>
        <v>EURONOIS19M=</v>
      </c>
      <c r="E68" s="245" t="str">
        <f>_xll.qlSimpleQuote(D68,,RateTickValue,Permanent,Trigger,ObjectOverwrite)</f>
        <v>EURONOIS19M=#0006</v>
      </c>
      <c r="F68" s="246">
        <f>_xll.RtGet("DTSIMI1",D68,$F$3)/100</f>
        <v>-3.4647627700000001E-3</v>
      </c>
      <c r="G68" s="246">
        <f>_xll.RtGet("DTSIMI1",D68,$G$3)/100</f>
        <v>-3.4647627700000001E-3</v>
      </c>
      <c r="H68" s="246">
        <f t="shared" si="24"/>
        <v>-3.4647627700000001E-3</v>
      </c>
      <c r="I68" s="315"/>
      <c r="J68" s="293" t="e">
        <f>IF(ISBLANK(I68),_xll.qlSimpleQuoteSetValue(E68,H68),_xll.qlSimpleQuoteSetValue(E68,I68))</f>
        <v>#N/A</v>
      </c>
      <c r="K68" s="247"/>
      <c r="L68" s="274" t="s">
        <v>91</v>
      </c>
      <c r="M68" s="274" t="s">
        <v>151</v>
      </c>
      <c r="N68" s="275"/>
      <c r="O68" s="275"/>
      <c r="P68" s="275"/>
      <c r="Q68" s="275"/>
      <c r="R68" s="275"/>
      <c r="S68" s="329"/>
      <c r="T68" s="275"/>
      <c r="U68" s="243"/>
      <c r="V68" s="245" t="s">
        <v>91</v>
      </c>
      <c r="W68" s="245" t="s">
        <v>151</v>
      </c>
      <c r="X68" s="125"/>
      <c r="Y68" s="125"/>
      <c r="Z68" s="125"/>
      <c r="AA68" s="125"/>
      <c r="AB68" s="125"/>
      <c r="AC68" s="321"/>
      <c r="AD68" s="295"/>
      <c r="AE68" s="248"/>
      <c r="AF68" s="245" t="s">
        <v>91</v>
      </c>
      <c r="AG68" s="245" t="s">
        <v>151</v>
      </c>
      <c r="AH68" s="125"/>
      <c r="AI68" s="125"/>
      <c r="AJ68" s="125"/>
      <c r="AK68" s="125"/>
      <c r="AL68" s="125"/>
      <c r="AM68" s="321"/>
      <c r="AN68" s="125"/>
      <c r="AO68" s="243"/>
      <c r="AP68" s="245" t="s">
        <v>91</v>
      </c>
      <c r="AQ68" s="245" t="s">
        <v>151</v>
      </c>
      <c r="AR68" s="125"/>
      <c r="AS68" s="125"/>
      <c r="AT68" s="125"/>
      <c r="AU68" s="125"/>
      <c r="AV68" s="125"/>
      <c r="AW68" s="321"/>
      <c r="AX68" s="125"/>
    </row>
    <row r="69" spans="1:50" x14ac:dyDescent="0.2">
      <c r="A69" s="404"/>
      <c r="B69" s="245" t="s">
        <v>68</v>
      </c>
      <c r="C69" s="245" t="s">
        <v>152</v>
      </c>
      <c r="D69" s="245" t="str">
        <f t="shared" si="26"/>
        <v>EURONOIS20M=</v>
      </c>
      <c r="E69" s="245" t="str">
        <f>_xll.qlSimpleQuote(D69,,RateTickValue,Permanent,Trigger,ObjectOverwrite)</f>
        <v>EURONOIS20M=#0006</v>
      </c>
      <c r="F69" s="246">
        <f>_xll.RtGet("DTSIMI1",D69,$F$3)/100</f>
        <v>-3.44865046E-3</v>
      </c>
      <c r="G69" s="246">
        <f>_xll.RtGet("DTSIMI1",D69,$G$3)/100</f>
        <v>-3.44865046E-3</v>
      </c>
      <c r="H69" s="246">
        <f t="shared" si="24"/>
        <v>-3.44865046E-3</v>
      </c>
      <c r="I69" s="315"/>
      <c r="J69" s="293" t="e">
        <f>IF(ISBLANK(I69),_xll.qlSimpleQuoteSetValue(E69,H69),_xll.qlSimpleQuoteSetValue(E69,I69))</f>
        <v>#N/A</v>
      </c>
      <c r="K69" s="247"/>
      <c r="L69" s="269" t="s">
        <v>91</v>
      </c>
      <c r="M69" s="269" t="s">
        <v>152</v>
      </c>
      <c r="N69" s="278"/>
      <c r="O69" s="278"/>
      <c r="P69" s="278"/>
      <c r="Q69" s="278"/>
      <c r="R69" s="278"/>
      <c r="S69" s="328"/>
      <c r="T69" s="278"/>
      <c r="U69" s="243"/>
      <c r="V69" s="245" t="s">
        <v>91</v>
      </c>
      <c r="W69" s="245" t="s">
        <v>152</v>
      </c>
      <c r="X69" s="125"/>
      <c r="Y69" s="125"/>
      <c r="Z69" s="125"/>
      <c r="AA69" s="125"/>
      <c r="AB69" s="125"/>
      <c r="AC69" s="321"/>
      <c r="AD69" s="295"/>
      <c r="AE69" s="248"/>
      <c r="AF69" s="245" t="s">
        <v>91</v>
      </c>
      <c r="AG69" s="245" t="s">
        <v>152</v>
      </c>
      <c r="AH69" s="125"/>
      <c r="AI69" s="125"/>
      <c r="AJ69" s="125"/>
      <c r="AK69" s="125"/>
      <c r="AL69" s="125"/>
      <c r="AM69" s="321"/>
      <c r="AN69" s="125"/>
      <c r="AO69" s="243"/>
      <c r="AP69" s="245" t="s">
        <v>91</v>
      </c>
      <c r="AQ69" s="245" t="s">
        <v>152</v>
      </c>
      <c r="AR69" s="125"/>
      <c r="AS69" s="125"/>
      <c r="AT69" s="125"/>
      <c r="AU69" s="125"/>
      <c r="AV69" s="125"/>
      <c r="AW69" s="321"/>
      <c r="AX69" s="125"/>
    </row>
    <row r="70" spans="1:50" x14ac:dyDescent="0.2">
      <c r="A70" s="404"/>
      <c r="B70" s="245" t="s">
        <v>68</v>
      </c>
      <c r="C70" s="245" t="s">
        <v>49</v>
      </c>
      <c r="D70" s="245" t="str">
        <f t="shared" si="26"/>
        <v>EURONOIS21M=</v>
      </c>
      <c r="E70" s="245" t="str">
        <f>_xll.qlSimpleQuote(D70,,RateTickValue,Permanent,Trigger,ObjectOverwrite)</f>
        <v>EURONOIS21M=#0006</v>
      </c>
      <c r="F70" s="246">
        <f>_xll.RtGet("DTSIMI1",D70,$F$3)/100</f>
        <v>-3.4300000000000003E-3</v>
      </c>
      <c r="G70" s="246">
        <f>_xll.RtGet("DTSIMI1",D70,$G$3)/100</f>
        <v>-3.4300000000000003E-3</v>
      </c>
      <c r="H70" s="246">
        <f t="shared" si="24"/>
        <v>-3.4300000000000003E-3</v>
      </c>
      <c r="I70" s="315"/>
      <c r="J70" s="293" t="e">
        <f>IF(ISBLANK(I70),_xll.qlSimpleQuoteSetValue(E70,H70),_xll.qlSimpleQuoteSetValue(E70,I70))</f>
        <v>#N/A</v>
      </c>
      <c r="K70" s="247"/>
      <c r="L70" s="245" t="s">
        <v>91</v>
      </c>
      <c r="M70" s="245" t="s">
        <v>49</v>
      </c>
      <c r="N70" s="245" t="str">
        <f t="shared" ref="N70:N99" si="27">IF(L70="","",UPPER(Currency)&amp;$L$2&amp;L70&amp;M70&amp;"=")</f>
        <v>EUR1MSW21M=</v>
      </c>
      <c r="O70" s="245" t="str">
        <f>_xll.qlSimpleQuote(N70,,RateTickValue,Permanent,Trigger,ObjectOverwrite)</f>
        <v>EUR1MSW21M=#0006</v>
      </c>
      <c r="P70" s="246">
        <f>_xll.RtGet("DTSIMI1",N70,$P$3)/100</f>
        <v>-3.6571684200000006E-3</v>
      </c>
      <c r="Q70" s="246">
        <f>_xll.RtGet("DTSIMI1",N70,$Q$3)/100</f>
        <v>-3.6571684200000006E-3</v>
      </c>
      <c r="R70" s="246">
        <f t="shared" si="25"/>
        <v>-3.6571684200000006E-3</v>
      </c>
      <c r="S70" s="315"/>
      <c r="T70" s="293" t="e">
        <f>IF(ISBLANK(S70),_xll.qlSimpleQuoteSetValue(O70,R70),_xll.qlSimpleQuoteSetValue(O70,S70))</f>
        <v>#N/A</v>
      </c>
      <c r="U70" s="243"/>
      <c r="V70" s="245" t="s">
        <v>91</v>
      </c>
      <c r="W70" s="245" t="s">
        <v>49</v>
      </c>
      <c r="X70" s="125"/>
      <c r="Y70" s="125"/>
      <c r="Z70" s="125"/>
      <c r="AA70" s="125"/>
      <c r="AB70" s="125"/>
      <c r="AC70" s="321"/>
      <c r="AD70" s="295"/>
      <c r="AE70" s="248"/>
      <c r="AF70" s="245" t="s">
        <v>91</v>
      </c>
      <c r="AG70" s="245" t="s">
        <v>49</v>
      </c>
      <c r="AH70" s="125"/>
      <c r="AI70" s="125"/>
      <c r="AJ70" s="125"/>
      <c r="AK70" s="125"/>
      <c r="AL70" s="125"/>
      <c r="AM70" s="321"/>
      <c r="AN70" s="125"/>
      <c r="AO70" s="243"/>
      <c r="AP70" s="245" t="s">
        <v>91</v>
      </c>
      <c r="AQ70" s="245" t="s">
        <v>49</v>
      </c>
      <c r="AR70" s="125"/>
      <c r="AS70" s="125"/>
      <c r="AT70" s="125"/>
      <c r="AU70" s="125"/>
      <c r="AV70" s="125"/>
      <c r="AW70" s="321"/>
      <c r="AX70" s="125"/>
    </row>
    <row r="71" spans="1:50" x14ac:dyDescent="0.2">
      <c r="A71" s="404"/>
      <c r="B71" s="245" t="s">
        <v>68</v>
      </c>
      <c r="C71" s="245" t="s">
        <v>153</v>
      </c>
      <c r="D71" s="245" t="str">
        <f t="shared" si="26"/>
        <v>EURONOIS22M=</v>
      </c>
      <c r="E71" s="245" t="str">
        <f>_xll.qlSimpleQuote(D71,,RateTickValue,Permanent,Trigger,ObjectOverwrite)</f>
        <v>EURONOIS22M=#0006</v>
      </c>
      <c r="F71" s="246">
        <f>_xll.RtGet("DTSIMI1",D71,$F$3)/100</f>
        <v>-3.4105212100000006E-3</v>
      </c>
      <c r="G71" s="246">
        <f>_xll.RtGet("DTSIMI1",D71,$G$3)/100</f>
        <v>-3.4105212100000006E-3</v>
      </c>
      <c r="H71" s="246">
        <f t="shared" si="24"/>
        <v>-3.4105212100000006E-3</v>
      </c>
      <c r="I71" s="315"/>
      <c r="J71" s="293" t="e">
        <f>IF(ISBLANK(I71),_xll.qlSimpleQuoteSetValue(E71,H71),_xll.qlSimpleQuoteSetValue(E71,I71))</f>
        <v>#N/A</v>
      </c>
      <c r="K71" s="247"/>
      <c r="L71" s="274" t="s">
        <v>91</v>
      </c>
      <c r="M71" s="274" t="s">
        <v>153</v>
      </c>
      <c r="N71" s="275"/>
      <c r="O71" s="275"/>
      <c r="P71" s="275"/>
      <c r="Q71" s="275"/>
      <c r="R71" s="275"/>
      <c r="S71" s="329"/>
      <c r="T71" s="275"/>
      <c r="U71" s="243"/>
      <c r="V71" s="245" t="s">
        <v>91</v>
      </c>
      <c r="W71" s="245" t="s">
        <v>153</v>
      </c>
      <c r="X71" s="125"/>
      <c r="Y71" s="125"/>
      <c r="Z71" s="125"/>
      <c r="AA71" s="125"/>
      <c r="AB71" s="125"/>
      <c r="AC71" s="321"/>
      <c r="AD71" s="295"/>
      <c r="AE71" s="248"/>
      <c r="AF71" s="245" t="s">
        <v>91</v>
      </c>
      <c r="AG71" s="245" t="s">
        <v>153</v>
      </c>
      <c r="AH71" s="125"/>
      <c r="AI71" s="125"/>
      <c r="AJ71" s="125"/>
      <c r="AK71" s="125"/>
      <c r="AL71" s="125"/>
      <c r="AM71" s="321"/>
      <c r="AN71" s="125"/>
      <c r="AO71" s="243"/>
      <c r="AP71" s="245" t="s">
        <v>91</v>
      </c>
      <c r="AQ71" s="245" t="s">
        <v>153</v>
      </c>
      <c r="AR71" s="125"/>
      <c r="AS71" s="125"/>
      <c r="AT71" s="125"/>
      <c r="AU71" s="125"/>
      <c r="AV71" s="125"/>
      <c r="AW71" s="321"/>
      <c r="AX71" s="125"/>
    </row>
    <row r="72" spans="1:50" x14ac:dyDescent="0.2">
      <c r="A72" s="404"/>
      <c r="B72" s="245" t="s">
        <v>68</v>
      </c>
      <c r="C72" s="245" t="s">
        <v>154</v>
      </c>
      <c r="D72" s="245" t="str">
        <f t="shared" si="26"/>
        <v>EURONOIS23M=</v>
      </c>
      <c r="E72" s="245" t="str">
        <f>_xll.qlSimpleQuote(D72,,RateTickValue,Permanent,Trigger,ObjectOverwrite)</f>
        <v>EURONOIS23M=#0006</v>
      </c>
      <c r="F72" s="246">
        <f>_xll.RtGet("DTSIMI1",D72,$F$3)/100</f>
        <v>-3.3875869200000004E-3</v>
      </c>
      <c r="G72" s="246">
        <f>_xll.RtGet("DTSIMI1",D72,$G$3)/100</f>
        <v>-3.3875869200000004E-3</v>
      </c>
      <c r="H72" s="246">
        <f t="shared" si="24"/>
        <v>-3.3875869200000004E-3</v>
      </c>
      <c r="I72" s="315"/>
      <c r="J72" s="293" t="e">
        <f>IF(ISBLANK(I72),_xll.qlSimpleQuoteSetValue(E72,H72),_xll.qlSimpleQuoteSetValue(E72,I72))</f>
        <v>#N/A</v>
      </c>
      <c r="K72" s="247"/>
      <c r="L72" s="269" t="s">
        <v>91</v>
      </c>
      <c r="M72" s="269" t="s">
        <v>154</v>
      </c>
      <c r="N72" s="278"/>
      <c r="O72" s="278"/>
      <c r="P72" s="278"/>
      <c r="Q72" s="278"/>
      <c r="R72" s="278"/>
      <c r="S72" s="328"/>
      <c r="T72" s="278"/>
      <c r="U72" s="243"/>
      <c r="V72" s="245" t="s">
        <v>91</v>
      </c>
      <c r="W72" s="245" t="s">
        <v>154</v>
      </c>
      <c r="X72" s="125"/>
      <c r="Y72" s="125"/>
      <c r="Z72" s="125"/>
      <c r="AA72" s="125"/>
      <c r="AB72" s="125"/>
      <c r="AC72" s="321"/>
      <c r="AD72" s="295"/>
      <c r="AE72" s="248"/>
      <c r="AF72" s="245" t="s">
        <v>91</v>
      </c>
      <c r="AG72" s="245" t="s">
        <v>154</v>
      </c>
      <c r="AH72" s="125"/>
      <c r="AI72" s="125"/>
      <c r="AJ72" s="125"/>
      <c r="AK72" s="125"/>
      <c r="AL72" s="125"/>
      <c r="AM72" s="321"/>
      <c r="AN72" s="125"/>
      <c r="AO72" s="243"/>
      <c r="AP72" s="245" t="s">
        <v>91</v>
      </c>
      <c r="AQ72" s="245" t="s">
        <v>154</v>
      </c>
      <c r="AR72" s="125"/>
      <c r="AS72" s="125"/>
      <c r="AT72" s="125"/>
      <c r="AU72" s="125"/>
      <c r="AV72" s="125"/>
      <c r="AW72" s="321"/>
      <c r="AX72" s="125"/>
    </row>
    <row r="73" spans="1:50" x14ac:dyDescent="0.2">
      <c r="A73" s="404"/>
      <c r="B73" s="245" t="s">
        <v>68</v>
      </c>
      <c r="C73" s="245" t="s">
        <v>50</v>
      </c>
      <c r="D73" s="245" t="str">
        <f t="shared" si="26"/>
        <v>EURONOIS2Y=</v>
      </c>
      <c r="E73" s="245" t="str">
        <f>_xll.qlSimpleQuote(D73,,RateTickValue,Permanent,Trigger,ObjectOverwrite)</f>
        <v>EURONOIS2Y=#0006</v>
      </c>
      <c r="F73" s="246">
        <f>_xll.RtGet("DTSIMI1",D73,$F$3)/100</f>
        <v>-3.3600000000000001E-3</v>
      </c>
      <c r="G73" s="246">
        <f>_xll.RtGet("DTSIMI1",D73,$G$3)/100</f>
        <v>-3.3600000000000001E-3</v>
      </c>
      <c r="H73" s="246">
        <f t="shared" si="24"/>
        <v>-3.3600000000000001E-3</v>
      </c>
      <c r="I73" s="315"/>
      <c r="J73" s="293" t="e">
        <f>IF(ISBLANK(I73),_xll.qlSimpleQuoteSetValue(E73,H73),_xll.qlSimpleQuoteSetValue(E73,I73))</f>
        <v>#N/A</v>
      </c>
      <c r="K73" s="247"/>
      <c r="L73" s="245" t="s">
        <v>91</v>
      </c>
      <c r="M73" s="245" t="s">
        <v>50</v>
      </c>
      <c r="N73" s="245" t="str">
        <f t="shared" si="27"/>
        <v>EUR1MSW2Y=</v>
      </c>
      <c r="O73" s="245" t="str">
        <f>_xll.qlSimpleQuote(N73,,RateTickValue,Permanent,Trigger,ObjectOverwrite)</f>
        <v>EUR1MSW2Y=#0006</v>
      </c>
      <c r="P73" s="246">
        <f>_xll.RtGet("DTSIMI1",N73,$P$3)/100</f>
        <v>-3.5799999999999998E-3</v>
      </c>
      <c r="Q73" s="246">
        <f>_xll.RtGet("DTSIMI1",N73,$Q$3)/100</f>
        <v>-3.5799999999999998E-3</v>
      </c>
      <c r="R73" s="246">
        <f t="shared" si="25"/>
        <v>-3.5799999999999998E-3</v>
      </c>
      <c r="S73" s="315"/>
      <c r="T73" s="293" t="e">
        <f>IF(ISBLANK(S73),_xll.qlSimpleQuoteSetValue(O73,R73),_xll.qlSimpleQuoteSetValue(O73,S73))</f>
        <v>#N/A</v>
      </c>
      <c r="U73" s="243"/>
      <c r="V73" s="245" t="s">
        <v>91</v>
      </c>
      <c r="W73" s="245" t="s">
        <v>50</v>
      </c>
      <c r="X73" s="125"/>
      <c r="Y73" s="125"/>
      <c r="Z73" s="125"/>
      <c r="AA73" s="125"/>
      <c r="AB73" s="125"/>
      <c r="AC73" s="321"/>
      <c r="AD73" s="295"/>
      <c r="AE73" s="248"/>
      <c r="AF73" s="245" t="s">
        <v>91</v>
      </c>
      <c r="AG73" s="245" t="s">
        <v>50</v>
      </c>
      <c r="AH73" s="125"/>
      <c r="AI73" s="125"/>
      <c r="AJ73" s="125"/>
      <c r="AK73" s="125"/>
      <c r="AL73" s="125"/>
      <c r="AM73" s="321"/>
      <c r="AN73" s="125"/>
      <c r="AO73" s="243"/>
      <c r="AP73" s="245" t="s">
        <v>91</v>
      </c>
      <c r="AQ73" s="245" t="s">
        <v>50</v>
      </c>
      <c r="AR73" s="125"/>
      <c r="AS73" s="125"/>
      <c r="AT73" s="125"/>
      <c r="AU73" s="125"/>
      <c r="AV73" s="125"/>
      <c r="AW73" s="321"/>
      <c r="AX73" s="125"/>
    </row>
    <row r="74" spans="1:50" x14ac:dyDescent="0.2">
      <c r="A74" s="405"/>
      <c r="B74" s="273" t="s">
        <v>68</v>
      </c>
      <c r="C74" s="274" t="s">
        <v>155</v>
      </c>
      <c r="D74" s="275"/>
      <c r="E74" s="275"/>
      <c r="F74" s="275"/>
      <c r="G74" s="275"/>
      <c r="H74" s="275"/>
      <c r="I74" s="325"/>
      <c r="J74" s="299"/>
      <c r="K74" s="247"/>
      <c r="L74" s="245" t="s">
        <v>91</v>
      </c>
      <c r="M74" s="245" t="s">
        <v>155</v>
      </c>
      <c r="N74" s="245" t="str">
        <f t="shared" si="27"/>
        <v>EUR1MSW2Y3M=</v>
      </c>
      <c r="O74" s="245" t="str">
        <f>_xll.qlSimpleQuote(N74,,RateTickValue,Permanent,Trigger,ObjectOverwrite)</f>
        <v>EUR1MSW2Y3M=#0006</v>
      </c>
      <c r="P74" s="246">
        <f>_xll.RtGet("DTSIMI1",N74,$P$3)/100</f>
        <v>-3.4724963099999999E-3</v>
      </c>
      <c r="Q74" s="246">
        <f>_xll.RtGet("DTSIMI1",N74,$Q$3)/100</f>
        <v>-3.4724963099999999E-3</v>
      </c>
      <c r="R74" s="246">
        <f t="shared" si="25"/>
        <v>-3.4724963099999999E-3</v>
      </c>
      <c r="S74" s="315"/>
      <c r="T74" s="293" t="e">
        <f>IF(ISBLANK(S74),_xll.qlSimpleQuoteSetValue(O74,R74),_xll.qlSimpleQuoteSetValue(O74,S74))</f>
        <v>#N/A</v>
      </c>
      <c r="U74" s="243"/>
      <c r="V74" s="245" t="s">
        <v>91</v>
      </c>
      <c r="W74" s="245" t="s">
        <v>155</v>
      </c>
      <c r="X74" s="125"/>
      <c r="Y74" s="125"/>
      <c r="Z74" s="125"/>
      <c r="AA74" s="125"/>
      <c r="AB74" s="125"/>
      <c r="AC74" s="321"/>
      <c r="AD74" s="295"/>
      <c r="AE74" s="248"/>
      <c r="AF74" s="245" t="s">
        <v>91</v>
      </c>
      <c r="AG74" s="245" t="s">
        <v>155</v>
      </c>
      <c r="AH74" s="125"/>
      <c r="AI74" s="125"/>
      <c r="AJ74" s="125"/>
      <c r="AK74" s="125"/>
      <c r="AL74" s="125"/>
      <c r="AM74" s="321"/>
      <c r="AN74" s="125"/>
      <c r="AO74" s="243"/>
      <c r="AP74" s="245" t="s">
        <v>91</v>
      </c>
      <c r="AQ74" s="245" t="s">
        <v>155</v>
      </c>
      <c r="AR74" s="125"/>
      <c r="AS74" s="125"/>
      <c r="AT74" s="125"/>
      <c r="AU74" s="125"/>
      <c r="AV74" s="125"/>
      <c r="AW74" s="321"/>
      <c r="AX74" s="125"/>
    </row>
    <row r="75" spans="1:50" x14ac:dyDescent="0.2">
      <c r="A75" s="405"/>
      <c r="B75" s="276" t="s">
        <v>68</v>
      </c>
      <c r="C75" s="245" t="s">
        <v>156</v>
      </c>
      <c r="D75" s="125"/>
      <c r="E75" s="125"/>
      <c r="F75" s="125"/>
      <c r="G75" s="125"/>
      <c r="H75" s="125"/>
      <c r="I75" s="326"/>
      <c r="J75" s="300"/>
      <c r="K75" s="247"/>
      <c r="L75" s="245" t="s">
        <v>91</v>
      </c>
      <c r="M75" s="245" t="s">
        <v>156</v>
      </c>
      <c r="N75" s="245" t="str">
        <f t="shared" si="27"/>
        <v>EUR1MSW2Y6M=</v>
      </c>
      <c r="O75" s="245" t="str">
        <f>_xll.qlSimpleQuote(N75,,RateTickValue,Permanent,Trigger,ObjectOverwrite)</f>
        <v>EUR1MSW2Y6M=#0006</v>
      </c>
      <c r="P75" s="246">
        <f>_xll.RtGet("DTSIMI1",N75,$P$3)/100</f>
        <v>-3.3527301600000002E-3</v>
      </c>
      <c r="Q75" s="246">
        <f>_xll.RtGet("DTSIMI1",N75,$Q$3)/100</f>
        <v>-3.3527301600000002E-3</v>
      </c>
      <c r="R75" s="246">
        <f t="shared" si="25"/>
        <v>-3.3527301600000002E-3</v>
      </c>
      <c r="S75" s="315"/>
      <c r="T75" s="293" t="e">
        <f>IF(ISBLANK(S75),_xll.qlSimpleQuoteSetValue(O75,R75),_xll.qlSimpleQuoteSetValue(O75,S75))</f>
        <v>#N/A</v>
      </c>
      <c r="U75" s="243"/>
      <c r="V75" s="245" t="s">
        <v>91</v>
      </c>
      <c r="W75" s="245" t="s">
        <v>156</v>
      </c>
      <c r="X75" s="125"/>
      <c r="Y75" s="125"/>
      <c r="Z75" s="125"/>
      <c r="AA75" s="125"/>
      <c r="AB75" s="125"/>
      <c r="AC75" s="321"/>
      <c r="AD75" s="295"/>
      <c r="AE75" s="248"/>
      <c r="AF75" s="245" t="s">
        <v>91</v>
      </c>
      <c r="AG75" s="245" t="s">
        <v>156</v>
      </c>
      <c r="AH75" s="125"/>
      <c r="AI75" s="125"/>
      <c r="AJ75" s="125"/>
      <c r="AK75" s="125"/>
      <c r="AL75" s="125"/>
      <c r="AM75" s="321"/>
      <c r="AN75" s="125"/>
      <c r="AO75" s="243"/>
      <c r="AP75" s="245" t="s">
        <v>91</v>
      </c>
      <c r="AQ75" s="245" t="s">
        <v>156</v>
      </c>
      <c r="AR75" s="125"/>
      <c r="AS75" s="125"/>
      <c r="AT75" s="125"/>
      <c r="AU75" s="125"/>
      <c r="AV75" s="125"/>
      <c r="AW75" s="321"/>
      <c r="AX75" s="125"/>
    </row>
    <row r="76" spans="1:50" x14ac:dyDescent="0.2">
      <c r="A76" s="405"/>
      <c r="B76" s="277" t="s">
        <v>68</v>
      </c>
      <c r="C76" s="269" t="s">
        <v>157</v>
      </c>
      <c r="D76" s="278"/>
      <c r="E76" s="278"/>
      <c r="F76" s="278"/>
      <c r="G76" s="278"/>
      <c r="H76" s="278"/>
      <c r="I76" s="327"/>
      <c r="J76" s="301"/>
      <c r="K76" s="247"/>
      <c r="L76" s="245" t="s">
        <v>91</v>
      </c>
      <c r="M76" s="245" t="s">
        <v>157</v>
      </c>
      <c r="N76" s="245" t="str">
        <f t="shared" si="27"/>
        <v>EUR1MSW2Y9M=</v>
      </c>
      <c r="O76" s="245" t="str">
        <f>_xll.qlSimpleQuote(N76,,RateTickValue,Permanent,Trigger,ObjectOverwrite)</f>
        <v>EUR1MSW2Y9M=#0006</v>
      </c>
      <c r="P76" s="246">
        <f>_xll.RtGet("DTSIMI1",N76,$P$3)/100</f>
        <v>-3.2221697699999999E-3</v>
      </c>
      <c r="Q76" s="246">
        <f>_xll.RtGet("DTSIMI1",N76,$Q$3)/100</f>
        <v>-3.2221697699999999E-3</v>
      </c>
      <c r="R76" s="246">
        <f t="shared" si="25"/>
        <v>-3.2221697699999999E-3</v>
      </c>
      <c r="S76" s="315"/>
      <c r="T76" s="293" t="e">
        <f>IF(ISBLANK(S76),_xll.qlSimpleQuoteSetValue(O76,R76),_xll.qlSimpleQuoteSetValue(O76,S76))</f>
        <v>#N/A</v>
      </c>
      <c r="U76" s="243"/>
      <c r="V76" s="245" t="s">
        <v>91</v>
      </c>
      <c r="W76" s="245" t="s">
        <v>157</v>
      </c>
      <c r="X76" s="125"/>
      <c r="Y76" s="125"/>
      <c r="Z76" s="125"/>
      <c r="AA76" s="125"/>
      <c r="AB76" s="125"/>
      <c r="AC76" s="321"/>
      <c r="AD76" s="295"/>
      <c r="AE76" s="248"/>
      <c r="AF76" s="269" t="s">
        <v>91</v>
      </c>
      <c r="AG76" s="269" t="s">
        <v>157</v>
      </c>
      <c r="AH76" s="278"/>
      <c r="AI76" s="278"/>
      <c r="AJ76" s="278"/>
      <c r="AK76" s="278"/>
      <c r="AL76" s="278"/>
      <c r="AM76" s="328"/>
      <c r="AN76" s="278"/>
      <c r="AO76" s="243"/>
      <c r="AP76" s="269" t="s">
        <v>91</v>
      </c>
      <c r="AQ76" s="269" t="s">
        <v>157</v>
      </c>
      <c r="AR76" s="278"/>
      <c r="AS76" s="278"/>
      <c r="AT76" s="278"/>
      <c r="AU76" s="278"/>
      <c r="AV76" s="278"/>
      <c r="AW76" s="328"/>
      <c r="AX76" s="278"/>
    </row>
    <row r="77" spans="1:50" x14ac:dyDescent="0.2">
      <c r="A77" s="404"/>
      <c r="B77" s="245" t="s">
        <v>68</v>
      </c>
      <c r="C77" s="245" t="s">
        <v>51</v>
      </c>
      <c r="D77" s="245" t="str">
        <f t="shared" si="26"/>
        <v>EURONOIS3Y=</v>
      </c>
      <c r="E77" s="245" t="str">
        <f>_xll.qlSimpleQuote(D77,,RateTickValue,Permanent,Trigger,ObjectOverwrite)</f>
        <v>EURONOIS3Y=#0006</v>
      </c>
      <c r="F77" s="246">
        <f>_xll.RtGet("DTSIMI1",D77,$F$3)/100</f>
        <v>-2.8800000000000002E-3</v>
      </c>
      <c r="G77" s="246">
        <f>_xll.RtGet("DTSIMI1",D77,$G$3)/100</f>
        <v>-2.8800000000000002E-3</v>
      </c>
      <c r="H77" s="246">
        <f t="shared" si="24"/>
        <v>-2.8800000000000002E-3</v>
      </c>
      <c r="I77" s="315"/>
      <c r="J77" s="293" t="e">
        <f>IF(ISBLANK(I77),_xll.qlSimpleQuoteSetValue(E77,H77),_xll.qlSimpleQuoteSetValue(E77,I77))</f>
        <v>#N/A</v>
      </c>
      <c r="K77" s="247"/>
      <c r="L77" s="245" t="s">
        <v>91</v>
      </c>
      <c r="M77" s="245" t="s">
        <v>51</v>
      </c>
      <c r="N77" s="245" t="str">
        <f t="shared" si="27"/>
        <v>EUR1MSW3Y=</v>
      </c>
      <c r="O77" s="245" t="str">
        <f>_xll.qlSimpleQuote(N77,,RateTickValue,Permanent,Trigger,ObjectOverwrite)</f>
        <v>EUR1MSW3Y=#0006</v>
      </c>
      <c r="P77" s="246">
        <f>_xll.RtGet("DTSIMI1",N77,$P$3)/100</f>
        <v>-3.0799999999999998E-3</v>
      </c>
      <c r="Q77" s="246">
        <f>_xll.RtGet("DTSIMI1",N77,$Q$3)/100</f>
        <v>-3.0799999999999998E-3</v>
      </c>
      <c r="R77" s="246">
        <f t="shared" si="25"/>
        <v>-3.0799999999999998E-3</v>
      </c>
      <c r="S77" s="315"/>
      <c r="T77" s="293" t="e">
        <f>IF(ISBLANK(S77),_xll.qlSimpleQuoteSetValue(O77,R77),_xll.qlSimpleQuoteSetValue(O77,S77))</f>
        <v>#N/A</v>
      </c>
      <c r="U77" s="243"/>
      <c r="V77" s="274" t="s">
        <v>91</v>
      </c>
      <c r="W77" s="274" t="s">
        <v>51</v>
      </c>
      <c r="X77" s="274" t="str">
        <f>IF(V77="","",UPPER(Currency)&amp;$V$2&amp;V77&amp;W77&amp;"=")</f>
        <v>EUR3MSW3Y=</v>
      </c>
      <c r="Y77" s="274" t="str">
        <f>_xll.qlSimpleQuote(X77,,RateTickValue,Permanent,Trigger,ObjectOverwrite)</f>
        <v>EUR3MSW3Y=#0006</v>
      </c>
      <c r="Z77" s="310">
        <f>_xll.RtGet("DTSIMI1",X77,$Z$3)/100</f>
        <v>-2.2200000000000002E-3</v>
      </c>
      <c r="AA77" s="310">
        <f>_xll.RtGet("DTSIMI1",X77,$AA$3)/100</f>
        <v>-2.2200000000000002E-3</v>
      </c>
      <c r="AB77" s="310">
        <f t="shared" ref="AB77:AB85" si="28">AVERAGE(Z77:AA77)</f>
        <v>-2.2200000000000002E-3</v>
      </c>
      <c r="AC77" s="318"/>
      <c r="AD77" s="312" t="e">
        <f>IF(ISBLANK(AC77),_xll.qlSimpleQuoteSetValue(Y77,AB77),_xll.qlSimpleQuoteSetValue(Y77,AC77))</f>
        <v>#N/A</v>
      </c>
      <c r="AE77" s="248"/>
      <c r="AF77" s="245" t="s">
        <v>91</v>
      </c>
      <c r="AG77" s="245" t="s">
        <v>51</v>
      </c>
      <c r="AH77" s="245" t="str">
        <f>IF(AF77="","",UPPER(Currency)&amp;$AF$2&amp;AF77&amp;AG77&amp;"=")</f>
        <v>EUR6MSW3Y=</v>
      </c>
      <c r="AI77" s="245" t="str">
        <f>_xll.qlSimpleQuote(AH77,,RateTickValue,Permanent,Trigger,ObjectOverwrite)</f>
        <v>EUR6MSW3Y=#0006</v>
      </c>
      <c r="AJ77" s="246">
        <f>_xll.RtGet("DTSIMI1",AH77,$AJ$3)/100</f>
        <v>-1.07E-3</v>
      </c>
      <c r="AK77" s="246">
        <f>_xll.RtGet("DTSIMI1",AH77,$AK$3)/100</f>
        <v>-1.07E-3</v>
      </c>
      <c r="AL77" s="246">
        <f t="shared" ref="AL77:AL116" si="29">AVERAGE(AJ77:AK77)</f>
        <v>-1.07E-3</v>
      </c>
      <c r="AM77" s="315"/>
      <c r="AN77" s="293" t="e">
        <f>IF(ISBLANK(AM77),_xll.qlSimpleQuoteSetValue(AI77,AL77),_xll.qlSimpleQuoteSetValue(AI77,AM77))</f>
        <v>#N/A</v>
      </c>
      <c r="AO77" s="243"/>
      <c r="AP77" s="245" t="s">
        <v>91</v>
      </c>
      <c r="AQ77" s="245" t="s">
        <v>51</v>
      </c>
      <c r="AR77" s="245" t="str">
        <f t="shared" ref="AR77" si="30">IF(AP77="","",UPPER(Currency)&amp;"1Y"&amp;AP77&amp;AQ77&amp;"=")</f>
        <v>EUR1YSW3Y=</v>
      </c>
      <c r="AS77" s="245" t="str">
        <f>_xll.qlSimpleQuote(AR77,,RateTickValue,Permanent,Trigger,ObjectOverwrite)</f>
        <v>EUR1YSW3Y=#0006</v>
      </c>
      <c r="AT77" s="246">
        <f>_xll.RtGet("DTSIMI1",AR77,$AT$3)/100</f>
        <v>2.3000000000000001E-4</v>
      </c>
      <c r="AU77" s="246">
        <f>_xll.RtGet("DTSIMI1",AR77,$AU$3)/100</f>
        <v>2.3000000000000001E-4</v>
      </c>
      <c r="AV77" s="246">
        <f t="shared" ref="AV77:AV116" si="31">AVERAGE(AT77:AU77)</f>
        <v>2.3000000000000001E-4</v>
      </c>
      <c r="AW77" s="315"/>
      <c r="AX77" s="293" t="e">
        <f>IF(ISBLANK(AW77),_xll.qlSimpleQuoteSetValue(AS77,AV77),_xll.qlSimpleQuoteSetValue(AS77,AW77))</f>
        <v>#N/A</v>
      </c>
    </row>
    <row r="78" spans="1:50" x14ac:dyDescent="0.2">
      <c r="A78" s="404"/>
      <c r="B78" s="245" t="s">
        <v>68</v>
      </c>
      <c r="C78" s="245" t="s">
        <v>52</v>
      </c>
      <c r="D78" s="245" t="str">
        <f t="shared" si="26"/>
        <v>EURONOIS4Y=</v>
      </c>
      <c r="E78" s="245" t="str">
        <f>_xll.qlSimpleQuote(D78,,RateTickValue,Permanent,Trigger,ObjectOverwrite)</f>
        <v>EURONOIS4Y=#0006</v>
      </c>
      <c r="F78" s="246">
        <f>_xll.RtGet("DTSIMI1",D78,$F$3)/100</f>
        <v>-2.2300000000000002E-3</v>
      </c>
      <c r="G78" s="246">
        <f>_xll.RtGet("DTSIMI1",D78,$G$3)/100</f>
        <v>-2.2300000000000002E-3</v>
      </c>
      <c r="H78" s="246">
        <f t="shared" si="24"/>
        <v>-2.2300000000000002E-3</v>
      </c>
      <c r="I78" s="315"/>
      <c r="J78" s="293" t="e">
        <f>IF(ISBLANK(I78),_xll.qlSimpleQuoteSetValue(E78,H78),_xll.qlSimpleQuoteSetValue(E78,I78))</f>
        <v>#N/A</v>
      </c>
      <c r="K78" s="247"/>
      <c r="L78" s="245" t="s">
        <v>91</v>
      </c>
      <c r="M78" s="245" t="s">
        <v>52</v>
      </c>
      <c r="N78" s="245" t="str">
        <f t="shared" si="27"/>
        <v>EUR1MSW4Y=</v>
      </c>
      <c r="O78" s="245" t="str">
        <f>_xll.qlSimpleQuote(N78,,RateTickValue,Permanent,Trigger,ObjectOverwrite)</f>
        <v>EUR1MSW4Y=#0006</v>
      </c>
      <c r="P78" s="246">
        <f>_xll.RtGet("DTSIMI1",N78,$P$3)/100</f>
        <v>-2.3999999999999998E-3</v>
      </c>
      <c r="Q78" s="246">
        <f>_xll.RtGet("DTSIMI1",N78,$Q$3)/100</f>
        <v>-2.3999999999999998E-3</v>
      </c>
      <c r="R78" s="246">
        <f t="shared" si="25"/>
        <v>-2.3999999999999998E-3</v>
      </c>
      <c r="S78" s="315"/>
      <c r="T78" s="293" t="e">
        <f>IF(ISBLANK(S78),_xll.qlSimpleQuoteSetValue(O78,R78),_xll.qlSimpleQuoteSetValue(O78,S78))</f>
        <v>#N/A</v>
      </c>
      <c r="U78" s="243"/>
      <c r="V78" s="245" t="s">
        <v>91</v>
      </c>
      <c r="W78" s="245" t="s">
        <v>52</v>
      </c>
      <c r="X78" s="245" t="str">
        <f t="shared" ref="X78:X109" si="32">IF(V78="","",UPPER(Currency)&amp;$V$2&amp;V78&amp;W78&amp;"=")</f>
        <v>EUR3MSW4Y=</v>
      </c>
      <c r="Y78" s="245" t="str">
        <f>_xll.qlSimpleQuote(X78,,RateTickValue,Permanent,Trigger,ObjectOverwrite)</f>
        <v>EUR3MSW4Y=#0006</v>
      </c>
      <c r="Z78" s="246">
        <f>_xll.RtGet("DTSIMI1",X78,$Z$3)/100</f>
        <v>-1.4200000000000003E-3</v>
      </c>
      <c r="AA78" s="246">
        <f>_xll.RtGet("DTSIMI1",X78,$AA$3)/100</f>
        <v>-1.4200000000000003E-3</v>
      </c>
      <c r="AB78" s="246">
        <f t="shared" si="28"/>
        <v>-1.4200000000000003E-3</v>
      </c>
      <c r="AC78" s="315"/>
      <c r="AD78" s="293" t="e">
        <f>IF(ISBLANK(AC78),_xll.qlSimpleQuoteSetValue(Y78,AB78),_xll.qlSimpleQuoteSetValue(Y78,AC78))</f>
        <v>#N/A</v>
      </c>
      <c r="AE78" s="248"/>
      <c r="AF78" s="245" t="s">
        <v>91</v>
      </c>
      <c r="AG78" s="245" t="s">
        <v>52</v>
      </c>
      <c r="AH78" s="245" t="str">
        <f t="shared" ref="AH78:AH109" si="33">IF(AF78="","",UPPER(Currency)&amp;$AF$2&amp;AF78&amp;AG78&amp;"=")</f>
        <v>EUR6MSW4Y=</v>
      </c>
      <c r="AI78" s="245" t="str">
        <f>_xll.qlSimpleQuote(AH78,,RateTickValue,Permanent,Trigger,ObjectOverwrite)</f>
        <v>EUR6MSW4Y=#0006</v>
      </c>
      <c r="AJ78" s="246">
        <f>_xll.RtGet("DTSIMI1",AH78,$AJ$3)/100</f>
        <v>-1.8999999999999998E-4</v>
      </c>
      <c r="AK78" s="246">
        <f>_xll.RtGet("DTSIMI1",AH78,$AK$3)/100</f>
        <v>-1.8999999999999998E-4</v>
      </c>
      <c r="AL78" s="246">
        <f t="shared" si="29"/>
        <v>-1.8999999999999998E-4</v>
      </c>
      <c r="AM78" s="315"/>
      <c r="AN78" s="293" t="e">
        <f>IF(ISBLANK(AM78),_xll.qlSimpleQuoteSetValue(AI78,AL78),_xll.qlSimpleQuoteSetValue(AI78,AM78))</f>
        <v>#N/A</v>
      </c>
      <c r="AO78" s="243"/>
      <c r="AP78" s="245" t="s">
        <v>91</v>
      </c>
      <c r="AQ78" s="245" t="s">
        <v>52</v>
      </c>
      <c r="AR78" s="245" t="str">
        <f t="shared" ref="AR78:AR109" si="34">IF(AP78="","",UPPER(Currency)&amp;"1Y"&amp;AP78&amp;AQ78&amp;"=")</f>
        <v>EUR1YSW4Y=</v>
      </c>
      <c r="AS78" s="245" t="str">
        <f>_xll.qlSimpleQuote(AR78,,RateTickValue,Permanent,Trigger,ObjectOverwrite)</f>
        <v>EUR1YSW4Y=#0006</v>
      </c>
      <c r="AT78" s="246">
        <f>_xll.RtGet("DTSIMI1",AR78,$AT$3)/100</f>
        <v>1.1200000000000001E-3</v>
      </c>
      <c r="AU78" s="246">
        <f>_xll.RtGet("DTSIMI1",AR78,$AU$3)/100</f>
        <v>1.1200000000000001E-3</v>
      </c>
      <c r="AV78" s="246">
        <f t="shared" si="31"/>
        <v>1.1200000000000001E-3</v>
      </c>
      <c r="AW78" s="315"/>
      <c r="AX78" s="293" t="e">
        <f>IF(ISBLANK(AW78),_xll.qlSimpleQuoteSetValue(AS78,AV78),_xll.qlSimpleQuoteSetValue(AS78,AW78))</f>
        <v>#N/A</v>
      </c>
    </row>
    <row r="79" spans="1:50" x14ac:dyDescent="0.2">
      <c r="A79" s="404"/>
      <c r="B79" s="245" t="s">
        <v>68</v>
      </c>
      <c r="C79" s="245" t="s">
        <v>53</v>
      </c>
      <c r="D79" s="245" t="str">
        <f t="shared" si="26"/>
        <v>EURONOIS5Y=</v>
      </c>
      <c r="E79" s="245" t="str">
        <f>_xll.qlSimpleQuote(D79,,RateTickValue,Permanent,Trigger,ObjectOverwrite)</f>
        <v>EURONOIS5Y=#0006</v>
      </c>
      <c r="F79" s="246">
        <f>_xll.RtGet("DTSIMI1",D79,$F$3)/100</f>
        <v>-1.34E-3</v>
      </c>
      <c r="G79" s="246">
        <f>_xll.RtGet("DTSIMI1",D79,$G$3)/100</f>
        <v>-1.34E-3</v>
      </c>
      <c r="H79" s="246">
        <f t="shared" si="24"/>
        <v>-1.34E-3</v>
      </c>
      <c r="I79" s="315"/>
      <c r="J79" s="293" t="e">
        <f>IF(ISBLANK(I79),_xll.qlSimpleQuoteSetValue(E79,H79),_xll.qlSimpleQuoteSetValue(E79,I79))</f>
        <v>#N/A</v>
      </c>
      <c r="K79" s="247"/>
      <c r="L79" s="245" t="s">
        <v>91</v>
      </c>
      <c r="M79" s="245" t="s">
        <v>53</v>
      </c>
      <c r="N79" s="245" t="str">
        <f t="shared" si="27"/>
        <v>EUR1MSW5Y=</v>
      </c>
      <c r="O79" s="245" t="str">
        <f>_xll.qlSimpleQuote(N79,,RateTickValue,Permanent,Trigger,ObjectOverwrite)</f>
        <v>EUR1MSW5Y=#0006</v>
      </c>
      <c r="P79" s="246">
        <f>_xll.RtGet("DTSIMI1",N79,$P$3)/100</f>
        <v>-1.49E-3</v>
      </c>
      <c r="Q79" s="246">
        <f>_xll.RtGet("DTSIMI1",N79,$Q$3)/100</f>
        <v>-1.49E-3</v>
      </c>
      <c r="R79" s="246">
        <f t="shared" si="25"/>
        <v>-1.49E-3</v>
      </c>
      <c r="S79" s="315"/>
      <c r="T79" s="293" t="e">
        <f>IF(ISBLANK(S79),_xll.qlSimpleQuoteSetValue(O79,R79),_xll.qlSimpleQuoteSetValue(O79,S79))</f>
        <v>#N/A</v>
      </c>
      <c r="U79" s="243"/>
      <c r="V79" s="245" t="s">
        <v>91</v>
      </c>
      <c r="W79" s="245" t="s">
        <v>53</v>
      </c>
      <c r="X79" s="245" t="str">
        <f t="shared" si="32"/>
        <v>EUR3MSW5Y=</v>
      </c>
      <c r="Y79" s="245" t="str">
        <f>_xll.qlSimpleQuote(X79,,RateTickValue,Permanent,Trigger,ObjectOverwrite)</f>
        <v>EUR3MSW5Y=#0006</v>
      </c>
      <c r="Z79" s="246">
        <f>_xll.RtGet("DTSIMI1",X79,$Z$3)/100</f>
        <v>-4.3000000000000004E-4</v>
      </c>
      <c r="AA79" s="246">
        <f>_xll.RtGet("DTSIMI1",X79,$AA$3)/100</f>
        <v>-4.3000000000000004E-4</v>
      </c>
      <c r="AB79" s="246">
        <f t="shared" si="28"/>
        <v>-4.3000000000000004E-4</v>
      </c>
      <c r="AC79" s="315"/>
      <c r="AD79" s="293" t="e">
        <f>IF(ISBLANK(AC79),_xll.qlSimpleQuoteSetValue(Y79,AB79),_xll.qlSimpleQuoteSetValue(Y79,AC79))</f>
        <v>#N/A</v>
      </c>
      <c r="AE79" s="248"/>
      <c r="AF79" s="245" t="s">
        <v>91</v>
      </c>
      <c r="AG79" s="245" t="s">
        <v>53</v>
      </c>
      <c r="AH79" s="245" t="str">
        <f t="shared" si="33"/>
        <v>EUR6MSW5Y=</v>
      </c>
      <c r="AI79" s="245" t="str">
        <f>_xll.qlSimpleQuote(AH79,,RateTickValue,Permanent,Trigger,ObjectOverwrite)</f>
        <v>EUR6MSW5Y=#0006</v>
      </c>
      <c r="AJ79" s="246">
        <f>_xll.RtGet("DTSIMI1",AH79,$AJ$3)/100</f>
        <v>8.7000000000000011E-4</v>
      </c>
      <c r="AK79" s="246">
        <f>_xll.RtGet("DTSIMI1",AH79,$AK$3)/100</f>
        <v>8.7000000000000011E-4</v>
      </c>
      <c r="AL79" s="246">
        <f t="shared" si="29"/>
        <v>8.7000000000000011E-4</v>
      </c>
      <c r="AM79" s="315"/>
      <c r="AN79" s="293" t="e">
        <f>IF(ISBLANK(AM79),_xll.qlSimpleQuoteSetValue(AI79,AL79),_xll.qlSimpleQuoteSetValue(AI79,AM79))</f>
        <v>#N/A</v>
      </c>
      <c r="AO79" s="243"/>
      <c r="AP79" s="245" t="s">
        <v>91</v>
      </c>
      <c r="AQ79" s="245" t="s">
        <v>53</v>
      </c>
      <c r="AR79" s="245" t="str">
        <f t="shared" si="34"/>
        <v>EUR1YSW5Y=</v>
      </c>
      <c r="AS79" s="245" t="str">
        <f>_xll.qlSimpleQuote(AR79,,RateTickValue,Permanent,Trigger,ObjectOverwrite)</f>
        <v>EUR1YSW5Y=#0006</v>
      </c>
      <c r="AT79" s="246">
        <f>_xll.RtGet("DTSIMI1",AR79,$AT$3)/100</f>
        <v>2.1700000000000001E-3</v>
      </c>
      <c r="AU79" s="246">
        <f>_xll.RtGet("DTSIMI1",AR79,$AU$3)/100</f>
        <v>2.1700000000000001E-3</v>
      </c>
      <c r="AV79" s="246">
        <f t="shared" si="31"/>
        <v>2.1700000000000001E-3</v>
      </c>
      <c r="AW79" s="315"/>
      <c r="AX79" s="293" t="e">
        <f>IF(ISBLANK(AW79),_xll.qlSimpleQuoteSetValue(AS79,AV79),_xll.qlSimpleQuoteSetValue(AS79,AW79))</f>
        <v>#N/A</v>
      </c>
    </row>
    <row r="80" spans="1:50" x14ac:dyDescent="0.2">
      <c r="A80" s="404"/>
      <c r="B80" s="245" t="s">
        <v>68</v>
      </c>
      <c r="C80" s="245" t="s">
        <v>54</v>
      </c>
      <c r="D80" s="245" t="str">
        <f t="shared" si="26"/>
        <v>EURONOIS6Y=</v>
      </c>
      <c r="E80" s="245" t="str">
        <f>_xll.qlSimpleQuote(D80,,RateTickValue,Permanent,Trigger,ObjectOverwrite)</f>
        <v>EURONOIS6Y=#0006</v>
      </c>
      <c r="F80" s="246">
        <f>_xll.RtGet("DTSIMI1",D80,$F$3)/100</f>
        <v>-2.4000000000000001E-4</v>
      </c>
      <c r="G80" s="246">
        <f>_xll.RtGet("DTSIMI1",D80,$G$3)/100</f>
        <v>-2.4000000000000001E-4</v>
      </c>
      <c r="H80" s="246">
        <f t="shared" si="24"/>
        <v>-2.4000000000000001E-4</v>
      </c>
      <c r="I80" s="315"/>
      <c r="J80" s="293" t="e">
        <f>IF(ISBLANK(I80),_xll.qlSimpleQuoteSetValue(E80,H80),_xll.qlSimpleQuoteSetValue(E80,I80))</f>
        <v>#N/A</v>
      </c>
      <c r="K80" s="247"/>
      <c r="L80" s="245" t="s">
        <v>91</v>
      </c>
      <c r="M80" s="245" t="s">
        <v>54</v>
      </c>
      <c r="N80" s="245" t="str">
        <f t="shared" si="27"/>
        <v>EUR1MSW6Y=</v>
      </c>
      <c r="O80" s="245" t="str">
        <f>_xll.qlSimpleQuote(N80,,RateTickValue,Permanent,Trigger,ObjectOverwrite)</f>
        <v>EUR1MSW6Y=#0006</v>
      </c>
      <c r="P80" s="246">
        <f>_xll.RtGet("DTSIMI1",N80,$P$3)/100</f>
        <v>-3.7999999999999997E-4</v>
      </c>
      <c r="Q80" s="246">
        <f>_xll.RtGet("DTSIMI1",N80,$Q$3)/100</f>
        <v>-3.7999999999999997E-4</v>
      </c>
      <c r="R80" s="246">
        <f t="shared" si="25"/>
        <v>-3.7999999999999997E-4</v>
      </c>
      <c r="S80" s="315"/>
      <c r="T80" s="293" t="e">
        <f>IF(ISBLANK(S80),_xll.qlSimpleQuoteSetValue(O80,R80),_xll.qlSimpleQuoteSetValue(O80,S80))</f>
        <v>#N/A</v>
      </c>
      <c r="U80" s="243"/>
      <c r="V80" s="245" t="s">
        <v>91</v>
      </c>
      <c r="W80" s="245" t="s">
        <v>54</v>
      </c>
      <c r="X80" s="245" t="str">
        <f t="shared" si="32"/>
        <v>EUR3MSW6Y=</v>
      </c>
      <c r="Y80" s="245" t="str">
        <f>_xll.qlSimpleQuote(X80,,RateTickValue,Permanent,Trigger,ObjectOverwrite)</f>
        <v>EUR3MSW6Y=#0006</v>
      </c>
      <c r="Z80" s="246">
        <f>_xll.RtGet("DTSIMI1",X80,$Z$3)/100</f>
        <v>7.2000000000000005E-4</v>
      </c>
      <c r="AA80" s="246">
        <f>_xll.RtGet("DTSIMI1",X80,$AA$3)/100</f>
        <v>7.2000000000000005E-4</v>
      </c>
      <c r="AB80" s="246">
        <f t="shared" si="28"/>
        <v>7.2000000000000005E-4</v>
      </c>
      <c r="AC80" s="315"/>
      <c r="AD80" s="293" t="e">
        <f>IF(ISBLANK(AC80),_xll.qlSimpleQuoteSetValue(Y80,AB80),_xll.qlSimpleQuoteSetValue(Y80,AC80))</f>
        <v>#N/A</v>
      </c>
      <c r="AE80" s="248"/>
      <c r="AF80" s="245" t="s">
        <v>91</v>
      </c>
      <c r="AG80" s="245" t="s">
        <v>54</v>
      </c>
      <c r="AH80" s="245" t="str">
        <f t="shared" si="33"/>
        <v>EUR6MSW6Y=</v>
      </c>
      <c r="AI80" s="245" t="str">
        <f>_xll.qlSimpleQuote(AH80,,RateTickValue,Permanent,Trigger,ObjectOverwrite)</f>
        <v>EUR6MSW6Y=#0006</v>
      </c>
      <c r="AJ80" s="246">
        <f>_xll.RtGet("DTSIMI1",AH80,$AJ$3)/100</f>
        <v>2.0300000000000001E-3</v>
      </c>
      <c r="AK80" s="246">
        <f>_xll.RtGet("DTSIMI1",AH80,$AK$3)/100</f>
        <v>2.0300000000000001E-3</v>
      </c>
      <c r="AL80" s="246">
        <f t="shared" si="29"/>
        <v>2.0300000000000001E-3</v>
      </c>
      <c r="AM80" s="315"/>
      <c r="AN80" s="293" t="e">
        <f>IF(ISBLANK(AM80),_xll.qlSimpleQuoteSetValue(AI80,AL80),_xll.qlSimpleQuoteSetValue(AI80,AM80))</f>
        <v>#N/A</v>
      </c>
      <c r="AO80" s="243"/>
      <c r="AP80" s="245" t="s">
        <v>91</v>
      </c>
      <c r="AQ80" s="245" t="s">
        <v>54</v>
      </c>
      <c r="AR80" s="245" t="str">
        <f t="shared" si="34"/>
        <v>EUR1YSW6Y=</v>
      </c>
      <c r="AS80" s="245" t="str">
        <f>_xll.qlSimpleQuote(AR80,,RateTickValue,Permanent,Trigger,ObjectOverwrite)</f>
        <v>EUR1YSW6Y=#0006</v>
      </c>
      <c r="AT80" s="246">
        <f>_xll.RtGet("DTSIMI1",AR80,$AT$3)/100</f>
        <v>3.32E-3</v>
      </c>
      <c r="AU80" s="246">
        <f>_xll.RtGet("DTSIMI1",AR80,$AU$3)/100</f>
        <v>3.32E-3</v>
      </c>
      <c r="AV80" s="246">
        <f t="shared" si="31"/>
        <v>3.32E-3</v>
      </c>
      <c r="AW80" s="315"/>
      <c r="AX80" s="293" t="e">
        <f>IF(ISBLANK(AW80),_xll.qlSimpleQuoteSetValue(AS80,AV80),_xll.qlSimpleQuoteSetValue(AS80,AW80))</f>
        <v>#N/A</v>
      </c>
    </row>
    <row r="81" spans="1:50" x14ac:dyDescent="0.2">
      <c r="A81" s="404"/>
      <c r="B81" s="245" t="s">
        <v>68</v>
      </c>
      <c r="C81" s="245" t="s">
        <v>55</v>
      </c>
      <c r="D81" s="245" t="str">
        <f t="shared" si="26"/>
        <v>EURONOIS7Y=</v>
      </c>
      <c r="E81" s="245" t="str">
        <f>_xll.qlSimpleQuote(D81,,RateTickValue,Permanent,Trigger,ObjectOverwrite)</f>
        <v>EURONOIS7Y=#0006</v>
      </c>
      <c r="F81" s="246">
        <f>_xll.RtGet("DTSIMI1",D81,$F$3)/100</f>
        <v>9.7999999999999997E-4</v>
      </c>
      <c r="G81" s="246">
        <f>_xll.RtGet("DTSIMI1",D81,$G$3)/100</f>
        <v>9.7999999999999997E-4</v>
      </c>
      <c r="H81" s="246">
        <f t="shared" si="24"/>
        <v>9.7999999999999997E-4</v>
      </c>
      <c r="I81" s="315"/>
      <c r="J81" s="293" t="e">
        <f>IF(ISBLANK(I81),_xll.qlSimpleQuoteSetValue(E81,H81),_xll.qlSimpleQuoteSetValue(E81,I81))</f>
        <v>#N/A</v>
      </c>
      <c r="K81" s="247"/>
      <c r="L81" s="245" t="s">
        <v>91</v>
      </c>
      <c r="M81" s="245" t="s">
        <v>55</v>
      </c>
      <c r="N81" s="245" t="str">
        <f t="shared" si="27"/>
        <v>EUR1MSW7Y=</v>
      </c>
      <c r="O81" s="245" t="str">
        <f>_xll.qlSimpleQuote(N81,,RateTickValue,Permanent,Trigger,ObjectOverwrite)</f>
        <v>EUR1MSW7Y=#0006</v>
      </c>
      <c r="P81" s="246">
        <f>_xll.RtGet("DTSIMI1",N81,$P$3)/100</f>
        <v>8.6000000000000009E-4</v>
      </c>
      <c r="Q81" s="246">
        <f>_xll.RtGet("DTSIMI1",N81,$Q$3)/100</f>
        <v>8.6000000000000009E-4</v>
      </c>
      <c r="R81" s="246">
        <f t="shared" si="25"/>
        <v>8.6000000000000009E-4</v>
      </c>
      <c r="S81" s="315"/>
      <c r="T81" s="293" t="e">
        <f>IF(ISBLANK(S81),_xll.qlSimpleQuoteSetValue(O81,R81),_xll.qlSimpleQuoteSetValue(O81,S81))</f>
        <v>#N/A</v>
      </c>
      <c r="U81" s="243"/>
      <c r="V81" s="245" t="s">
        <v>91</v>
      </c>
      <c r="W81" s="245" t="s">
        <v>55</v>
      </c>
      <c r="X81" s="245" t="str">
        <f t="shared" si="32"/>
        <v>EUR3MSW7Y=</v>
      </c>
      <c r="Y81" s="245" t="str">
        <f>_xll.qlSimpleQuote(X81,,RateTickValue,Permanent,Trigger,ObjectOverwrite)</f>
        <v>EUR3MSW7Y=#0006</v>
      </c>
      <c r="Z81" s="246">
        <f>_xll.RtGet("DTSIMI1",X81,$Z$3)/100</f>
        <v>1.9599999999999999E-3</v>
      </c>
      <c r="AA81" s="246">
        <f>_xll.RtGet("DTSIMI1",X81,$AA$3)/100</f>
        <v>1.9599999999999999E-3</v>
      </c>
      <c r="AB81" s="246">
        <f t="shared" si="28"/>
        <v>1.9599999999999999E-3</v>
      </c>
      <c r="AC81" s="315"/>
      <c r="AD81" s="293" t="e">
        <f>IF(ISBLANK(AC81),_xll.qlSimpleQuoteSetValue(Y81,AB81),_xll.qlSimpleQuoteSetValue(Y81,AC81))</f>
        <v>#N/A</v>
      </c>
      <c r="AE81" s="248"/>
      <c r="AF81" s="245" t="s">
        <v>91</v>
      </c>
      <c r="AG81" s="245" t="s">
        <v>55</v>
      </c>
      <c r="AH81" s="245" t="str">
        <f t="shared" si="33"/>
        <v>EUR6MSW7Y=</v>
      </c>
      <c r="AI81" s="245" t="str">
        <f>_xll.qlSimpleQuote(AH81,,RateTickValue,Permanent,Trigger,ObjectOverwrite)</f>
        <v>EUR6MSW7Y=#0006</v>
      </c>
      <c r="AJ81" s="246">
        <f>_xll.RtGet("DTSIMI1",AH81,$AJ$3)/100</f>
        <v>3.2600000000000003E-3</v>
      </c>
      <c r="AK81" s="246">
        <f>_xll.RtGet("DTSIMI1",AH81,$AK$3)/100</f>
        <v>3.2600000000000003E-3</v>
      </c>
      <c r="AL81" s="246">
        <f t="shared" si="29"/>
        <v>3.2600000000000003E-3</v>
      </c>
      <c r="AM81" s="315"/>
      <c r="AN81" s="293" t="e">
        <f>IF(ISBLANK(AM81),_xll.qlSimpleQuoteSetValue(AI81,AL81),_xll.qlSimpleQuoteSetValue(AI81,AM81))</f>
        <v>#N/A</v>
      </c>
      <c r="AO81" s="243"/>
      <c r="AP81" s="245" t="s">
        <v>91</v>
      </c>
      <c r="AQ81" s="245" t="s">
        <v>55</v>
      </c>
      <c r="AR81" s="245" t="str">
        <f t="shared" si="34"/>
        <v>EUR1YSW7Y=</v>
      </c>
      <c r="AS81" s="245" t="str">
        <f>_xll.qlSimpleQuote(AR81,,RateTickValue,Permanent,Trigger,ObjectOverwrite)</f>
        <v>EUR1YSW7Y=#0006</v>
      </c>
      <c r="AT81" s="246">
        <f>_xll.RtGet("DTSIMI1",AR81,$AT$3)/100</f>
        <v>4.5199999999999997E-3</v>
      </c>
      <c r="AU81" s="246">
        <f>_xll.RtGet("DTSIMI1",AR81,$AU$3)/100</f>
        <v>4.5199999999999997E-3</v>
      </c>
      <c r="AV81" s="246">
        <f t="shared" si="31"/>
        <v>4.5199999999999997E-3</v>
      </c>
      <c r="AW81" s="315"/>
      <c r="AX81" s="293" t="e">
        <f>IF(ISBLANK(AW81),_xll.qlSimpleQuoteSetValue(AS81,AV81),_xll.qlSimpleQuoteSetValue(AS81,AW81))</f>
        <v>#N/A</v>
      </c>
    </row>
    <row r="82" spans="1:50" x14ac:dyDescent="0.2">
      <c r="A82" s="404"/>
      <c r="B82" s="245" t="s">
        <v>68</v>
      </c>
      <c r="C82" s="245" t="s">
        <v>56</v>
      </c>
      <c r="D82" s="245" t="str">
        <f t="shared" si="26"/>
        <v>EURONOIS8Y=</v>
      </c>
      <c r="E82" s="245" t="str">
        <f>_xll.qlSimpleQuote(D82,,RateTickValue,Permanent,Trigger,ObjectOverwrite)</f>
        <v>EURONOIS8Y=#0006</v>
      </c>
      <c r="F82" s="246">
        <f>_xll.RtGet("DTSIMI1",D82,$F$3)/100</f>
        <v>2.2300000000000002E-3</v>
      </c>
      <c r="G82" s="246">
        <f>_xll.RtGet("DTSIMI1",D82,$G$3)/100</f>
        <v>2.2300000000000002E-3</v>
      </c>
      <c r="H82" s="246">
        <f t="shared" si="24"/>
        <v>2.2300000000000002E-3</v>
      </c>
      <c r="I82" s="315"/>
      <c r="J82" s="293" t="e">
        <f>IF(ISBLANK(I82),_xll.qlSimpleQuoteSetValue(E82,H82),_xll.qlSimpleQuoteSetValue(E82,I82))</f>
        <v>#N/A</v>
      </c>
      <c r="K82" s="247"/>
      <c r="L82" s="245" t="s">
        <v>91</v>
      </c>
      <c r="M82" s="245" t="s">
        <v>56</v>
      </c>
      <c r="N82" s="245" t="str">
        <f t="shared" si="27"/>
        <v>EUR1MSW8Y=</v>
      </c>
      <c r="O82" s="245" t="str">
        <f>_xll.qlSimpleQuote(N82,,RateTickValue,Permanent,Trigger,ObjectOverwrite)</f>
        <v>EUR1MSW8Y=#0006</v>
      </c>
      <c r="P82" s="246">
        <f>_xll.RtGet("DTSIMI1",N82,$P$3)/100</f>
        <v>2.15E-3</v>
      </c>
      <c r="Q82" s="246">
        <f>_xll.RtGet("DTSIMI1",N82,$Q$3)/100</f>
        <v>2.15E-3</v>
      </c>
      <c r="R82" s="246">
        <f t="shared" si="25"/>
        <v>2.15E-3</v>
      </c>
      <c r="S82" s="315"/>
      <c r="T82" s="293" t="e">
        <f>IF(ISBLANK(S82),_xll.qlSimpleQuoteSetValue(O82,R82),_xll.qlSimpleQuoteSetValue(O82,S82))</f>
        <v>#N/A</v>
      </c>
      <c r="U82" s="243"/>
      <c r="V82" s="245" t="s">
        <v>91</v>
      </c>
      <c r="W82" s="245" t="s">
        <v>56</v>
      </c>
      <c r="X82" s="245" t="str">
        <f t="shared" si="32"/>
        <v>EUR3MSW8Y=</v>
      </c>
      <c r="Y82" s="245" t="str">
        <f>_xll.qlSimpleQuote(X82,,RateTickValue,Permanent,Trigger,ObjectOverwrite)</f>
        <v>EUR3MSW8Y=#0006</v>
      </c>
      <c r="Z82" s="246">
        <f>_xll.RtGet("DTSIMI1",X82,$Z$3)/100</f>
        <v>3.2200000000000002E-3</v>
      </c>
      <c r="AA82" s="246">
        <f>_xll.RtGet("DTSIMI1",X82,$AA$3)/100</f>
        <v>3.2200000000000002E-3</v>
      </c>
      <c r="AB82" s="246">
        <f t="shared" si="28"/>
        <v>3.2200000000000002E-3</v>
      </c>
      <c r="AC82" s="315"/>
      <c r="AD82" s="293" t="e">
        <f>IF(ISBLANK(AC82),_xll.qlSimpleQuoteSetValue(Y82,AB82),_xll.qlSimpleQuoteSetValue(Y82,AC82))</f>
        <v>#N/A</v>
      </c>
      <c r="AE82" s="248"/>
      <c r="AF82" s="245" t="s">
        <v>91</v>
      </c>
      <c r="AG82" s="245" t="s">
        <v>56</v>
      </c>
      <c r="AH82" s="245" t="str">
        <f t="shared" si="33"/>
        <v>EUR6MSW8Y=</v>
      </c>
      <c r="AI82" s="245" t="str">
        <f>_xll.qlSimpleQuote(AH82,,RateTickValue,Permanent,Trigger,ObjectOverwrite)</f>
        <v>EUR6MSW8Y=#0006</v>
      </c>
      <c r="AJ82" s="246">
        <f>_xll.RtGet("DTSIMI1",AH82,$AJ$3)/100</f>
        <v>4.4900000000000001E-3</v>
      </c>
      <c r="AK82" s="246">
        <f>_xll.RtGet("DTSIMI1",AH82,$AK$3)/100</f>
        <v>4.4900000000000001E-3</v>
      </c>
      <c r="AL82" s="246">
        <f t="shared" si="29"/>
        <v>4.4900000000000001E-3</v>
      </c>
      <c r="AM82" s="315"/>
      <c r="AN82" s="293" t="e">
        <f>IF(ISBLANK(AM82),_xll.qlSimpleQuoteSetValue(AI82,AL82),_xll.qlSimpleQuoteSetValue(AI82,AM82))</f>
        <v>#N/A</v>
      </c>
      <c r="AO82" s="243"/>
      <c r="AP82" s="245" t="s">
        <v>91</v>
      </c>
      <c r="AQ82" s="245" t="s">
        <v>56</v>
      </c>
      <c r="AR82" s="245" t="str">
        <f t="shared" si="34"/>
        <v>EUR1YSW8Y=</v>
      </c>
      <c r="AS82" s="245" t="str">
        <f>_xll.qlSimpleQuote(AR82,,RateTickValue,Permanent,Trigger,ObjectOverwrite)</f>
        <v>EUR1YSW8Y=#0006</v>
      </c>
      <c r="AT82" s="246">
        <f>_xll.RtGet("DTSIMI1",AR82,$AT$3)/100</f>
        <v>5.7100000000000007E-3</v>
      </c>
      <c r="AU82" s="246">
        <f>_xll.RtGet("DTSIMI1",AR82,$AU$3)/100</f>
        <v>5.7100000000000007E-3</v>
      </c>
      <c r="AV82" s="246">
        <f t="shared" si="31"/>
        <v>5.7100000000000007E-3</v>
      </c>
      <c r="AW82" s="315"/>
      <c r="AX82" s="293" t="e">
        <f>IF(ISBLANK(AW82),_xll.qlSimpleQuoteSetValue(AS82,AV82),_xll.qlSimpleQuoteSetValue(AS82,AW82))</f>
        <v>#N/A</v>
      </c>
    </row>
    <row r="83" spans="1:50" x14ac:dyDescent="0.2">
      <c r="A83" s="404"/>
      <c r="B83" s="245" t="s">
        <v>68</v>
      </c>
      <c r="C83" s="245" t="s">
        <v>57</v>
      </c>
      <c r="D83" s="245" t="str">
        <f t="shared" si="26"/>
        <v>EURONOIS9Y=</v>
      </c>
      <c r="E83" s="245" t="str">
        <f>_xll.qlSimpleQuote(D83,,RateTickValue,Permanent,Trigger,ObjectOverwrite)</f>
        <v>EURONOIS9Y=#0006</v>
      </c>
      <c r="F83" s="246">
        <f>_xll.RtGet("DTSIMI1",D83,$F$3)/100</f>
        <v>3.4900000000000005E-3</v>
      </c>
      <c r="G83" s="246">
        <f>_xll.RtGet("DTSIMI1",D83,$G$3)/100</f>
        <v>3.4900000000000005E-3</v>
      </c>
      <c r="H83" s="246">
        <f t="shared" si="24"/>
        <v>3.4900000000000005E-3</v>
      </c>
      <c r="I83" s="315"/>
      <c r="J83" s="293" t="e">
        <f>IF(ISBLANK(I83),_xll.qlSimpleQuoteSetValue(E83,H83),_xll.qlSimpleQuoteSetValue(E83,I83))</f>
        <v>#N/A</v>
      </c>
      <c r="K83" s="247"/>
      <c r="L83" s="245" t="s">
        <v>91</v>
      </c>
      <c r="M83" s="245" t="s">
        <v>57</v>
      </c>
      <c r="N83" s="245" t="str">
        <f t="shared" si="27"/>
        <v>EUR1MSW9Y=</v>
      </c>
      <c r="O83" s="245" t="str">
        <f>_xll.qlSimpleQuote(N83,,RateTickValue,Permanent,Trigger,ObjectOverwrite)</f>
        <v>EUR1MSW9Y=#0006</v>
      </c>
      <c r="P83" s="246">
        <f>_xll.RtGet("DTSIMI1",N83,$P$3)/100</f>
        <v>3.4200000000000003E-3</v>
      </c>
      <c r="Q83" s="246">
        <f>_xll.RtGet("DTSIMI1",N83,$Q$3)/100</f>
        <v>3.4200000000000003E-3</v>
      </c>
      <c r="R83" s="246">
        <f t="shared" si="25"/>
        <v>3.4200000000000003E-3</v>
      </c>
      <c r="S83" s="315"/>
      <c r="T83" s="293" t="e">
        <f>IF(ISBLANK(S83),_xll.qlSimpleQuoteSetValue(O83,R83),_xll.qlSimpleQuoteSetValue(O83,S83))</f>
        <v>#N/A</v>
      </c>
      <c r="U83" s="243"/>
      <c r="V83" s="245" t="s">
        <v>91</v>
      </c>
      <c r="W83" s="245" t="s">
        <v>57</v>
      </c>
      <c r="X83" s="245" t="str">
        <f t="shared" si="32"/>
        <v>EUR3MSW9Y=</v>
      </c>
      <c r="Y83" s="245" t="str">
        <f>_xll.qlSimpleQuote(X83,,RateTickValue,Permanent,Trigger,ObjectOverwrite)</f>
        <v>EUR3MSW9Y=#0006</v>
      </c>
      <c r="Z83" s="246">
        <f>_xll.RtGet("DTSIMI1",X83,$Z$3)/100</f>
        <v>4.47E-3</v>
      </c>
      <c r="AA83" s="246">
        <f>_xll.RtGet("DTSIMI1",X83,$AA$3)/100</f>
        <v>4.47E-3</v>
      </c>
      <c r="AB83" s="246">
        <f t="shared" si="28"/>
        <v>4.47E-3</v>
      </c>
      <c r="AC83" s="315"/>
      <c r="AD83" s="293" t="e">
        <f>IF(ISBLANK(AC83),_xll.qlSimpleQuoteSetValue(Y83,AB83),_xll.qlSimpleQuoteSetValue(Y83,AC83))</f>
        <v>#N/A</v>
      </c>
      <c r="AE83" s="248"/>
      <c r="AF83" s="245" t="s">
        <v>91</v>
      </c>
      <c r="AG83" s="245" t="s">
        <v>57</v>
      </c>
      <c r="AH83" s="245" t="str">
        <f t="shared" si="33"/>
        <v>EUR6MSW9Y=</v>
      </c>
      <c r="AI83" s="245" t="str">
        <f>_xll.qlSimpleQuote(AH83,,RateTickValue,Permanent,Trigger,ObjectOverwrite)</f>
        <v>EUR6MSW9Y=#0006</v>
      </c>
      <c r="AJ83" s="246">
        <f>_xll.RtGet("DTSIMI1",AH83,$AJ$3)/100</f>
        <v>5.680000000000001E-3</v>
      </c>
      <c r="AK83" s="246">
        <f>_xll.RtGet("DTSIMI1",AH83,$AK$3)/100</f>
        <v>5.680000000000001E-3</v>
      </c>
      <c r="AL83" s="246">
        <f t="shared" si="29"/>
        <v>5.680000000000001E-3</v>
      </c>
      <c r="AM83" s="315"/>
      <c r="AN83" s="293" t="e">
        <f>IF(ISBLANK(AM83),_xll.qlSimpleQuoteSetValue(AI83,AL83),_xll.qlSimpleQuoteSetValue(AI83,AM83))</f>
        <v>#N/A</v>
      </c>
      <c r="AO83" s="243"/>
      <c r="AP83" s="245" t="s">
        <v>91</v>
      </c>
      <c r="AQ83" s="245" t="s">
        <v>57</v>
      </c>
      <c r="AR83" s="245" t="str">
        <f t="shared" si="34"/>
        <v>EUR1YSW9Y=</v>
      </c>
      <c r="AS83" s="245" t="str">
        <f>_xll.qlSimpleQuote(AR83,,RateTickValue,Permanent,Trigger,ObjectOverwrite)</f>
        <v>EUR1YSW9Y=#0006</v>
      </c>
      <c r="AT83" s="246">
        <f>_xll.RtGet("DTSIMI1",AR83,$AT$3)/100</f>
        <v>6.8700000000000002E-3</v>
      </c>
      <c r="AU83" s="246">
        <f>_xll.RtGet("DTSIMI1",AR83,$AU$3)/100</f>
        <v>6.8700000000000002E-3</v>
      </c>
      <c r="AV83" s="246">
        <f t="shared" si="31"/>
        <v>6.8700000000000002E-3</v>
      </c>
      <c r="AW83" s="315"/>
      <c r="AX83" s="293" t="e">
        <f>IF(ISBLANK(AW83),_xll.qlSimpleQuoteSetValue(AS83,AV83),_xll.qlSimpleQuoteSetValue(AS83,AW83))</f>
        <v>#N/A</v>
      </c>
    </row>
    <row r="84" spans="1:50" x14ac:dyDescent="0.2">
      <c r="A84" s="404"/>
      <c r="B84" s="245" t="s">
        <v>68</v>
      </c>
      <c r="C84" s="245" t="s">
        <v>58</v>
      </c>
      <c r="D84" s="245" t="str">
        <f t="shared" si="26"/>
        <v>EURONOIS10Y=</v>
      </c>
      <c r="E84" s="245" t="str">
        <f>_xll.qlSimpleQuote(D84,,RateTickValue,Permanent,Trigger,ObjectOverwrite)</f>
        <v>EURONOIS10Y=#0006</v>
      </c>
      <c r="F84" s="246">
        <f>_xll.RtGet("DTSIMI1",D84,$F$3)/100</f>
        <v>4.6500000000000005E-3</v>
      </c>
      <c r="G84" s="246">
        <f>_xll.RtGet("DTSIMI1",D84,$G$3)/100</f>
        <v>4.6500000000000005E-3</v>
      </c>
      <c r="H84" s="246">
        <f t="shared" si="24"/>
        <v>4.6500000000000005E-3</v>
      </c>
      <c r="I84" s="315"/>
      <c r="J84" s="293" t="e">
        <f>IF(ISBLANK(I84),_xll.qlSimpleQuoteSetValue(E84,H84),_xll.qlSimpleQuoteSetValue(E84,I84))</f>
        <v>#N/A</v>
      </c>
      <c r="K84" s="247"/>
      <c r="L84" s="245" t="s">
        <v>91</v>
      </c>
      <c r="M84" s="245" t="s">
        <v>58</v>
      </c>
      <c r="N84" s="245" t="str">
        <f t="shared" si="27"/>
        <v>EUR1MSW10Y=</v>
      </c>
      <c r="O84" s="245" t="str">
        <f>_xll.qlSimpleQuote(N84,,RateTickValue,Permanent,Trigger,ObjectOverwrite)</f>
        <v>EUR1MSW10Y=#0006</v>
      </c>
      <c r="P84" s="246">
        <f>_xll.RtGet("DTSIMI1",N84,$P$3)/100</f>
        <v>4.5999999999999999E-3</v>
      </c>
      <c r="Q84" s="246">
        <f>_xll.RtGet("DTSIMI1",N84,$Q$3)/100</f>
        <v>4.5999999999999999E-3</v>
      </c>
      <c r="R84" s="246">
        <f t="shared" si="25"/>
        <v>4.5999999999999999E-3</v>
      </c>
      <c r="S84" s="315"/>
      <c r="T84" s="293" t="e">
        <f>IF(ISBLANK(S84),_xll.qlSimpleQuoteSetValue(O84,R84),_xll.qlSimpleQuoteSetValue(O84,S84))</f>
        <v>#N/A</v>
      </c>
      <c r="U84" s="243"/>
      <c r="V84" s="245" t="s">
        <v>91</v>
      </c>
      <c r="W84" s="245" t="s">
        <v>58</v>
      </c>
      <c r="X84" s="245" t="str">
        <f t="shared" si="32"/>
        <v>EUR3MSW10Y=</v>
      </c>
      <c r="Y84" s="245" t="str">
        <f>_xll.qlSimpleQuote(X84,,RateTickValue,Permanent,Trigger,ObjectOverwrite)</f>
        <v>EUR3MSW10Y=#0006</v>
      </c>
      <c r="Z84" s="246">
        <f>_xll.RtGet("DTSIMI1",X84,$Z$3)/100</f>
        <v>5.6200000000000009E-3</v>
      </c>
      <c r="AA84" s="246">
        <f>_xll.RtGet("DTSIMI1",X84,$AA$3)/100</f>
        <v>5.6200000000000009E-3</v>
      </c>
      <c r="AB84" s="246">
        <f t="shared" si="28"/>
        <v>5.6200000000000009E-3</v>
      </c>
      <c r="AC84" s="315"/>
      <c r="AD84" s="293" t="e">
        <f>IF(ISBLANK(AC84),_xll.qlSimpleQuoteSetValue(Y84,AB84),_xll.qlSimpleQuoteSetValue(Y84,AC84))</f>
        <v>#N/A</v>
      </c>
      <c r="AE84" s="248"/>
      <c r="AF84" s="245" t="s">
        <v>91</v>
      </c>
      <c r="AG84" s="245" t="s">
        <v>58</v>
      </c>
      <c r="AH84" s="245" t="str">
        <f t="shared" si="33"/>
        <v>EUR6MSW10Y=</v>
      </c>
      <c r="AI84" s="245" t="str">
        <f>_xll.qlSimpleQuote(AH84,,RateTickValue,Permanent,Trigger,ObjectOverwrite)</f>
        <v>EUR6MSW10Y=#0006</v>
      </c>
      <c r="AJ84" s="246">
        <f>_xll.RtGet("DTSIMI1",AH84,$AJ$3)/100</f>
        <v>6.7700000000000008E-3</v>
      </c>
      <c r="AK84" s="246">
        <f>_xll.RtGet("DTSIMI1",AH84,$AK$3)/100</f>
        <v>6.7700000000000008E-3</v>
      </c>
      <c r="AL84" s="246">
        <f t="shared" si="29"/>
        <v>6.7700000000000008E-3</v>
      </c>
      <c r="AM84" s="315"/>
      <c r="AN84" s="293" t="e">
        <f>IF(ISBLANK(AM84),_xll.qlSimpleQuoteSetValue(AI84,AL84),_xll.qlSimpleQuoteSetValue(AI84,AM84))</f>
        <v>#N/A</v>
      </c>
      <c r="AO84" s="243"/>
      <c r="AP84" s="245" t="s">
        <v>91</v>
      </c>
      <c r="AQ84" s="245" t="s">
        <v>58</v>
      </c>
      <c r="AR84" s="245" t="str">
        <f t="shared" si="34"/>
        <v>EUR1YSW10Y=</v>
      </c>
      <c r="AS84" s="245" t="str">
        <f>_xll.qlSimpleQuote(AR84,,RateTickValue,Permanent,Trigger,ObjectOverwrite)</f>
        <v>EUR1YSW10Y=#0006</v>
      </c>
      <c r="AT84" s="246">
        <f>_xll.RtGet("DTSIMI1",AR84,$AT$3)/100</f>
        <v>7.9100000000000004E-3</v>
      </c>
      <c r="AU84" s="246">
        <f>_xll.RtGet("DTSIMI1",AR84,$AU$3)/100</f>
        <v>7.9100000000000004E-3</v>
      </c>
      <c r="AV84" s="246">
        <f t="shared" si="31"/>
        <v>7.9100000000000004E-3</v>
      </c>
      <c r="AW84" s="315"/>
      <c r="AX84" s="293" t="e">
        <f>IF(ISBLANK(AW84),_xll.qlSimpleQuoteSetValue(AS84,AV84),_xll.qlSimpleQuoteSetValue(AS84,AW84))</f>
        <v>#N/A</v>
      </c>
    </row>
    <row r="85" spans="1:50" x14ac:dyDescent="0.2">
      <c r="A85" s="404"/>
      <c r="B85" s="245" t="s">
        <v>68</v>
      </c>
      <c r="C85" s="245" t="s">
        <v>99</v>
      </c>
      <c r="D85" s="245" t="str">
        <f t="shared" si="26"/>
        <v>EURONOIS11Y=</v>
      </c>
      <c r="E85" s="245" t="str">
        <f>_xll.qlSimpleQuote(D85,,RateTickValue,Permanent,Trigger,ObjectOverwrite)</f>
        <v>EURONOIS11Y=#0006</v>
      </c>
      <c r="F85" s="246">
        <f>_xll.RtGet("DTSIMI1",D85,$F$3)/100</f>
        <v>5.680000000000001E-3</v>
      </c>
      <c r="G85" s="246">
        <f>_xll.RtGet("DTSIMI1",D85,$G$3)/100</f>
        <v>5.680000000000001E-3</v>
      </c>
      <c r="H85" s="246">
        <f t="shared" si="24"/>
        <v>5.680000000000001E-3</v>
      </c>
      <c r="I85" s="315"/>
      <c r="J85" s="293" t="e">
        <f>IF(ISBLANK(I85),_xll.qlSimpleQuoteSetValue(E85,H85),_xll.qlSimpleQuoteSetValue(E85,I85))</f>
        <v>#N/A</v>
      </c>
      <c r="K85" s="247"/>
      <c r="L85" s="245" t="s">
        <v>91</v>
      </c>
      <c r="M85" s="245" t="s">
        <v>99</v>
      </c>
      <c r="N85" s="245" t="str">
        <f t="shared" si="27"/>
        <v>EUR1MSW11Y=</v>
      </c>
      <c r="O85" s="245" t="str">
        <f>_xll.qlSimpleQuote(N85,,RateTickValue,Permanent,Trigger,ObjectOverwrite)</f>
        <v>EUR1MSW11Y=#0006</v>
      </c>
      <c r="P85" s="246">
        <f>_xll.RtGet("DTSIMI1",N85,$P$3)/100</f>
        <v>5.6499510500000009E-3</v>
      </c>
      <c r="Q85" s="246">
        <f>_xll.RtGet("DTSIMI1",N85,$Q$3)/100</f>
        <v>5.6499510500000009E-3</v>
      </c>
      <c r="R85" s="246">
        <f t="shared" si="25"/>
        <v>5.6499510500000009E-3</v>
      </c>
      <c r="S85" s="315"/>
      <c r="T85" s="293" t="e">
        <f>IF(ISBLANK(S85),_xll.qlSimpleQuoteSetValue(O85,R85),_xll.qlSimpleQuoteSetValue(O85,S85))</f>
        <v>#N/A</v>
      </c>
      <c r="U85" s="243"/>
      <c r="V85" s="245" t="s">
        <v>91</v>
      </c>
      <c r="W85" s="245" t="s">
        <v>99</v>
      </c>
      <c r="X85" s="245" t="str">
        <f t="shared" si="32"/>
        <v>EUR3MSW11Y=</v>
      </c>
      <c r="Y85" s="245" t="str">
        <f>_xll.qlSimpleQuote(X85,,RateTickValue,Permanent,Trigger,ObjectOverwrite)</f>
        <v>EUR3MSW11Y=#0006</v>
      </c>
      <c r="Z85" s="246">
        <f>_xll.RtGet("DTSIMI1",X85,$Z$3)/100</f>
        <v>6.6468254800000001E-3</v>
      </c>
      <c r="AA85" s="246">
        <f>_xll.RtGet("DTSIMI1",X85,$AA$3)/100</f>
        <v>6.6468254800000001E-3</v>
      </c>
      <c r="AB85" s="246">
        <f t="shared" si="28"/>
        <v>6.6468254800000001E-3</v>
      </c>
      <c r="AC85" s="315"/>
      <c r="AD85" s="293" t="e">
        <f>IF(ISBLANK(AC85),_xll.qlSimpleQuoteSetValue(Y85,AB85),_xll.qlSimpleQuoteSetValue(Y85,AC85))</f>
        <v>#N/A</v>
      </c>
      <c r="AE85" s="248"/>
      <c r="AF85" s="245" t="s">
        <v>91</v>
      </c>
      <c r="AG85" s="245" t="s">
        <v>99</v>
      </c>
      <c r="AH85" s="245" t="str">
        <f t="shared" si="33"/>
        <v>EUR6MSW11Y=</v>
      </c>
      <c r="AI85" s="245" t="str">
        <f>_xll.qlSimpleQuote(AH85,,RateTickValue,Permanent,Trigger,ObjectOverwrite)</f>
        <v>EUR6MSW11Y=#0006</v>
      </c>
      <c r="AJ85" s="246">
        <f>_xll.RtGet("DTSIMI1",AH85,$AJ$3)/100</f>
        <v>7.7364216900000001E-3</v>
      </c>
      <c r="AK85" s="246">
        <f>_xll.RtGet("DTSIMI1",AH85,$AK$3)/100</f>
        <v>7.7364216900000001E-3</v>
      </c>
      <c r="AL85" s="246">
        <f t="shared" si="29"/>
        <v>7.7364216900000001E-3</v>
      </c>
      <c r="AM85" s="315"/>
      <c r="AN85" s="293" t="e">
        <f>IF(ISBLANK(AM85),_xll.qlSimpleQuoteSetValue(AI85,AL85),_xll.qlSimpleQuoteSetValue(AI85,AM85))</f>
        <v>#N/A</v>
      </c>
      <c r="AO85" s="243"/>
      <c r="AP85" s="245" t="s">
        <v>91</v>
      </c>
      <c r="AQ85" s="245" t="s">
        <v>99</v>
      </c>
      <c r="AR85" s="245" t="str">
        <f t="shared" si="34"/>
        <v>EUR1YSW11Y=</v>
      </c>
      <c r="AS85" s="245" t="str">
        <f>_xll.qlSimpleQuote(AR85,,RateTickValue,Permanent,Trigger,ObjectOverwrite)</f>
        <v>EUR1YSW11Y=#0006</v>
      </c>
      <c r="AT85" s="246">
        <f>_xll.RtGet("DTSIMI1",AR85,$AT$3)/100</f>
        <v>8.8171829500000003E-3</v>
      </c>
      <c r="AU85" s="246">
        <f>_xll.RtGet("DTSIMI1",AR85,$AU$3)/100</f>
        <v>8.8171829500000003E-3</v>
      </c>
      <c r="AV85" s="246">
        <f t="shared" si="31"/>
        <v>8.8171829500000003E-3</v>
      </c>
      <c r="AW85" s="315"/>
      <c r="AX85" s="293" t="e">
        <f>IF(ISBLANK(AW85),_xll.qlSimpleQuoteSetValue(AS85,AV85),_xll.qlSimpleQuoteSetValue(AS85,AW85))</f>
        <v>#N/A</v>
      </c>
    </row>
    <row r="86" spans="1:50" x14ac:dyDescent="0.2">
      <c r="A86" s="404"/>
      <c r="B86" s="245" t="s">
        <v>68</v>
      </c>
      <c r="C86" s="245" t="s">
        <v>59</v>
      </c>
      <c r="D86" s="245" t="str">
        <f t="shared" si="26"/>
        <v>EURONOIS12Y=</v>
      </c>
      <c r="E86" s="245" t="str">
        <f>_xll.qlSimpleQuote(D86,,RateTickValue,Permanent,Trigger,ObjectOverwrite)</f>
        <v>EURONOIS12Y=#0006</v>
      </c>
      <c r="F86" s="246">
        <f>_xll.RtGet("DTSIMI1",D86,$F$3)/100</f>
        <v>6.6E-3</v>
      </c>
      <c r="G86" s="246">
        <f>_xll.RtGet("DTSIMI1",D86,$G$3)/100</f>
        <v>6.6E-3</v>
      </c>
      <c r="H86" s="246">
        <f t="shared" si="24"/>
        <v>6.6E-3</v>
      </c>
      <c r="I86" s="315"/>
      <c r="J86" s="293" t="e">
        <f>IF(ISBLANK(I86),_xll.qlSimpleQuoteSetValue(E86,H86),_xll.qlSimpleQuoteSetValue(E86,I86))</f>
        <v>#N/A</v>
      </c>
      <c r="K86" s="247"/>
      <c r="L86" s="245" t="s">
        <v>91</v>
      </c>
      <c r="M86" s="245" t="s">
        <v>59</v>
      </c>
      <c r="N86" s="245" t="str">
        <f t="shared" si="27"/>
        <v>EUR1MSW12Y=</v>
      </c>
      <c r="O86" s="245" t="str">
        <f>_xll.qlSimpleQuote(N86,,RateTickValue,Permanent,Trigger,ObjectOverwrite)</f>
        <v>EUR1MSW12Y=#0006</v>
      </c>
      <c r="P86" s="246">
        <f>_xll.RtGet("DTSIMI1",N86,$P$3)/100</f>
        <v>6.5799999999999999E-3</v>
      </c>
      <c r="Q86" s="246">
        <f>_xll.RtGet("DTSIMI1",N86,$Q$3)/100</f>
        <v>6.5799999999999999E-3</v>
      </c>
      <c r="R86" s="246">
        <f t="shared" si="25"/>
        <v>6.5799999999999999E-3</v>
      </c>
      <c r="S86" s="315"/>
      <c r="T86" s="293" t="e">
        <f>IF(ISBLANK(S86),_xll.qlSimpleQuoteSetValue(O86,R86),_xll.qlSimpleQuoteSetValue(O86,S86))</f>
        <v>#N/A</v>
      </c>
      <c r="U86" s="243"/>
      <c r="V86" s="245" t="s">
        <v>91</v>
      </c>
      <c r="W86" s="245" t="s">
        <v>59</v>
      </c>
      <c r="X86" s="245" t="str">
        <f t="shared" si="32"/>
        <v>EUR3MSW12Y=</v>
      </c>
      <c r="Y86" s="245" t="str">
        <f>_xll.qlSimpleQuote(X86,,RateTickValue,Permanent,Trigger,ObjectOverwrite)</f>
        <v>EUR3MSW12Y=#0006</v>
      </c>
      <c r="Z86" s="246">
        <f>_xll.RtGet("DTSIMI1",X86,$Z$3)/100</f>
        <v>7.5599999999999999E-3</v>
      </c>
      <c r="AA86" s="246">
        <f>_xll.RtGet("DTSIMI1",X86,$AA$3)/100</f>
        <v>7.5599999999999999E-3</v>
      </c>
      <c r="AB86" s="246">
        <f t="shared" ref="AB86:AB116" si="35">AVERAGE(Z86:AA86)</f>
        <v>7.5599999999999999E-3</v>
      </c>
      <c r="AC86" s="315"/>
      <c r="AD86" s="293" t="e">
        <f>IF(ISBLANK(AC86),_xll.qlSimpleQuoteSetValue(Y86,AB86),_xll.qlSimpleQuoteSetValue(Y86,AC86))</f>
        <v>#N/A</v>
      </c>
      <c r="AE86" s="248"/>
      <c r="AF86" s="245" t="s">
        <v>91</v>
      </c>
      <c r="AG86" s="245" t="s">
        <v>59</v>
      </c>
      <c r="AH86" s="245" t="str">
        <f t="shared" si="33"/>
        <v>EUR6MSW12Y=</v>
      </c>
      <c r="AI86" s="245" t="str">
        <f>_xll.qlSimpleQuote(AH86,,RateTickValue,Permanent,Trigger,ObjectOverwrite)</f>
        <v>EUR6MSW12Y=#0006</v>
      </c>
      <c r="AJ86" s="246">
        <f>_xll.RtGet("DTSIMI1",AH86,$AJ$3)/100</f>
        <v>8.5900000000000004E-3</v>
      </c>
      <c r="AK86" s="246">
        <f>_xll.RtGet("DTSIMI1",AH86,$AK$3)/100</f>
        <v>8.5900000000000004E-3</v>
      </c>
      <c r="AL86" s="246">
        <f t="shared" si="29"/>
        <v>8.5900000000000004E-3</v>
      </c>
      <c r="AM86" s="315"/>
      <c r="AN86" s="293" t="e">
        <f>IF(ISBLANK(AM86),_xll.qlSimpleQuoteSetValue(AI86,AL86),_xll.qlSimpleQuoteSetValue(AI86,AM86))</f>
        <v>#N/A</v>
      </c>
      <c r="AO86" s="243"/>
      <c r="AP86" s="245" t="s">
        <v>91</v>
      </c>
      <c r="AQ86" s="245" t="s">
        <v>59</v>
      </c>
      <c r="AR86" s="245" t="str">
        <f t="shared" si="34"/>
        <v>EUR1YSW12Y=</v>
      </c>
      <c r="AS86" s="245" t="str">
        <f>_xll.qlSimpleQuote(AR86,,RateTickValue,Permanent,Trigger,ObjectOverwrite)</f>
        <v>EUR1YSW12Y=#0006</v>
      </c>
      <c r="AT86" s="246">
        <f>_xll.RtGet("DTSIMI1",AR86,$AT$3)/100</f>
        <v>9.6100000000000005E-3</v>
      </c>
      <c r="AU86" s="246">
        <f>_xll.RtGet("DTSIMI1",AR86,$AU$3)/100</f>
        <v>9.6100000000000005E-3</v>
      </c>
      <c r="AV86" s="246">
        <f t="shared" si="31"/>
        <v>9.6100000000000005E-3</v>
      </c>
      <c r="AW86" s="315"/>
      <c r="AX86" s="293" t="e">
        <f>IF(ISBLANK(AW86),_xll.qlSimpleQuoteSetValue(AS86,AV86),_xll.qlSimpleQuoteSetValue(AS86,AW86))</f>
        <v>#N/A</v>
      </c>
    </row>
    <row r="87" spans="1:50" x14ac:dyDescent="0.2">
      <c r="A87" s="404"/>
      <c r="B87" s="245" t="s">
        <v>68</v>
      </c>
      <c r="C87" s="245" t="s">
        <v>100</v>
      </c>
      <c r="D87" s="245" t="str">
        <f t="shared" si="26"/>
        <v>EURONOIS13Y=</v>
      </c>
      <c r="E87" s="245" t="str">
        <f>_xll.qlSimpleQuote(D87,,RateTickValue,Permanent,Trigger,ObjectOverwrite)</f>
        <v>EURONOIS13Y=#0006</v>
      </c>
      <c r="F87" s="246">
        <f>_xll.RtGet("DTSIMI1",D87,$F$3)/100</f>
        <v>7.3895937300000004E-3</v>
      </c>
      <c r="G87" s="246">
        <f>_xll.RtGet("DTSIMI1",D87,$G$3)/100</f>
        <v>7.3895937300000004E-3</v>
      </c>
      <c r="H87" s="246">
        <f t="shared" si="24"/>
        <v>7.3895937300000004E-3</v>
      </c>
      <c r="I87" s="315"/>
      <c r="J87" s="293" t="e">
        <f>IF(ISBLANK(I87),_xll.qlSimpleQuoteSetValue(E87,H87),_xll.qlSimpleQuoteSetValue(E87,I87))</f>
        <v>#N/A</v>
      </c>
      <c r="K87" s="247"/>
      <c r="L87" s="245" t="s">
        <v>91</v>
      </c>
      <c r="M87" s="245" t="s">
        <v>100</v>
      </c>
      <c r="N87" s="245" t="str">
        <f t="shared" si="27"/>
        <v>EUR1MSW13Y=</v>
      </c>
      <c r="O87" s="245" t="str">
        <f>_xll.qlSimpleQuote(N87,,RateTickValue,Permanent,Trigger,ObjectOverwrite)</f>
        <v>EUR1MSW13Y=#0006</v>
      </c>
      <c r="P87" s="246">
        <f>_xll.RtGet("DTSIMI1",N87,$P$3)/100</f>
        <v>7.3837159200000006E-3</v>
      </c>
      <c r="Q87" s="246">
        <f>_xll.RtGet("DTSIMI1",N87,$Q$3)/100</f>
        <v>7.3837159200000006E-3</v>
      </c>
      <c r="R87" s="246">
        <f t="shared" si="25"/>
        <v>7.3837159200000006E-3</v>
      </c>
      <c r="S87" s="315"/>
      <c r="T87" s="293" t="e">
        <f>IF(ISBLANK(S87),_xll.qlSimpleQuoteSetValue(O87,R87),_xll.qlSimpleQuoteSetValue(O87,S87))</f>
        <v>#N/A</v>
      </c>
      <c r="U87" s="243"/>
      <c r="V87" s="245" t="s">
        <v>91</v>
      </c>
      <c r="W87" s="245" t="s">
        <v>100</v>
      </c>
      <c r="X87" s="245" t="str">
        <f t="shared" si="32"/>
        <v>EUR3MSW13Y=</v>
      </c>
      <c r="Y87" s="245" t="str">
        <f>_xll.qlSimpleQuote(X87,,RateTickValue,Permanent,Trigger,ObjectOverwrite)</f>
        <v>EUR3MSW13Y=#0006</v>
      </c>
      <c r="Z87" s="246">
        <f>_xll.RtGet("DTSIMI1",X87,$Z$3)/100</f>
        <v>8.3428385100000006E-3</v>
      </c>
      <c r="AA87" s="246">
        <f>_xll.RtGet("DTSIMI1",X87,$AA$3)/100</f>
        <v>8.3428385100000006E-3</v>
      </c>
      <c r="AB87" s="246">
        <f t="shared" si="35"/>
        <v>8.3428385100000006E-3</v>
      </c>
      <c r="AC87" s="315"/>
      <c r="AD87" s="293" t="e">
        <f>IF(ISBLANK(AC87),_xll.qlSimpleQuoteSetValue(Y87,AB87),_xll.qlSimpleQuoteSetValue(Y87,AC87))</f>
        <v>#N/A</v>
      </c>
      <c r="AE87" s="248"/>
      <c r="AF87" s="245" t="s">
        <v>91</v>
      </c>
      <c r="AG87" s="245" t="s">
        <v>100</v>
      </c>
      <c r="AH87" s="245" t="str">
        <f t="shared" si="33"/>
        <v>EUR6MSW13Y=</v>
      </c>
      <c r="AI87" s="245" t="str">
        <f>_xll.qlSimpleQuote(AH87,,RateTickValue,Permanent,Trigger,ObjectOverwrite)</f>
        <v>EUR6MSW13Y=#0006</v>
      </c>
      <c r="AJ87" s="246">
        <f>_xll.RtGet("DTSIMI1",AH87,$AJ$3)/100</f>
        <v>9.3184720500000002E-3</v>
      </c>
      <c r="AK87" s="246">
        <f>_xll.RtGet("DTSIMI1",AH87,$AK$3)/100</f>
        <v>9.3184720500000002E-3</v>
      </c>
      <c r="AL87" s="246">
        <f t="shared" si="29"/>
        <v>9.3184720500000002E-3</v>
      </c>
      <c r="AM87" s="315"/>
      <c r="AN87" s="293" t="e">
        <f>IF(ISBLANK(AM87),_xll.qlSimpleQuoteSetValue(AI87,AL87),_xll.qlSimpleQuoteSetValue(AI87,AM87))</f>
        <v>#N/A</v>
      </c>
      <c r="AO87" s="243"/>
      <c r="AP87" s="245" t="s">
        <v>91</v>
      </c>
      <c r="AQ87" s="245" t="s">
        <v>100</v>
      </c>
      <c r="AR87" s="245" t="str">
        <f t="shared" si="34"/>
        <v>EUR1YSW13Y=</v>
      </c>
      <c r="AS87" s="245" t="str">
        <f>_xll.qlSimpleQuote(AR87,,RateTickValue,Permanent,Trigger,ObjectOverwrite)</f>
        <v>EUR1YSW13Y=#0006</v>
      </c>
      <c r="AT87" s="246">
        <f>_xll.RtGet("DTSIMI1",AR87,$AT$3)/100</f>
        <v>1.0280087989999999E-2</v>
      </c>
      <c r="AU87" s="246">
        <f>_xll.RtGet("DTSIMI1",AR87,$AU$3)/100</f>
        <v>1.0280087989999999E-2</v>
      </c>
      <c r="AV87" s="246">
        <f t="shared" si="31"/>
        <v>1.0280087989999999E-2</v>
      </c>
      <c r="AW87" s="315"/>
      <c r="AX87" s="293" t="e">
        <f>IF(ISBLANK(AW87),_xll.qlSimpleQuoteSetValue(AS87,AV87),_xll.qlSimpleQuoteSetValue(AS87,AW87))</f>
        <v>#N/A</v>
      </c>
    </row>
    <row r="88" spans="1:50" x14ac:dyDescent="0.2">
      <c r="A88" s="404"/>
      <c r="B88" s="245" t="s">
        <v>68</v>
      </c>
      <c r="C88" s="245" t="s">
        <v>101</v>
      </c>
      <c r="D88" s="245" t="str">
        <f t="shared" si="26"/>
        <v>EURONOIS14Y=</v>
      </c>
      <c r="E88" s="245" t="str">
        <f>_xll.qlSimpleQuote(D88,,RateTickValue,Permanent,Trigger,ObjectOverwrite)</f>
        <v>EURONOIS14Y=#0006</v>
      </c>
      <c r="F88" s="246">
        <f>_xll.RtGet("DTSIMI1",D88,$F$3)/100</f>
        <v>8.0681237400000005E-3</v>
      </c>
      <c r="G88" s="246">
        <f>_xll.RtGet("DTSIMI1",D88,$G$3)/100</f>
        <v>8.0681237400000005E-3</v>
      </c>
      <c r="H88" s="246">
        <f t="shared" si="24"/>
        <v>8.0681237400000005E-3</v>
      </c>
      <c r="I88" s="315"/>
      <c r="J88" s="293" t="e">
        <f>IF(ISBLANK(I88),_xll.qlSimpleQuoteSetValue(E88,H88),_xll.qlSimpleQuoteSetValue(E88,I88))</f>
        <v>#N/A</v>
      </c>
      <c r="K88" s="247"/>
      <c r="L88" s="245" t="s">
        <v>91</v>
      </c>
      <c r="M88" s="245" t="s">
        <v>101</v>
      </c>
      <c r="N88" s="245" t="str">
        <f t="shared" si="27"/>
        <v>EUR1MSW14Y=</v>
      </c>
      <c r="O88" s="245" t="str">
        <f>_xll.qlSimpleQuote(N88,,RateTickValue,Permanent,Trigger,ObjectOverwrite)</f>
        <v>EUR1MSW14Y=#0006</v>
      </c>
      <c r="P88" s="246">
        <f>_xll.RtGet("DTSIMI1",N88,$P$3)/100</f>
        <v>8.0810838700000002E-3</v>
      </c>
      <c r="Q88" s="246">
        <f>_xll.RtGet("DTSIMI1",N88,$Q$3)/100</f>
        <v>8.0810838700000002E-3</v>
      </c>
      <c r="R88" s="246">
        <f t="shared" si="25"/>
        <v>8.0810838700000002E-3</v>
      </c>
      <c r="S88" s="315"/>
      <c r="T88" s="293" t="e">
        <f>IF(ISBLANK(S88),_xll.qlSimpleQuoteSetValue(O88,R88),_xll.qlSimpleQuoteSetValue(O88,S88))</f>
        <v>#N/A</v>
      </c>
      <c r="U88" s="243"/>
      <c r="V88" s="245" t="s">
        <v>91</v>
      </c>
      <c r="W88" s="245" t="s">
        <v>101</v>
      </c>
      <c r="X88" s="245" t="str">
        <f t="shared" si="32"/>
        <v>EUR3MSW14Y=</v>
      </c>
      <c r="Y88" s="245" t="str">
        <f>_xll.qlSimpleQuote(X88,,RateTickValue,Permanent,Trigger,ObjectOverwrite)</f>
        <v>EUR3MSW14Y=#0006</v>
      </c>
      <c r="Z88" s="246">
        <f>_xll.RtGet("DTSIMI1",X88,$Z$3)/100</f>
        <v>9.0158819200000014E-3</v>
      </c>
      <c r="AA88" s="246">
        <f>_xll.RtGet("DTSIMI1",X88,$AA$3)/100</f>
        <v>9.0158819200000014E-3</v>
      </c>
      <c r="AB88" s="246">
        <f t="shared" si="35"/>
        <v>9.0158819200000014E-3</v>
      </c>
      <c r="AC88" s="315"/>
      <c r="AD88" s="293" t="e">
        <f>IF(ISBLANK(AC88),_xll.qlSimpleQuoteSetValue(Y88,AB88),_xll.qlSimpleQuoteSetValue(Y88,AC88))</f>
        <v>#N/A</v>
      </c>
      <c r="AE88" s="248"/>
      <c r="AF88" s="245" t="s">
        <v>91</v>
      </c>
      <c r="AG88" s="245" t="s">
        <v>101</v>
      </c>
      <c r="AH88" s="245" t="str">
        <f t="shared" si="33"/>
        <v>EUR6MSW14Y=</v>
      </c>
      <c r="AI88" s="245" t="str">
        <f>_xll.qlSimpleQuote(AH88,,RateTickValue,Permanent,Trigger,ObjectOverwrite)</f>
        <v>EUR6MSW14Y=#0006</v>
      </c>
      <c r="AJ88" s="246">
        <f>_xll.RtGet("DTSIMI1",AH88,$AJ$3)/100</f>
        <v>9.9418868899999995E-3</v>
      </c>
      <c r="AK88" s="246">
        <f>_xll.RtGet("DTSIMI1",AH88,$AK$3)/100</f>
        <v>9.9418868899999995E-3</v>
      </c>
      <c r="AL88" s="246">
        <f t="shared" si="29"/>
        <v>9.9418868899999995E-3</v>
      </c>
      <c r="AM88" s="315"/>
      <c r="AN88" s="293" t="e">
        <f>IF(ISBLANK(AM88),_xll.qlSimpleQuoteSetValue(AI88,AL88),_xll.qlSimpleQuoteSetValue(AI88,AM88))</f>
        <v>#N/A</v>
      </c>
      <c r="AO88" s="243"/>
      <c r="AP88" s="245" t="s">
        <v>91</v>
      </c>
      <c r="AQ88" s="245" t="s">
        <v>101</v>
      </c>
      <c r="AR88" s="245" t="str">
        <f t="shared" si="34"/>
        <v>EUR1YSW14Y=</v>
      </c>
      <c r="AS88" s="245" t="str">
        <f>_xll.qlSimpleQuote(AR88,,RateTickValue,Permanent,Trigger,ObjectOverwrite)</f>
        <v>EUR1YSW14Y=#0006</v>
      </c>
      <c r="AT88" s="246">
        <f>_xll.RtGet("DTSIMI1",AR88,$AT$3)/100</f>
        <v>1.0849485730000002E-2</v>
      </c>
      <c r="AU88" s="246">
        <f>_xll.RtGet("DTSIMI1",AR88,$AU$3)/100</f>
        <v>1.0849485730000002E-2</v>
      </c>
      <c r="AV88" s="246">
        <f t="shared" si="31"/>
        <v>1.0849485730000002E-2</v>
      </c>
      <c r="AW88" s="315"/>
      <c r="AX88" s="293" t="e">
        <f>IF(ISBLANK(AW88),_xll.qlSimpleQuoteSetValue(AS88,AV88),_xll.qlSimpleQuoteSetValue(AS88,AW88))</f>
        <v>#N/A</v>
      </c>
    </row>
    <row r="89" spans="1:50" x14ac:dyDescent="0.2">
      <c r="A89" s="404"/>
      <c r="B89" s="245" t="s">
        <v>68</v>
      </c>
      <c r="C89" s="245" t="s">
        <v>60</v>
      </c>
      <c r="D89" s="245" t="str">
        <f t="shared" si="26"/>
        <v>EURONOIS15Y=</v>
      </c>
      <c r="E89" s="245" t="str">
        <f>_xll.qlSimpleQuote(D89,,RateTickValue,Permanent,Trigger,ObjectOverwrite)</f>
        <v>EURONOIS15Y=#0006</v>
      </c>
      <c r="F89" s="246">
        <f>_xll.RtGet("DTSIMI1",D89,$F$3)/100</f>
        <v>8.6499999999999997E-3</v>
      </c>
      <c r="G89" s="246">
        <f>_xll.RtGet("DTSIMI1",D89,$G$3)/100</f>
        <v>8.6499999999999997E-3</v>
      </c>
      <c r="H89" s="246">
        <f t="shared" si="24"/>
        <v>8.6499999999999997E-3</v>
      </c>
      <c r="I89" s="315"/>
      <c r="J89" s="293" t="e">
        <f>IF(ISBLANK(I89),_xll.qlSimpleQuoteSetValue(E89,H89),_xll.qlSimpleQuoteSetValue(E89,I89))</f>
        <v>#N/A</v>
      </c>
      <c r="K89" s="247"/>
      <c r="L89" s="245" t="s">
        <v>91</v>
      </c>
      <c r="M89" s="245" t="s">
        <v>60</v>
      </c>
      <c r="N89" s="245" t="str">
        <f t="shared" si="27"/>
        <v>EUR1MSW15Y=</v>
      </c>
      <c r="O89" s="245" t="str">
        <f>_xll.qlSimpleQuote(N89,,RateTickValue,Permanent,Trigger,ObjectOverwrite)</f>
        <v>EUR1MSW15Y=#0006</v>
      </c>
      <c r="P89" s="246">
        <f>_xll.RtGet("DTSIMI1",N89,$P$3)/100</f>
        <v>8.6800000000000002E-3</v>
      </c>
      <c r="Q89" s="246">
        <f>_xll.RtGet("DTSIMI1",N89,$Q$3)/100</f>
        <v>8.6800000000000002E-3</v>
      </c>
      <c r="R89" s="246">
        <f t="shared" si="25"/>
        <v>8.6800000000000002E-3</v>
      </c>
      <c r="S89" s="315"/>
      <c r="T89" s="293" t="e">
        <f>IF(ISBLANK(S89),_xll.qlSimpleQuoteSetValue(O89,R89),_xll.qlSimpleQuoteSetValue(O89,S89))</f>
        <v>#N/A</v>
      </c>
      <c r="U89" s="243"/>
      <c r="V89" s="245" t="s">
        <v>91</v>
      </c>
      <c r="W89" s="245" t="s">
        <v>60</v>
      </c>
      <c r="X89" s="245" t="str">
        <f t="shared" si="32"/>
        <v>EUR3MSW15Y=</v>
      </c>
      <c r="Y89" s="245" t="str">
        <f>_xll.qlSimpleQuote(X89,,RateTickValue,Permanent,Trigger,ObjectOverwrite)</f>
        <v>EUR3MSW15Y=#0006</v>
      </c>
      <c r="Z89" s="246">
        <f>_xll.RtGet("DTSIMI1",X89,$Z$3)/100</f>
        <v>9.5900000000000013E-3</v>
      </c>
      <c r="AA89" s="246">
        <f>_xll.RtGet("DTSIMI1",X89,$AA$3)/100</f>
        <v>9.5900000000000013E-3</v>
      </c>
      <c r="AB89" s="246">
        <f t="shared" si="35"/>
        <v>9.5900000000000013E-3</v>
      </c>
      <c r="AC89" s="315"/>
      <c r="AD89" s="293" t="e">
        <f>IF(ISBLANK(AC89),_xll.qlSimpleQuoteSetValue(Y89,AB89),_xll.qlSimpleQuoteSetValue(Y89,AC89))</f>
        <v>#N/A</v>
      </c>
      <c r="AE89" s="248"/>
      <c r="AF89" s="245" t="s">
        <v>91</v>
      </c>
      <c r="AG89" s="245" t="s">
        <v>60</v>
      </c>
      <c r="AH89" s="245" t="str">
        <f t="shared" si="33"/>
        <v>EUR6MSW15Y=</v>
      </c>
      <c r="AI89" s="245" t="str">
        <f>_xll.qlSimpleQuote(AH89,,RateTickValue,Permanent,Trigger,ObjectOverwrite)</f>
        <v>EUR6MSW15Y=#0006</v>
      </c>
      <c r="AJ89" s="246">
        <f>_xll.RtGet("DTSIMI1",AH89,$AJ$3)/100</f>
        <v>1.047E-2</v>
      </c>
      <c r="AK89" s="246">
        <f>_xll.RtGet("DTSIMI1",AH89,$AK$3)/100</f>
        <v>1.047E-2</v>
      </c>
      <c r="AL89" s="246">
        <f t="shared" si="29"/>
        <v>1.047E-2</v>
      </c>
      <c r="AM89" s="315"/>
      <c r="AN89" s="293" t="e">
        <f>IF(ISBLANK(AM89),_xll.qlSimpleQuoteSetValue(AI89,AL89),_xll.qlSimpleQuoteSetValue(AI89,AM89))</f>
        <v>#N/A</v>
      </c>
      <c r="AO89" s="243"/>
      <c r="AP89" s="245" t="s">
        <v>91</v>
      </c>
      <c r="AQ89" s="245" t="s">
        <v>60</v>
      </c>
      <c r="AR89" s="245" t="str">
        <f t="shared" si="34"/>
        <v>EUR1YSW15Y=</v>
      </c>
      <c r="AS89" s="245" t="str">
        <f>_xll.qlSimpleQuote(AR89,,RateTickValue,Permanent,Trigger,ObjectOverwrite)</f>
        <v>EUR1YSW15Y=#0006</v>
      </c>
      <c r="AT89" s="246">
        <f>_xll.RtGet("DTSIMI1",AR89,$AT$3)/100</f>
        <v>1.133E-2</v>
      </c>
      <c r="AU89" s="246">
        <f>_xll.RtGet("DTSIMI1",AR89,$AU$3)/100</f>
        <v>1.133E-2</v>
      </c>
      <c r="AV89" s="246">
        <f t="shared" si="31"/>
        <v>1.133E-2</v>
      </c>
      <c r="AW89" s="315"/>
      <c r="AX89" s="293" t="e">
        <f>IF(ISBLANK(AW89),_xll.qlSimpleQuoteSetValue(AS89,AV89),_xll.qlSimpleQuoteSetValue(AS89,AW89))</f>
        <v>#N/A</v>
      </c>
    </row>
    <row r="90" spans="1:50" x14ac:dyDescent="0.2">
      <c r="A90" s="404"/>
      <c r="B90" s="245" t="s">
        <v>68</v>
      </c>
      <c r="C90" s="245" t="s">
        <v>102</v>
      </c>
      <c r="D90" s="245" t="str">
        <f t="shared" si="26"/>
        <v>EURONOIS16Y=</v>
      </c>
      <c r="E90" s="245" t="str">
        <f>_xll.qlSimpleQuote(D90,,RateTickValue,Permanent,Trigger,ObjectOverwrite)</f>
        <v>EURONOIS16Y=#0006</v>
      </c>
      <c r="F90" s="246">
        <f>_xll.RtGet("DTSIMI1",D90,$F$3)/100</f>
        <v>9.1465199999999983E-3</v>
      </c>
      <c r="G90" s="246">
        <f>_xll.RtGet("DTSIMI1",D90,$G$3)/100</f>
        <v>9.1465199999999983E-3</v>
      </c>
      <c r="H90" s="246">
        <f t="shared" si="24"/>
        <v>9.1465199999999983E-3</v>
      </c>
      <c r="I90" s="315"/>
      <c r="J90" s="293" t="e">
        <f>IF(ISBLANK(I90),_xll.qlSimpleQuoteSetValue(E90,H90),_xll.qlSimpleQuoteSetValue(E90,I90))</f>
        <v>#N/A</v>
      </c>
      <c r="K90" s="247"/>
      <c r="L90" s="245" t="s">
        <v>91</v>
      </c>
      <c r="M90" s="245" t="s">
        <v>102</v>
      </c>
      <c r="N90" s="245" t="str">
        <f t="shared" si="27"/>
        <v>EUR1MSW16Y=</v>
      </c>
      <c r="O90" s="245" t="str">
        <f>_xll.qlSimpleQuote(N90,,RateTickValue,Permanent,Trigger,ObjectOverwrite)</f>
        <v>EUR1MSW16Y=#0006</v>
      </c>
      <c r="P90" s="246">
        <f>_xll.RtGet("DTSIMI1",N90,$P$3)/100</f>
        <v>9.1882162900000005E-3</v>
      </c>
      <c r="Q90" s="246">
        <f>_xll.RtGet("DTSIMI1",N90,$Q$3)/100</f>
        <v>9.1882162900000005E-3</v>
      </c>
      <c r="R90" s="246">
        <f t="shared" si="25"/>
        <v>9.1882162900000005E-3</v>
      </c>
      <c r="S90" s="315"/>
      <c r="T90" s="293" t="e">
        <f>IF(ISBLANK(S90),_xll.qlSimpleQuoteSetValue(O90,R90),_xll.qlSimpleQuoteSetValue(O90,S90))</f>
        <v>#N/A</v>
      </c>
      <c r="U90" s="243"/>
      <c r="V90" s="245" t="s">
        <v>91</v>
      </c>
      <c r="W90" s="245" t="s">
        <v>102</v>
      </c>
      <c r="X90" s="245" t="str">
        <f t="shared" si="32"/>
        <v>EUR3MSW16Y=</v>
      </c>
      <c r="Y90" s="245" t="str">
        <f>_xll.qlSimpleQuote(X90,,RateTickValue,Permanent,Trigger,ObjectOverwrite)</f>
        <v>EUR3MSW16Y=#0006</v>
      </c>
      <c r="Z90" s="246">
        <f>_xll.RtGet("DTSIMI1",X90,$Z$3)/100</f>
        <v>1.0075479890000001E-2</v>
      </c>
      <c r="AA90" s="246">
        <f>_xll.RtGet("DTSIMI1",X90,$AA$3)/100</f>
        <v>1.0075479890000001E-2</v>
      </c>
      <c r="AB90" s="246">
        <f t="shared" si="35"/>
        <v>1.0075479890000001E-2</v>
      </c>
      <c r="AC90" s="315"/>
      <c r="AD90" s="293" t="e">
        <f>IF(ISBLANK(AC90),_xll.qlSimpleQuoteSetValue(Y90,AB90),_xll.qlSimpleQuoteSetValue(Y90,AC90))</f>
        <v>#N/A</v>
      </c>
      <c r="AE90" s="248"/>
      <c r="AF90" s="245" t="s">
        <v>91</v>
      </c>
      <c r="AG90" s="245" t="s">
        <v>102</v>
      </c>
      <c r="AH90" s="245" t="str">
        <f t="shared" si="33"/>
        <v>EUR6MSW16Y=</v>
      </c>
      <c r="AI90" s="245" t="str">
        <f>_xll.qlSimpleQuote(AH90,,RateTickValue,Permanent,Trigger,ObjectOverwrite)</f>
        <v>EUR6MSW16Y=#0006</v>
      </c>
      <c r="AJ90" s="246">
        <f>_xll.RtGet("DTSIMI1",AH90,$AJ$3)/100</f>
        <v>1.0912421940000002E-2</v>
      </c>
      <c r="AK90" s="246">
        <f>_xll.RtGet("DTSIMI1",AH90,$AK$3)/100</f>
        <v>1.0912421940000002E-2</v>
      </c>
      <c r="AL90" s="246">
        <f t="shared" si="29"/>
        <v>1.0912421940000002E-2</v>
      </c>
      <c r="AM90" s="315"/>
      <c r="AN90" s="293" t="e">
        <f>IF(ISBLANK(AM90),_xll.qlSimpleQuoteSetValue(AI90,AL90),_xll.qlSimpleQuoteSetValue(AI90,AM90))</f>
        <v>#N/A</v>
      </c>
      <c r="AO90" s="243"/>
      <c r="AP90" s="245" t="s">
        <v>91</v>
      </c>
      <c r="AQ90" s="245" t="s">
        <v>102</v>
      </c>
      <c r="AR90" s="245" t="str">
        <f t="shared" si="34"/>
        <v>EUR1YSW16Y=</v>
      </c>
      <c r="AS90" s="245" t="str">
        <f>_xll.qlSimpleQuote(AR90,,RateTickValue,Permanent,Trigger,ObjectOverwrite)</f>
        <v>EUR1YSW16Y=#0006</v>
      </c>
      <c r="AT90" s="246">
        <f>_xll.RtGet("DTSIMI1",AR90,$AT$3)/100</f>
        <v>1.1732953620000002E-2</v>
      </c>
      <c r="AU90" s="246">
        <f>_xll.RtGet("DTSIMI1",AR90,$AU$3)/100</f>
        <v>1.1732953620000002E-2</v>
      </c>
      <c r="AV90" s="246">
        <f t="shared" si="31"/>
        <v>1.1732953620000002E-2</v>
      </c>
      <c r="AW90" s="315"/>
      <c r="AX90" s="293" t="e">
        <f>IF(ISBLANK(AW90),_xll.qlSimpleQuoteSetValue(AS90,AV90),_xll.qlSimpleQuoteSetValue(AS90,AW90))</f>
        <v>#N/A</v>
      </c>
    </row>
    <row r="91" spans="1:50" x14ac:dyDescent="0.2">
      <c r="A91" s="404"/>
      <c r="B91" s="245" t="s">
        <v>68</v>
      </c>
      <c r="C91" s="245" t="s">
        <v>103</v>
      </c>
      <c r="D91" s="245" t="str">
        <f t="shared" si="26"/>
        <v>EURONOIS17Y=</v>
      </c>
      <c r="E91" s="245" t="str">
        <f>_xll.qlSimpleQuote(D91,,RateTickValue,Permanent,Trigger,ObjectOverwrite)</f>
        <v>EURONOIS17Y=#0006</v>
      </c>
      <c r="F91" s="246">
        <f>_xll.RtGet("DTSIMI1",D91,$F$3)/100</f>
        <v>9.5643919700000007E-3</v>
      </c>
      <c r="G91" s="246">
        <f>_xll.RtGet("DTSIMI1",D91,$G$3)/100</f>
        <v>9.5643919700000007E-3</v>
      </c>
      <c r="H91" s="246">
        <f t="shared" si="24"/>
        <v>9.5643919700000007E-3</v>
      </c>
      <c r="I91" s="315"/>
      <c r="J91" s="293" t="e">
        <f>IF(ISBLANK(I91),_xll.qlSimpleQuoteSetValue(E91,H91),_xll.qlSimpleQuoteSetValue(E91,I91))</f>
        <v>#N/A</v>
      </c>
      <c r="K91" s="247"/>
      <c r="L91" s="245" t="s">
        <v>91</v>
      </c>
      <c r="M91" s="245" t="s">
        <v>103</v>
      </c>
      <c r="N91" s="245" t="str">
        <f t="shared" si="27"/>
        <v>EUR1MSW17Y=</v>
      </c>
      <c r="O91" s="245" t="str">
        <f>_xll.qlSimpleQuote(N91,,RateTickValue,Permanent,Trigger,ObjectOverwrite)</f>
        <v>EUR1MSW17Y=#0006</v>
      </c>
      <c r="P91" s="246">
        <f>_xll.RtGet("DTSIMI1",N91,$P$3)/100</f>
        <v>9.6105547100000018E-3</v>
      </c>
      <c r="Q91" s="246">
        <f>_xll.RtGet("DTSIMI1",N91,$Q$3)/100</f>
        <v>9.6105547100000018E-3</v>
      </c>
      <c r="R91" s="246">
        <f t="shared" si="25"/>
        <v>9.6105547100000018E-3</v>
      </c>
      <c r="S91" s="315"/>
      <c r="T91" s="293" t="e">
        <f>IF(ISBLANK(S91),_xll.qlSimpleQuoteSetValue(O91,R91),_xll.qlSimpleQuoteSetValue(O91,S91))</f>
        <v>#N/A</v>
      </c>
      <c r="U91" s="243"/>
      <c r="V91" s="245" t="s">
        <v>91</v>
      </c>
      <c r="W91" s="245" t="s">
        <v>103</v>
      </c>
      <c r="X91" s="245" t="str">
        <f t="shared" si="32"/>
        <v>EUR3MSW17Y=</v>
      </c>
      <c r="Y91" s="245" t="str">
        <f>_xll.qlSimpleQuote(X91,,RateTickValue,Permanent,Trigger,ObjectOverwrite)</f>
        <v>EUR3MSW17Y=#0006</v>
      </c>
      <c r="Z91" s="246">
        <f>_xll.RtGet("DTSIMI1",X91,$Z$3)/100</f>
        <v>1.047697597E-2</v>
      </c>
      <c r="AA91" s="246">
        <f>_xll.RtGet("DTSIMI1",X91,$AA$3)/100</f>
        <v>1.047697597E-2</v>
      </c>
      <c r="AB91" s="246">
        <f t="shared" si="35"/>
        <v>1.047697597E-2</v>
      </c>
      <c r="AC91" s="315"/>
      <c r="AD91" s="293" t="e">
        <f>IF(ISBLANK(AC91),_xll.qlSimpleQuoteSetValue(Y91,AB91),_xll.qlSimpleQuoteSetValue(Y91,AC91))</f>
        <v>#N/A</v>
      </c>
      <c r="AE91" s="248"/>
      <c r="AF91" s="245" t="s">
        <v>91</v>
      </c>
      <c r="AG91" s="245" t="s">
        <v>103</v>
      </c>
      <c r="AH91" s="245" t="str">
        <f t="shared" si="33"/>
        <v>EUR6MSW17Y=</v>
      </c>
      <c r="AI91" s="245" t="str">
        <f>_xll.qlSimpleQuote(AH91,,RateTickValue,Permanent,Trigger,ObjectOverwrite)</f>
        <v>EUR6MSW17Y=#0006</v>
      </c>
      <c r="AJ91" s="246">
        <f>_xll.RtGet("DTSIMI1",AH91,$AJ$3)/100</f>
        <v>1.1273501890000003E-2</v>
      </c>
      <c r="AK91" s="246">
        <f>_xll.RtGet("DTSIMI1",AH91,$AK$3)/100</f>
        <v>1.1273501890000003E-2</v>
      </c>
      <c r="AL91" s="246">
        <f t="shared" si="29"/>
        <v>1.1273501890000003E-2</v>
      </c>
      <c r="AM91" s="315"/>
      <c r="AN91" s="293" t="e">
        <f>IF(ISBLANK(AM91),_xll.qlSimpleQuoteSetValue(AI91,AL91),_xll.qlSimpleQuoteSetValue(AI91,AM91))</f>
        <v>#N/A</v>
      </c>
      <c r="AO91" s="243"/>
      <c r="AP91" s="245" t="s">
        <v>91</v>
      </c>
      <c r="AQ91" s="245" t="s">
        <v>103</v>
      </c>
      <c r="AR91" s="245" t="str">
        <f t="shared" si="34"/>
        <v>EUR1YSW17Y=</v>
      </c>
      <c r="AS91" s="245" t="str">
        <f>_xll.qlSimpleQuote(AR91,,RateTickValue,Permanent,Trigger,ObjectOverwrite)</f>
        <v>EUR1YSW17Y=#0006</v>
      </c>
      <c r="AT91" s="246">
        <f>_xll.RtGet("DTSIMI1",AR91,$AT$3)/100</f>
        <v>1.2061738640000002E-2</v>
      </c>
      <c r="AU91" s="246">
        <f>_xll.RtGet("DTSIMI1",AR91,$AU$3)/100</f>
        <v>1.2061738640000002E-2</v>
      </c>
      <c r="AV91" s="246">
        <f t="shared" si="31"/>
        <v>1.2061738640000002E-2</v>
      </c>
      <c r="AW91" s="315"/>
      <c r="AX91" s="293" t="e">
        <f>IF(ISBLANK(AW91),_xll.qlSimpleQuoteSetValue(AS91,AV91),_xll.qlSimpleQuoteSetValue(AS91,AW91))</f>
        <v>#N/A</v>
      </c>
    </row>
    <row r="92" spans="1:50" x14ac:dyDescent="0.2">
      <c r="A92" s="404"/>
      <c r="B92" s="245" t="s">
        <v>68</v>
      </c>
      <c r="C92" s="245" t="s">
        <v>104</v>
      </c>
      <c r="D92" s="245" t="str">
        <f t="shared" si="26"/>
        <v>EURONOIS18Y=</v>
      </c>
      <c r="E92" s="245" t="str">
        <f>_xll.qlSimpleQuote(D92,,RateTickValue,Permanent,Trigger,ObjectOverwrite)</f>
        <v>EURONOIS18Y=#0006</v>
      </c>
      <c r="F92" s="246">
        <f>_xll.RtGet("DTSIMI1",D92,$F$3)/100</f>
        <v>9.9154325300000005E-3</v>
      </c>
      <c r="G92" s="246">
        <f>_xll.RtGet("DTSIMI1",D92,$G$3)/100</f>
        <v>9.9154325300000005E-3</v>
      </c>
      <c r="H92" s="246">
        <f t="shared" si="24"/>
        <v>9.9154325300000005E-3</v>
      </c>
      <c r="I92" s="315"/>
      <c r="J92" s="293" t="e">
        <f>IF(ISBLANK(I92),_xll.qlSimpleQuoteSetValue(E92,H92),_xll.qlSimpleQuoteSetValue(E92,I92))</f>
        <v>#N/A</v>
      </c>
      <c r="K92" s="247"/>
      <c r="L92" s="245" t="s">
        <v>91</v>
      </c>
      <c r="M92" s="245" t="s">
        <v>104</v>
      </c>
      <c r="N92" s="245" t="str">
        <f t="shared" si="27"/>
        <v>EUR1MSW18Y=</v>
      </c>
      <c r="O92" s="245" t="str">
        <f>_xll.qlSimpleQuote(N92,,RateTickValue,Permanent,Trigger,ObjectOverwrite)</f>
        <v>EUR1MSW18Y=#0006</v>
      </c>
      <c r="P92" s="246">
        <f>_xll.RtGet("DTSIMI1",N92,$P$3)/100</f>
        <v>9.9626621600000017E-3</v>
      </c>
      <c r="Q92" s="246">
        <f>_xll.RtGet("DTSIMI1",N92,$Q$3)/100</f>
        <v>9.9626621600000017E-3</v>
      </c>
      <c r="R92" s="246">
        <f t="shared" si="25"/>
        <v>9.9626621600000017E-3</v>
      </c>
      <c r="S92" s="315"/>
      <c r="T92" s="293" t="e">
        <f>IF(ISBLANK(S92),_xll.qlSimpleQuoteSetValue(O92,R92),_xll.qlSimpleQuoteSetValue(O92,S92))</f>
        <v>#N/A</v>
      </c>
      <c r="U92" s="243"/>
      <c r="V92" s="245" t="s">
        <v>91</v>
      </c>
      <c r="W92" s="245" t="s">
        <v>104</v>
      </c>
      <c r="X92" s="245" t="str">
        <f t="shared" si="32"/>
        <v>EUR3MSW18Y=</v>
      </c>
      <c r="Y92" s="245" t="str">
        <f>_xll.qlSimpleQuote(X92,,RateTickValue,Permanent,Trigger,ObjectOverwrite)</f>
        <v>EUR3MSW18Y=#0006</v>
      </c>
      <c r="Z92" s="246">
        <f>_xll.RtGet("DTSIMI1",X92,$Z$3)/100</f>
        <v>1.0809526550000002E-2</v>
      </c>
      <c r="AA92" s="246">
        <f>_xll.RtGet("DTSIMI1",X92,$AA$3)/100</f>
        <v>1.0809526550000002E-2</v>
      </c>
      <c r="AB92" s="246">
        <f t="shared" si="35"/>
        <v>1.0809526550000002E-2</v>
      </c>
      <c r="AC92" s="315"/>
      <c r="AD92" s="293" t="e">
        <f>IF(ISBLANK(AC92),_xll.qlSimpleQuoteSetValue(Y92,AB92),_xll.qlSimpleQuoteSetValue(Y92,AC92))</f>
        <v>#N/A</v>
      </c>
      <c r="AE92" s="248"/>
      <c r="AF92" s="245" t="s">
        <v>91</v>
      </c>
      <c r="AG92" s="245" t="s">
        <v>104</v>
      </c>
      <c r="AH92" s="245" t="str">
        <f t="shared" si="33"/>
        <v>EUR6MSW18Y=</v>
      </c>
      <c r="AI92" s="245" t="str">
        <f>_xll.qlSimpleQuote(AH92,,RateTickValue,Permanent,Trigger,ObjectOverwrite)</f>
        <v>EUR6MSW18Y=#0006</v>
      </c>
      <c r="AJ92" s="246">
        <f>_xll.RtGet("DTSIMI1",AH92,$AJ$3)/100</f>
        <v>1.1567971240000001E-2</v>
      </c>
      <c r="AK92" s="246">
        <f>_xll.RtGet("DTSIMI1",AH92,$AK$3)/100</f>
        <v>1.1567971240000001E-2</v>
      </c>
      <c r="AL92" s="246">
        <f t="shared" si="29"/>
        <v>1.1567971240000001E-2</v>
      </c>
      <c r="AM92" s="315"/>
      <c r="AN92" s="293" t="e">
        <f>IF(ISBLANK(AM92),_xll.qlSimpleQuoteSetValue(AI92,AL92),_xll.qlSimpleQuoteSetValue(AI92,AM92))</f>
        <v>#N/A</v>
      </c>
      <c r="AO92" s="243"/>
      <c r="AP92" s="245" t="s">
        <v>91</v>
      </c>
      <c r="AQ92" s="245" t="s">
        <v>104</v>
      </c>
      <c r="AR92" s="245" t="str">
        <f t="shared" si="34"/>
        <v>EUR1YSW18Y=</v>
      </c>
      <c r="AS92" s="245" t="str">
        <f>_xll.qlSimpleQuote(AR92,,RateTickValue,Permanent,Trigger,ObjectOverwrite)</f>
        <v>EUR1YSW18Y=#0006</v>
      </c>
      <c r="AT92" s="246">
        <f>_xll.RtGet("DTSIMI1",AR92,$AT$3)/100</f>
        <v>1.2329501289999999E-2</v>
      </c>
      <c r="AU92" s="246">
        <f>_xll.RtGet("DTSIMI1",AR92,$AU$3)/100</f>
        <v>1.2329501289999999E-2</v>
      </c>
      <c r="AV92" s="246">
        <f t="shared" si="31"/>
        <v>1.2329501289999999E-2</v>
      </c>
      <c r="AW92" s="315"/>
      <c r="AX92" s="293" t="e">
        <f>IF(ISBLANK(AW92),_xll.qlSimpleQuoteSetValue(AS92,AV92),_xll.qlSimpleQuoteSetValue(AS92,AW92))</f>
        <v>#N/A</v>
      </c>
    </row>
    <row r="93" spans="1:50" x14ac:dyDescent="0.2">
      <c r="A93" s="404"/>
      <c r="B93" s="245" t="s">
        <v>68</v>
      </c>
      <c r="C93" s="245" t="s">
        <v>105</v>
      </c>
      <c r="D93" s="245" t="str">
        <f t="shared" si="26"/>
        <v>EURONOIS19Y=</v>
      </c>
      <c r="E93" s="245" t="str">
        <f>_xll.qlSimpleQuote(D93,,RateTickValue,Permanent,Trigger,ObjectOverwrite)</f>
        <v>EURONOIS19Y=#0006</v>
      </c>
      <c r="F93" s="246">
        <f>_xll.RtGet("DTSIMI1",D93,$F$3)/100</f>
        <v>1.02033852E-2</v>
      </c>
      <c r="G93" s="246">
        <f>_xll.RtGet("DTSIMI1",D93,$G$3)/100</f>
        <v>1.02033852E-2</v>
      </c>
      <c r="H93" s="246">
        <f t="shared" si="24"/>
        <v>1.02033852E-2</v>
      </c>
      <c r="I93" s="315"/>
      <c r="J93" s="293" t="e">
        <f>IF(ISBLANK(I93),_xll.qlSimpleQuoteSetValue(E93,H93),_xll.qlSimpleQuoteSetValue(E93,I93))</f>
        <v>#N/A</v>
      </c>
      <c r="K93" s="247"/>
      <c r="L93" s="245" t="s">
        <v>91</v>
      </c>
      <c r="M93" s="245" t="s">
        <v>105</v>
      </c>
      <c r="N93" s="245" t="str">
        <f t="shared" si="27"/>
        <v>EUR1MSW19Y=</v>
      </c>
      <c r="O93" s="245" t="str">
        <f>_xll.qlSimpleQuote(N93,,RateTickValue,Permanent,Trigger,ObjectOverwrite)</f>
        <v>EUR1MSW19Y=#0006</v>
      </c>
      <c r="P93" s="246">
        <f>_xll.RtGet("DTSIMI1",N93,$P$3)/100</f>
        <v>1.0250728660000001E-2</v>
      </c>
      <c r="Q93" s="246">
        <f>_xll.RtGet("DTSIMI1",N93,$Q$3)/100</f>
        <v>1.0250728660000001E-2</v>
      </c>
      <c r="R93" s="246">
        <f t="shared" si="25"/>
        <v>1.0250728660000001E-2</v>
      </c>
      <c r="S93" s="315"/>
      <c r="T93" s="293" t="e">
        <f>IF(ISBLANK(S93),_xll.qlSimpleQuoteSetValue(O93,R93),_xll.qlSimpleQuoteSetValue(O93,S93))</f>
        <v>#N/A</v>
      </c>
      <c r="U93" s="243"/>
      <c r="V93" s="245" t="s">
        <v>91</v>
      </c>
      <c r="W93" s="245" t="s">
        <v>105</v>
      </c>
      <c r="X93" s="245" t="str">
        <f t="shared" si="32"/>
        <v>EUR3MSW19Y=</v>
      </c>
      <c r="Y93" s="245" t="str">
        <f>_xll.qlSimpleQuote(X93,,RateTickValue,Permanent,Trigger,ObjectOverwrite)</f>
        <v>EUR3MSW19Y=#0006</v>
      </c>
      <c r="Z93" s="246">
        <f>_xll.RtGet("DTSIMI1",X93,$Z$3)/100</f>
        <v>1.1079011620000001E-2</v>
      </c>
      <c r="AA93" s="246">
        <f>_xll.RtGet("DTSIMI1",X93,$AA$3)/100</f>
        <v>1.1079011620000001E-2</v>
      </c>
      <c r="AB93" s="246">
        <f t="shared" si="35"/>
        <v>1.1079011620000001E-2</v>
      </c>
      <c r="AC93" s="315"/>
      <c r="AD93" s="293" t="e">
        <f>IF(ISBLANK(AC93),_xll.qlSimpleQuoteSetValue(Y93,AB93),_xll.qlSimpleQuoteSetValue(Y93,AC93))</f>
        <v>#N/A</v>
      </c>
      <c r="AE93" s="248"/>
      <c r="AF93" s="245" t="s">
        <v>91</v>
      </c>
      <c r="AG93" s="245" t="s">
        <v>105</v>
      </c>
      <c r="AH93" s="245" t="str">
        <f t="shared" si="33"/>
        <v>EUR6MSW19Y=</v>
      </c>
      <c r="AI93" s="245" t="str">
        <f>_xll.qlSimpleQuote(AH93,,RateTickValue,Permanent,Trigger,ObjectOverwrite)</f>
        <v>EUR6MSW19Y=#0006</v>
      </c>
      <c r="AJ93" s="246">
        <f>_xll.RtGet("DTSIMI1",AH93,$AJ$3)/100</f>
        <v>1.18020968E-2</v>
      </c>
      <c r="AK93" s="246">
        <f>_xll.RtGet("DTSIMI1",AH93,$AK$3)/100</f>
        <v>1.18020968E-2</v>
      </c>
      <c r="AL93" s="246">
        <f t="shared" si="29"/>
        <v>1.18020968E-2</v>
      </c>
      <c r="AM93" s="315"/>
      <c r="AN93" s="293" t="e">
        <f>IF(ISBLANK(AM93),_xll.qlSimpleQuoteSetValue(AI93,AL93),_xll.qlSimpleQuoteSetValue(AI93,AM93))</f>
        <v>#N/A</v>
      </c>
      <c r="AO93" s="243"/>
      <c r="AP93" s="245" t="s">
        <v>91</v>
      </c>
      <c r="AQ93" s="245" t="s">
        <v>105</v>
      </c>
      <c r="AR93" s="245" t="str">
        <f t="shared" si="34"/>
        <v>EUR1YSW19Y=</v>
      </c>
      <c r="AS93" s="245" t="str">
        <f>_xll.qlSimpleQuote(AR93,,RateTickValue,Permanent,Trigger,ObjectOverwrite)</f>
        <v>EUR1YSW19Y=#0006</v>
      </c>
      <c r="AT93" s="246">
        <f>_xll.RtGet("DTSIMI1",AR93,$AT$3)/100</f>
        <v>1.254141296E-2</v>
      </c>
      <c r="AU93" s="246">
        <f>_xll.RtGet("DTSIMI1",AR93,$AU$3)/100</f>
        <v>1.254141296E-2</v>
      </c>
      <c r="AV93" s="246">
        <f t="shared" si="31"/>
        <v>1.254141296E-2</v>
      </c>
      <c r="AW93" s="315"/>
      <c r="AX93" s="293" t="e">
        <f>IF(ISBLANK(AW93),_xll.qlSimpleQuoteSetValue(AS93,AV93),_xll.qlSimpleQuoteSetValue(AS93,AW93))</f>
        <v>#N/A</v>
      </c>
    </row>
    <row r="94" spans="1:50" x14ac:dyDescent="0.2">
      <c r="A94" s="404"/>
      <c r="B94" s="245" t="s">
        <v>68</v>
      </c>
      <c r="C94" s="245" t="s">
        <v>61</v>
      </c>
      <c r="D94" s="245" t="str">
        <f t="shared" si="26"/>
        <v>EURONOIS20Y=</v>
      </c>
      <c r="E94" s="245" t="str">
        <f>_xll.qlSimpleQuote(D94,,RateTickValue,Permanent,Trigger,ObjectOverwrite)</f>
        <v>EURONOIS20Y=#0006</v>
      </c>
      <c r="F94" s="246">
        <f>_xll.RtGet("DTSIMI1",D94,$F$3)/100</f>
        <v>1.044E-2</v>
      </c>
      <c r="G94" s="246">
        <f>_xll.RtGet("DTSIMI1",D94,$G$3)/100</f>
        <v>1.044E-2</v>
      </c>
      <c r="H94" s="246">
        <f t="shared" si="24"/>
        <v>1.044E-2</v>
      </c>
      <c r="I94" s="315"/>
      <c r="J94" s="293" t="e">
        <f>IF(ISBLANK(I94),_xll.qlSimpleQuoteSetValue(E94,H94),_xll.qlSimpleQuoteSetValue(E94,I94))</f>
        <v>#N/A</v>
      </c>
      <c r="K94" s="247"/>
      <c r="L94" s="245" t="s">
        <v>91</v>
      </c>
      <c r="M94" s="245" t="s">
        <v>61</v>
      </c>
      <c r="N94" s="245" t="str">
        <f t="shared" si="27"/>
        <v>EUR1MSW20Y=</v>
      </c>
      <c r="O94" s="245" t="str">
        <f>_xll.qlSimpleQuote(N94,,RateTickValue,Permanent,Trigger,ObjectOverwrite)</f>
        <v>EUR1MSW20Y=#0006</v>
      </c>
      <c r="P94" s="246">
        <f>_xll.RtGet("DTSIMI1",N94,$P$3)/100</f>
        <v>1.0489999999999999E-2</v>
      </c>
      <c r="Q94" s="246">
        <f>_xll.RtGet("DTSIMI1",N94,$Q$3)/100</f>
        <v>1.0489999999999999E-2</v>
      </c>
      <c r="R94" s="246">
        <f t="shared" si="25"/>
        <v>1.0489999999999999E-2</v>
      </c>
      <c r="S94" s="315"/>
      <c r="T94" s="293" t="e">
        <f>IF(ISBLANK(S94),_xll.qlSimpleQuoteSetValue(O94,R94),_xll.qlSimpleQuoteSetValue(O94,S94))</f>
        <v>#N/A</v>
      </c>
      <c r="U94" s="243"/>
      <c r="V94" s="245" t="s">
        <v>91</v>
      </c>
      <c r="W94" s="245" t="s">
        <v>61</v>
      </c>
      <c r="X94" s="245" t="str">
        <f t="shared" si="32"/>
        <v>EUR3MSW20Y=</v>
      </c>
      <c r="Y94" s="245" t="str">
        <f>_xll.qlSimpleQuote(X94,,RateTickValue,Permanent,Trigger,ObjectOverwrite)</f>
        <v>EUR3MSW20Y=#0006</v>
      </c>
      <c r="Z94" s="246">
        <f>_xll.RtGet("DTSIMI1",X94,$Z$3)/100</f>
        <v>1.1300000000000001E-2</v>
      </c>
      <c r="AA94" s="246">
        <f>_xll.RtGet("DTSIMI1",X94,$AA$3)/100</f>
        <v>1.1300000000000001E-2</v>
      </c>
      <c r="AB94" s="246">
        <f t="shared" si="35"/>
        <v>1.1300000000000001E-2</v>
      </c>
      <c r="AC94" s="315"/>
      <c r="AD94" s="293" t="e">
        <f>IF(ISBLANK(AC94),_xll.qlSimpleQuoteSetValue(Y94,AB94),_xll.qlSimpleQuoteSetValue(Y94,AC94))</f>
        <v>#N/A</v>
      </c>
      <c r="AE94" s="248"/>
      <c r="AF94" s="245" t="s">
        <v>91</v>
      </c>
      <c r="AG94" s="245" t="s">
        <v>61</v>
      </c>
      <c r="AH94" s="245" t="str">
        <f t="shared" si="33"/>
        <v>EUR6MSW20Y=</v>
      </c>
      <c r="AI94" s="245" t="str">
        <f>_xll.qlSimpleQuote(AH94,,RateTickValue,Permanent,Trigger,ObjectOverwrite)</f>
        <v>EUR6MSW20Y=#0006</v>
      </c>
      <c r="AJ94" s="246">
        <f>_xll.RtGet("DTSIMI1",AH94,$AJ$3)/100</f>
        <v>1.1990000000000001E-2</v>
      </c>
      <c r="AK94" s="246">
        <f>_xll.RtGet("DTSIMI1",AH94,$AK$3)/100</f>
        <v>1.1990000000000001E-2</v>
      </c>
      <c r="AL94" s="246">
        <f t="shared" si="29"/>
        <v>1.1990000000000001E-2</v>
      </c>
      <c r="AM94" s="315"/>
      <c r="AN94" s="293" t="e">
        <f>IF(ISBLANK(AM94),_xll.qlSimpleQuoteSetValue(AI94,AL94),_xll.qlSimpleQuoteSetValue(AI94,AM94))</f>
        <v>#N/A</v>
      </c>
      <c r="AO94" s="243"/>
      <c r="AP94" s="245" t="s">
        <v>91</v>
      </c>
      <c r="AQ94" s="245" t="s">
        <v>61</v>
      </c>
      <c r="AR94" s="245" t="str">
        <f t="shared" si="34"/>
        <v>EUR1YSW20Y=</v>
      </c>
      <c r="AS94" s="245" t="str">
        <f>_xll.qlSimpleQuote(AR94,,RateTickValue,Permanent,Trigger,ObjectOverwrite)</f>
        <v>EUR1YSW20Y=#0006</v>
      </c>
      <c r="AT94" s="246">
        <f>_xll.RtGet("DTSIMI1",AR94,$AT$3)/100</f>
        <v>1.2710000000000001E-2</v>
      </c>
      <c r="AU94" s="246">
        <f>_xll.RtGet("DTSIMI1",AR94,$AU$3)/100</f>
        <v>1.2710000000000001E-2</v>
      </c>
      <c r="AV94" s="246">
        <f t="shared" si="31"/>
        <v>1.2710000000000001E-2</v>
      </c>
      <c r="AW94" s="315"/>
      <c r="AX94" s="293" t="e">
        <f>IF(ISBLANK(AW94),_xll.qlSimpleQuoteSetValue(AS94,AV94),_xll.qlSimpleQuoteSetValue(AS94,AW94))</f>
        <v>#N/A</v>
      </c>
    </row>
    <row r="95" spans="1:50" x14ac:dyDescent="0.2">
      <c r="A95" s="404"/>
      <c r="B95" s="245" t="s">
        <v>68</v>
      </c>
      <c r="C95" s="245" t="s">
        <v>106</v>
      </c>
      <c r="D95" s="245" t="str">
        <f t="shared" si="26"/>
        <v>EURONOIS21Y=</v>
      </c>
      <c r="E95" s="245" t="str">
        <f>_xll.qlSimpleQuote(D95,,RateTickValue,Permanent,Trigger,ObjectOverwrite)</f>
        <v>EURONOIS21Y=#0006</v>
      </c>
      <c r="F95" s="246">
        <f>_xll.RtGet("DTSIMI1",D95,$F$3)/100</f>
        <v>1.063215843E-2</v>
      </c>
      <c r="G95" s="246">
        <f>_xll.RtGet("DTSIMI1",D95,$G$3)/100</f>
        <v>1.063215843E-2</v>
      </c>
      <c r="H95" s="246">
        <f t="shared" si="24"/>
        <v>1.063215843E-2</v>
      </c>
      <c r="I95" s="315"/>
      <c r="J95" s="293" t="e">
        <f>IF(ISBLANK(I95),_xll.qlSimpleQuoteSetValue(E95,H95),_xll.qlSimpleQuoteSetValue(E95,I95))</f>
        <v>#N/A</v>
      </c>
      <c r="K95" s="247"/>
      <c r="L95" s="245" t="s">
        <v>91</v>
      </c>
      <c r="M95" s="245" t="s">
        <v>106</v>
      </c>
      <c r="N95" s="245" t="str">
        <f t="shared" si="27"/>
        <v>EUR1MSW21Y=</v>
      </c>
      <c r="O95" s="245" t="str">
        <f>_xll.qlSimpleQuote(N95,,RateTickValue,Permanent,Trigger,ObjectOverwrite)</f>
        <v>EUR1MSW21Y=#0006</v>
      </c>
      <c r="P95" s="246">
        <f>_xll.RtGet("DTSIMI1",N95,$P$3)/100</f>
        <v>1.068656053E-2</v>
      </c>
      <c r="Q95" s="246">
        <f>_xll.RtGet("DTSIMI1",N95,$Q$3)/100</f>
        <v>1.068656053E-2</v>
      </c>
      <c r="R95" s="246">
        <f t="shared" si="25"/>
        <v>1.068656053E-2</v>
      </c>
      <c r="S95" s="315"/>
      <c r="T95" s="293" t="e">
        <f>IF(ISBLANK(S95),_xll.qlSimpleQuoteSetValue(O95,R95),_xll.qlSimpleQuoteSetValue(O95,S95))</f>
        <v>#N/A</v>
      </c>
      <c r="U95" s="243"/>
      <c r="V95" s="245" t="s">
        <v>91</v>
      </c>
      <c r="W95" s="245" t="s">
        <v>106</v>
      </c>
      <c r="X95" s="245" t="str">
        <f t="shared" si="32"/>
        <v>EUR3MSW21Y=</v>
      </c>
      <c r="Y95" s="245" t="str">
        <f>_xll.qlSimpleQuote(X95,,RateTickValue,Permanent,Trigger,ObjectOverwrite)</f>
        <v>EUR3MSW21Y=#0006</v>
      </c>
      <c r="Z95" s="246">
        <f>_xll.RtGet("DTSIMI1",X95,$Z$3)/100</f>
        <v>1.1478016360000001E-2</v>
      </c>
      <c r="AA95" s="246">
        <f>_xll.RtGet("DTSIMI1",X95,$AA$3)/100</f>
        <v>1.1478016360000001E-2</v>
      </c>
      <c r="AB95" s="246">
        <f t="shared" si="35"/>
        <v>1.1478016360000001E-2</v>
      </c>
      <c r="AC95" s="315"/>
      <c r="AD95" s="293" t="e">
        <f>IF(ISBLANK(AC95),_xll.qlSimpleQuoteSetValue(Y95,AB95),_xll.qlSimpleQuoteSetValue(Y95,AC95))</f>
        <v>#N/A</v>
      </c>
      <c r="AE95" s="248"/>
      <c r="AF95" s="245" t="s">
        <v>91</v>
      </c>
      <c r="AG95" s="245" t="s">
        <v>106</v>
      </c>
      <c r="AH95" s="245" t="str">
        <f t="shared" si="33"/>
        <v>EUR6MSW21Y=</v>
      </c>
      <c r="AI95" s="245" t="str">
        <f>_xll.qlSimpleQuote(AH95,,RateTickValue,Permanent,Trigger,ObjectOverwrite)</f>
        <v>EUR6MSW21Y=#0006</v>
      </c>
      <c r="AJ95" s="246">
        <f>_xll.RtGet("DTSIMI1",AH95,$AJ$3)/100</f>
        <v>1.21370622E-2</v>
      </c>
      <c r="AK95" s="246">
        <f>_xll.RtGet("DTSIMI1",AH95,$AK$3)/100</f>
        <v>1.21370622E-2</v>
      </c>
      <c r="AL95" s="246">
        <f t="shared" si="29"/>
        <v>1.21370622E-2</v>
      </c>
      <c r="AM95" s="315"/>
      <c r="AN95" s="293" t="e">
        <f>IF(ISBLANK(AM95),_xll.qlSimpleQuoteSetValue(AI95,AL95),_xll.qlSimpleQuoteSetValue(AI95,AM95))</f>
        <v>#N/A</v>
      </c>
      <c r="AO95" s="243"/>
      <c r="AP95" s="245" t="s">
        <v>91</v>
      </c>
      <c r="AQ95" s="245" t="s">
        <v>106</v>
      </c>
      <c r="AR95" s="245" t="str">
        <f t="shared" si="34"/>
        <v>EUR1YSW21Y=</v>
      </c>
      <c r="AS95" s="245" t="str">
        <f>_xll.qlSimpleQuote(AR95,,RateTickValue,Permanent,Trigger,ObjectOverwrite)</f>
        <v>EUR1YSW21Y=#0006</v>
      </c>
      <c r="AT95" s="246">
        <f>_xll.RtGet("DTSIMI1",AR95,$AT$3)/100</f>
        <v>1.28393308E-2</v>
      </c>
      <c r="AU95" s="246">
        <f>_xll.RtGet("DTSIMI1",AR95,$AU$3)/100</f>
        <v>1.28393308E-2</v>
      </c>
      <c r="AV95" s="246">
        <f t="shared" si="31"/>
        <v>1.28393308E-2</v>
      </c>
      <c r="AW95" s="315"/>
      <c r="AX95" s="293" t="e">
        <f>IF(ISBLANK(AW95),_xll.qlSimpleQuoteSetValue(AS95,AV95),_xll.qlSimpleQuoteSetValue(AS95,AW95))</f>
        <v>#N/A</v>
      </c>
    </row>
    <row r="96" spans="1:50" x14ac:dyDescent="0.2">
      <c r="A96" s="404"/>
      <c r="B96" s="245" t="s">
        <v>68</v>
      </c>
      <c r="C96" s="245" t="s">
        <v>107</v>
      </c>
      <c r="D96" s="245" t="str">
        <f t="shared" si="26"/>
        <v>EURONOIS22Y=</v>
      </c>
      <c r="E96" s="245" t="str">
        <f>_xll.qlSimpleQuote(D96,,RateTickValue,Permanent,Trigger,ObjectOverwrite)</f>
        <v>EURONOIS22Y=#0006</v>
      </c>
      <c r="F96" s="246">
        <f>_xll.RtGet("DTSIMI1",D96,$F$3)/100</f>
        <v>1.0787191769999999E-2</v>
      </c>
      <c r="G96" s="246">
        <f>_xll.RtGet("DTSIMI1",D96,$G$3)/100</f>
        <v>1.0787191769999999E-2</v>
      </c>
      <c r="H96" s="246">
        <f t="shared" si="24"/>
        <v>1.0787191769999999E-2</v>
      </c>
      <c r="I96" s="315"/>
      <c r="J96" s="293" t="e">
        <f>IF(ISBLANK(I96),_xll.qlSimpleQuoteSetValue(E96,H96),_xll.qlSimpleQuoteSetValue(E96,I96))</f>
        <v>#N/A</v>
      </c>
      <c r="K96" s="247"/>
      <c r="L96" s="245" t="s">
        <v>91</v>
      </c>
      <c r="M96" s="245" t="s">
        <v>107</v>
      </c>
      <c r="N96" s="245" t="str">
        <f t="shared" si="27"/>
        <v>EUR1MSW22Y=</v>
      </c>
      <c r="O96" s="245" t="str">
        <f>_xll.qlSimpleQuote(N96,,RateTickValue,Permanent,Trigger,ObjectOverwrite)</f>
        <v>EUR1MSW22Y=#0006</v>
      </c>
      <c r="P96" s="246">
        <f>_xll.RtGet("DTSIMI1",N96,$P$3)/100</f>
        <v>1.0848613220000001E-2</v>
      </c>
      <c r="Q96" s="246">
        <f>_xll.RtGet("DTSIMI1",N96,$Q$3)/100</f>
        <v>1.0848613220000001E-2</v>
      </c>
      <c r="R96" s="246">
        <f t="shared" si="25"/>
        <v>1.0848613220000001E-2</v>
      </c>
      <c r="S96" s="315"/>
      <c r="T96" s="293" t="e">
        <f>IF(ISBLANK(S96),_xll.qlSimpleQuoteSetValue(O96,R96),_xll.qlSimpleQuoteSetValue(O96,S96))</f>
        <v>#N/A</v>
      </c>
      <c r="U96" s="243"/>
      <c r="V96" s="245" t="s">
        <v>91</v>
      </c>
      <c r="W96" s="245" t="s">
        <v>107</v>
      </c>
      <c r="X96" s="245" t="str">
        <f t="shared" si="32"/>
        <v>EUR3MSW22Y=</v>
      </c>
      <c r="Y96" s="245" t="str">
        <f>_xll.qlSimpleQuote(X96,,RateTickValue,Permanent,Trigger,ObjectOverwrite)</f>
        <v>EUR3MSW22Y=#0006</v>
      </c>
      <c r="Z96" s="246">
        <f>_xll.RtGet("DTSIMI1",X96,$Z$3)/100</f>
        <v>1.1621513810000001E-2</v>
      </c>
      <c r="AA96" s="246">
        <f>_xll.RtGet("DTSIMI1",X96,$AA$3)/100</f>
        <v>1.1621513810000001E-2</v>
      </c>
      <c r="AB96" s="246">
        <f t="shared" si="35"/>
        <v>1.1621513810000001E-2</v>
      </c>
      <c r="AC96" s="315"/>
      <c r="AD96" s="293" t="e">
        <f>IF(ISBLANK(AC96),_xll.qlSimpleQuoteSetValue(Y96,AB96),_xll.qlSimpleQuoteSetValue(Y96,AC96))</f>
        <v>#N/A</v>
      </c>
      <c r="AE96" s="248"/>
      <c r="AF96" s="245" t="s">
        <v>91</v>
      </c>
      <c r="AG96" s="245" t="s">
        <v>107</v>
      </c>
      <c r="AH96" s="245" t="str">
        <f t="shared" si="33"/>
        <v>EUR6MSW22Y=</v>
      </c>
      <c r="AI96" s="245" t="str">
        <f>_xll.qlSimpleQuote(AH96,,RateTickValue,Permanent,Trigger,ObjectOverwrite)</f>
        <v>EUR6MSW22Y=#0006</v>
      </c>
      <c r="AJ96" s="246">
        <f>_xll.RtGet("DTSIMI1",AH96,$AJ$3)/100</f>
        <v>1.2251931860000001E-2</v>
      </c>
      <c r="AK96" s="246">
        <f>_xll.RtGet("DTSIMI1",AH96,$AK$3)/100</f>
        <v>1.2251931860000001E-2</v>
      </c>
      <c r="AL96" s="246">
        <f t="shared" si="29"/>
        <v>1.2251931860000001E-2</v>
      </c>
      <c r="AM96" s="315"/>
      <c r="AN96" s="293" t="e">
        <f>IF(ISBLANK(AM96),_xll.qlSimpleQuoteSetValue(AI96,AL96),_xll.qlSimpleQuoteSetValue(AI96,AM96))</f>
        <v>#N/A</v>
      </c>
      <c r="AO96" s="243"/>
      <c r="AP96" s="245" t="s">
        <v>91</v>
      </c>
      <c r="AQ96" s="245" t="s">
        <v>107</v>
      </c>
      <c r="AR96" s="245" t="str">
        <f t="shared" si="34"/>
        <v>EUR1YSW22Y=</v>
      </c>
      <c r="AS96" s="245" t="str">
        <f>_xll.qlSimpleQuote(AR96,,RateTickValue,Permanent,Trigger,ObjectOverwrite)</f>
        <v>EUR1YSW22Y=#0006</v>
      </c>
      <c r="AT96" s="246">
        <f>_xll.RtGet("DTSIMI1",AR96,$AT$3)/100</f>
        <v>1.293764759E-2</v>
      </c>
      <c r="AU96" s="246">
        <f>_xll.RtGet("DTSIMI1",AR96,$AU$3)/100</f>
        <v>1.293764759E-2</v>
      </c>
      <c r="AV96" s="246">
        <f t="shared" si="31"/>
        <v>1.293764759E-2</v>
      </c>
      <c r="AW96" s="315"/>
      <c r="AX96" s="293" t="e">
        <f>IF(ISBLANK(AW96),_xll.qlSimpleQuoteSetValue(AS96,AV96),_xll.qlSimpleQuoteSetValue(AS96,AW96))</f>
        <v>#N/A</v>
      </c>
    </row>
    <row r="97" spans="1:50" x14ac:dyDescent="0.2">
      <c r="A97" s="404"/>
      <c r="B97" s="245" t="s">
        <v>68</v>
      </c>
      <c r="C97" s="245" t="s">
        <v>108</v>
      </c>
      <c r="D97" s="245" t="str">
        <f t="shared" si="26"/>
        <v>EURONOIS23Y=</v>
      </c>
      <c r="E97" s="245" t="str">
        <f>_xll.qlSimpleQuote(D97,,RateTickValue,Permanent,Trigger,ObjectOverwrite)</f>
        <v>EURONOIS23Y=#0006</v>
      </c>
      <c r="F97" s="246">
        <f>_xll.RtGet("DTSIMI1",D97,$F$3)/100</f>
        <v>1.0912198130000002E-2</v>
      </c>
      <c r="G97" s="246">
        <f>_xll.RtGet("DTSIMI1",D97,$G$3)/100</f>
        <v>1.0912198130000002E-2</v>
      </c>
      <c r="H97" s="246">
        <f t="shared" si="24"/>
        <v>1.0912198130000002E-2</v>
      </c>
      <c r="I97" s="315"/>
      <c r="J97" s="293" t="e">
        <f>IF(ISBLANK(I97),_xll.qlSimpleQuoteSetValue(E97,H97),_xll.qlSimpleQuoteSetValue(E97,I97))</f>
        <v>#N/A</v>
      </c>
      <c r="K97" s="247"/>
      <c r="L97" s="245" t="s">
        <v>91</v>
      </c>
      <c r="M97" s="245" t="s">
        <v>108</v>
      </c>
      <c r="N97" s="245" t="str">
        <f t="shared" si="27"/>
        <v>EUR1MSW23Y=</v>
      </c>
      <c r="O97" s="245" t="str">
        <f>_xll.qlSimpleQuote(N97,,RateTickValue,Permanent,Trigger,ObjectOverwrite)</f>
        <v>EUR1MSW23Y=#0006</v>
      </c>
      <c r="P97" s="246">
        <f>_xll.RtGet("DTSIMI1",N97,$P$3)/100</f>
        <v>1.0982325189999999E-2</v>
      </c>
      <c r="Q97" s="246">
        <f>_xll.RtGet("DTSIMI1",N97,$Q$3)/100</f>
        <v>1.0982325189999999E-2</v>
      </c>
      <c r="R97" s="246">
        <f t="shared" si="25"/>
        <v>1.0982325189999999E-2</v>
      </c>
      <c r="S97" s="315"/>
      <c r="T97" s="293" t="e">
        <f>IF(ISBLANK(S97),_xll.qlSimpleQuoteSetValue(O97,R97),_xll.qlSimpleQuoteSetValue(O97,S97))</f>
        <v>#N/A</v>
      </c>
      <c r="U97" s="243"/>
      <c r="V97" s="245" t="s">
        <v>91</v>
      </c>
      <c r="W97" s="245" t="s">
        <v>108</v>
      </c>
      <c r="X97" s="245" t="str">
        <f t="shared" si="32"/>
        <v>EUR3MSW23Y=</v>
      </c>
      <c r="Y97" s="245" t="str">
        <f>_xll.qlSimpleQuote(X97,,RateTickValue,Permanent,Trigger,ObjectOverwrite)</f>
        <v>EUR3MSW23Y=#0006</v>
      </c>
      <c r="Z97" s="246">
        <f>_xll.RtGet("DTSIMI1",X97,$Z$3)/100</f>
        <v>1.1736941690000001E-2</v>
      </c>
      <c r="AA97" s="246">
        <f>_xll.RtGet("DTSIMI1",X97,$AA$3)/100</f>
        <v>1.1736941690000001E-2</v>
      </c>
      <c r="AB97" s="246">
        <f t="shared" si="35"/>
        <v>1.1736941690000001E-2</v>
      </c>
      <c r="AC97" s="315"/>
      <c r="AD97" s="293" t="e">
        <f>IF(ISBLANK(AC97),_xll.qlSimpleQuoteSetValue(Y97,AB97),_xll.qlSimpleQuoteSetValue(Y97,AC97))</f>
        <v>#N/A</v>
      </c>
      <c r="AE97" s="248"/>
      <c r="AF97" s="245" t="s">
        <v>91</v>
      </c>
      <c r="AG97" s="245" t="s">
        <v>108</v>
      </c>
      <c r="AH97" s="245" t="str">
        <f t="shared" si="33"/>
        <v>EUR6MSW23Y=</v>
      </c>
      <c r="AI97" s="245" t="str">
        <f>_xll.qlSimpleQuote(AH97,,RateTickValue,Permanent,Trigger,ObjectOverwrite)</f>
        <v>EUR6MSW23Y=#0006</v>
      </c>
      <c r="AJ97" s="246">
        <f>_xll.RtGet("DTSIMI1",AH97,$AJ$3)/100</f>
        <v>1.2341208290000001E-2</v>
      </c>
      <c r="AK97" s="246">
        <f>_xll.RtGet("DTSIMI1",AH97,$AK$3)/100</f>
        <v>1.2341208290000001E-2</v>
      </c>
      <c r="AL97" s="246">
        <f t="shared" si="29"/>
        <v>1.2341208290000001E-2</v>
      </c>
      <c r="AM97" s="315"/>
      <c r="AN97" s="293" t="e">
        <f>IF(ISBLANK(AM97),_xll.qlSimpleQuoteSetValue(AI97,AL97),_xll.qlSimpleQuoteSetValue(AI97,AM97))</f>
        <v>#N/A</v>
      </c>
      <c r="AO97" s="243"/>
      <c r="AP97" s="245" t="s">
        <v>91</v>
      </c>
      <c r="AQ97" s="245" t="s">
        <v>108</v>
      </c>
      <c r="AR97" s="245" t="str">
        <f t="shared" si="34"/>
        <v>EUR1YSW23Y=</v>
      </c>
      <c r="AS97" s="245" t="str">
        <f>_xll.qlSimpleQuote(AR97,,RateTickValue,Permanent,Trigger,ObjectOverwrite)</f>
        <v>EUR1YSW23Y=#0006</v>
      </c>
      <c r="AT97" s="246">
        <f>_xll.RtGet("DTSIMI1",AR97,$AT$3)/100</f>
        <v>1.301123121E-2</v>
      </c>
      <c r="AU97" s="246">
        <f>_xll.RtGet("DTSIMI1",AR97,$AU$3)/100</f>
        <v>1.301123121E-2</v>
      </c>
      <c r="AV97" s="246">
        <f t="shared" si="31"/>
        <v>1.301123121E-2</v>
      </c>
      <c r="AW97" s="315"/>
      <c r="AX97" s="293" t="e">
        <f>IF(ISBLANK(AW97),_xll.qlSimpleQuoteSetValue(AS97,AV97),_xll.qlSimpleQuoteSetValue(AS97,AW97))</f>
        <v>#N/A</v>
      </c>
    </row>
    <row r="98" spans="1:50" x14ac:dyDescent="0.2">
      <c r="A98" s="404"/>
      <c r="B98" s="245" t="s">
        <v>68</v>
      </c>
      <c r="C98" s="245" t="s">
        <v>109</v>
      </c>
      <c r="D98" s="245" t="str">
        <f t="shared" si="26"/>
        <v>EURONOIS24Y=</v>
      </c>
      <c r="E98" s="245" t="str">
        <f>_xll.qlSimpleQuote(D98,,RateTickValue,Permanent,Trigger,ObjectOverwrite)</f>
        <v>EURONOIS24Y=#0006</v>
      </c>
      <c r="F98" s="246">
        <f>_xll.RtGet("DTSIMI1",D98,$F$3)/100</f>
        <v>1.1014644180000002E-2</v>
      </c>
      <c r="G98" s="246">
        <f>_xll.RtGet("DTSIMI1",D98,$G$3)/100</f>
        <v>1.1014644180000002E-2</v>
      </c>
      <c r="H98" s="246">
        <f t="shared" si="24"/>
        <v>1.1014644180000002E-2</v>
      </c>
      <c r="I98" s="315"/>
      <c r="J98" s="293" t="e">
        <f>IF(ISBLANK(I98),_xll.qlSimpleQuoteSetValue(E98,H98),_xll.qlSimpleQuoteSetValue(E98,I98))</f>
        <v>#N/A</v>
      </c>
      <c r="K98" s="247"/>
      <c r="L98" s="245" t="s">
        <v>91</v>
      </c>
      <c r="M98" s="245" t="s">
        <v>109</v>
      </c>
      <c r="N98" s="245" t="str">
        <f t="shared" si="27"/>
        <v>EUR1MSW24Y=</v>
      </c>
      <c r="O98" s="245" t="str">
        <f>_xll.qlSimpleQuote(N98,,RateTickValue,Permanent,Trigger,ObjectOverwrite)</f>
        <v>EUR1MSW24Y=#0006</v>
      </c>
      <c r="P98" s="246">
        <f>_xll.RtGet("DTSIMI1",N98,$P$3)/100</f>
        <v>1.109534459E-2</v>
      </c>
      <c r="Q98" s="246">
        <f>_xll.RtGet("DTSIMI1",N98,$Q$3)/100</f>
        <v>1.109534459E-2</v>
      </c>
      <c r="R98" s="246">
        <f t="shared" si="25"/>
        <v>1.109534459E-2</v>
      </c>
      <c r="S98" s="315"/>
      <c r="T98" s="293" t="e">
        <f>IF(ISBLANK(S98),_xll.qlSimpleQuoteSetValue(O98,R98),_xll.qlSimpleQuoteSetValue(O98,S98))</f>
        <v>#N/A</v>
      </c>
      <c r="U98" s="243"/>
      <c r="V98" s="245" t="s">
        <v>91</v>
      </c>
      <c r="W98" s="245" t="s">
        <v>109</v>
      </c>
      <c r="X98" s="245" t="str">
        <f t="shared" si="32"/>
        <v>EUR3MSW24Y=</v>
      </c>
      <c r="Y98" s="245" t="str">
        <f>_xll.qlSimpleQuote(X98,,RateTickValue,Permanent,Trigger,ObjectOverwrite)</f>
        <v>EUR3MSW24Y=#0006</v>
      </c>
      <c r="Z98" s="246">
        <f>_xll.RtGet("DTSIMI1",X98,$Z$3)/100</f>
        <v>1.1832203110000002E-2</v>
      </c>
      <c r="AA98" s="246">
        <f>_xll.RtGet("DTSIMI1",X98,$AA$3)/100</f>
        <v>1.1832203110000002E-2</v>
      </c>
      <c r="AB98" s="246">
        <f t="shared" si="35"/>
        <v>1.1832203110000002E-2</v>
      </c>
      <c r="AC98" s="315"/>
      <c r="AD98" s="293" t="e">
        <f>IF(ISBLANK(AC98),_xll.qlSimpleQuoteSetValue(Y98,AB98),_xll.qlSimpleQuoteSetValue(Y98,AC98))</f>
        <v>#N/A</v>
      </c>
      <c r="AE98" s="248"/>
      <c r="AF98" s="245" t="s">
        <v>91</v>
      </c>
      <c r="AG98" s="245" t="s">
        <v>109</v>
      </c>
      <c r="AH98" s="245" t="str">
        <f t="shared" si="33"/>
        <v>EUR6MSW24Y=</v>
      </c>
      <c r="AI98" s="245" t="str">
        <f>_xll.qlSimpleQuote(AH98,,RateTickValue,Permanent,Trigger,ObjectOverwrite)</f>
        <v>EUR6MSW24Y=#0006</v>
      </c>
      <c r="AJ98" s="246">
        <f>_xll.RtGet("DTSIMI1",AH98,$AJ$3)/100</f>
        <v>1.2412880440000001E-2</v>
      </c>
      <c r="AK98" s="246">
        <f>_xll.RtGet("DTSIMI1",AH98,$AK$3)/100</f>
        <v>1.2412880440000001E-2</v>
      </c>
      <c r="AL98" s="246">
        <f t="shared" si="29"/>
        <v>1.2412880440000001E-2</v>
      </c>
      <c r="AM98" s="315"/>
      <c r="AN98" s="293" t="e">
        <f>IF(ISBLANK(AM98),_xll.qlSimpleQuoteSetValue(AI98,AL98),_xll.qlSimpleQuoteSetValue(AI98,AM98))</f>
        <v>#N/A</v>
      </c>
      <c r="AO98" s="243"/>
      <c r="AP98" s="245" t="s">
        <v>91</v>
      </c>
      <c r="AQ98" s="245" t="s">
        <v>109</v>
      </c>
      <c r="AR98" s="245" t="str">
        <f t="shared" si="34"/>
        <v>EUR1YSW24Y=</v>
      </c>
      <c r="AS98" s="245" t="str">
        <f>_xll.qlSimpleQuote(AR98,,RateTickValue,Permanent,Trigger,ObjectOverwrite)</f>
        <v>EUR1YSW24Y=#0006</v>
      </c>
      <c r="AT98" s="246">
        <f>_xll.RtGet("DTSIMI1",AR98,$AT$3)/100</f>
        <v>1.3067740840000001E-2</v>
      </c>
      <c r="AU98" s="246">
        <f>_xll.RtGet("DTSIMI1",AR98,$AU$3)/100</f>
        <v>1.3067740840000001E-2</v>
      </c>
      <c r="AV98" s="246">
        <f t="shared" si="31"/>
        <v>1.3067740840000001E-2</v>
      </c>
      <c r="AW98" s="315"/>
      <c r="AX98" s="293" t="e">
        <f>IF(ISBLANK(AW98),_xll.qlSimpleQuoteSetValue(AS98,AV98),_xll.qlSimpleQuoteSetValue(AS98,AW98))</f>
        <v>#N/A</v>
      </c>
    </row>
    <row r="99" spans="1:50" x14ac:dyDescent="0.2">
      <c r="A99" s="404"/>
      <c r="B99" s="245" t="s">
        <v>68</v>
      </c>
      <c r="C99" s="245" t="s">
        <v>62</v>
      </c>
      <c r="D99" s="245" t="str">
        <f t="shared" si="26"/>
        <v>EURONOIS25Y=</v>
      </c>
      <c r="E99" s="245" t="str">
        <f>_xll.qlSimpleQuote(D99,,RateTickValue,Permanent,Trigger,ObjectOverwrite)</f>
        <v>EURONOIS25Y=#0006</v>
      </c>
      <c r="F99" s="246">
        <f>_xll.RtGet("DTSIMI1",D99,$F$3)/100</f>
        <v>1.11E-2</v>
      </c>
      <c r="G99" s="246">
        <f>_xll.RtGet("DTSIMI1",D99,$G$3)/100</f>
        <v>1.11E-2</v>
      </c>
      <c r="H99" s="246">
        <f t="shared" si="24"/>
        <v>1.11E-2</v>
      </c>
      <c r="I99" s="315"/>
      <c r="J99" s="293" t="e">
        <f>IF(ISBLANK(I99),_xll.qlSimpleQuoteSetValue(E99,H99),_xll.qlSimpleQuoteSetValue(E99,I99))</f>
        <v>#N/A</v>
      </c>
      <c r="K99" s="247"/>
      <c r="L99" s="245" t="s">
        <v>91</v>
      </c>
      <c r="M99" s="245" t="s">
        <v>62</v>
      </c>
      <c r="N99" s="245" t="str">
        <f t="shared" si="27"/>
        <v>EUR1MSW25Y=</v>
      </c>
      <c r="O99" s="245" t="str">
        <f>_xll.qlSimpleQuote(N99,,RateTickValue,Permanent,Trigger,ObjectOverwrite)</f>
        <v>EUR1MSW25Y=#0006</v>
      </c>
      <c r="P99" s="246">
        <f>_xll.RtGet("DTSIMI1",N99,$P$3)/100</f>
        <v>1.119E-2</v>
      </c>
      <c r="Q99" s="246">
        <f>_xll.RtGet("DTSIMI1",N99,$Q$3)/100</f>
        <v>1.119E-2</v>
      </c>
      <c r="R99" s="246">
        <f t="shared" si="25"/>
        <v>1.119E-2</v>
      </c>
      <c r="S99" s="315"/>
      <c r="T99" s="293" t="e">
        <f>IF(ISBLANK(S99),_xll.qlSimpleQuoteSetValue(O99,R99),_xll.qlSimpleQuoteSetValue(O99,S99))</f>
        <v>#N/A</v>
      </c>
      <c r="U99" s="243"/>
      <c r="V99" s="245" t="s">
        <v>91</v>
      </c>
      <c r="W99" s="245" t="s">
        <v>62</v>
      </c>
      <c r="X99" s="245" t="str">
        <f t="shared" si="32"/>
        <v>EUR3MSW25Y=</v>
      </c>
      <c r="Y99" s="245" t="str">
        <f>_xll.qlSimpleQuote(X99,,RateTickValue,Permanent,Trigger,ObjectOverwrite)</f>
        <v>EUR3MSW25Y=#0006</v>
      </c>
      <c r="Z99" s="246">
        <f>_xll.RtGet("DTSIMI1",X99,$Z$3)/100</f>
        <v>1.191E-2</v>
      </c>
      <c r="AA99" s="246">
        <f>_xll.RtGet("DTSIMI1",X99,$AA$3)/100</f>
        <v>1.191E-2</v>
      </c>
      <c r="AB99" s="246">
        <f t="shared" si="35"/>
        <v>1.191E-2</v>
      </c>
      <c r="AC99" s="315"/>
      <c r="AD99" s="293" t="e">
        <f>IF(ISBLANK(AC99),_xll.qlSimpleQuoteSetValue(Y99,AB99),_xll.qlSimpleQuoteSetValue(Y99,AC99))</f>
        <v>#N/A</v>
      </c>
      <c r="AE99" s="248"/>
      <c r="AF99" s="245" t="s">
        <v>91</v>
      </c>
      <c r="AG99" s="245" t="s">
        <v>62</v>
      </c>
      <c r="AH99" s="245" t="str">
        <f t="shared" si="33"/>
        <v>EUR6MSW25Y=</v>
      </c>
      <c r="AI99" s="245" t="str">
        <f>_xll.qlSimpleQuote(AH99,,RateTickValue,Permanent,Trigger,ObjectOverwrite)</f>
        <v>EUR6MSW25Y=#0006</v>
      </c>
      <c r="AJ99" s="246">
        <f>_xll.RtGet("DTSIMI1",AH99,$AJ$3)/100</f>
        <v>1.2470000000000002E-2</v>
      </c>
      <c r="AK99" s="246">
        <f>_xll.RtGet("DTSIMI1",AH99,$AK$3)/100</f>
        <v>1.2470000000000002E-2</v>
      </c>
      <c r="AL99" s="246">
        <f t="shared" si="29"/>
        <v>1.2470000000000002E-2</v>
      </c>
      <c r="AM99" s="315"/>
      <c r="AN99" s="293" t="e">
        <f>IF(ISBLANK(AM99),_xll.qlSimpleQuoteSetValue(AI99,AL99),_xll.qlSimpleQuoteSetValue(AI99,AM99))</f>
        <v>#N/A</v>
      </c>
      <c r="AO99" s="243"/>
      <c r="AP99" s="245" t="s">
        <v>91</v>
      </c>
      <c r="AQ99" s="245" t="s">
        <v>62</v>
      </c>
      <c r="AR99" s="245" t="str">
        <f t="shared" si="34"/>
        <v>EUR1YSW25Y=</v>
      </c>
      <c r="AS99" s="245" t="str">
        <f>_xll.qlSimpleQuote(AR99,,RateTickValue,Permanent,Trigger,ObjectOverwrite)</f>
        <v>EUR1YSW25Y=#0006</v>
      </c>
      <c r="AT99" s="246">
        <f>_xll.RtGet("DTSIMI1",AR99,$AT$3)/100</f>
        <v>1.311E-2</v>
      </c>
      <c r="AU99" s="246">
        <f>_xll.RtGet("DTSIMI1",AR99,$AU$3)/100</f>
        <v>1.311E-2</v>
      </c>
      <c r="AV99" s="246">
        <f t="shared" si="31"/>
        <v>1.311E-2</v>
      </c>
      <c r="AW99" s="315"/>
      <c r="AX99" s="293" t="e">
        <f>IF(ISBLANK(AW99),_xll.qlSimpleQuoteSetValue(AS99,AV99),_xll.qlSimpleQuoteSetValue(AS99,AW99))</f>
        <v>#N/A</v>
      </c>
    </row>
    <row r="100" spans="1:50" x14ac:dyDescent="0.2">
      <c r="A100" s="404"/>
      <c r="B100" s="245" t="s">
        <v>68</v>
      </c>
      <c r="C100" s="245" t="s">
        <v>110</v>
      </c>
      <c r="D100" s="245" t="str">
        <f t="shared" ref="D100:D116" si="36">IF(B100="","",UPPER(Currency)&amp;$B$2&amp;B100&amp;C100&amp;"=")</f>
        <v>EURONOIS26Y=</v>
      </c>
      <c r="E100" s="245" t="str">
        <f>_xll.qlSimpleQuote(D100,,RateTickValue,Permanent,Trigger,ObjectOverwrite)</f>
        <v>EURONOIS26Y=#0006</v>
      </c>
      <c r="F100" s="246">
        <f>_xll.RtGet("DTSIMI1",D100,$F$3)/100</f>
        <v>1.1175200199999999E-2</v>
      </c>
      <c r="G100" s="246">
        <f>_xll.RtGet("DTSIMI1",D100,$G$3)/100</f>
        <v>1.1175200199999999E-2</v>
      </c>
      <c r="H100" s="246">
        <f t="shared" si="24"/>
        <v>1.1175200199999999E-2</v>
      </c>
      <c r="I100" s="315"/>
      <c r="J100" s="293" t="e">
        <f>IF(ISBLANK(I100),_xll.qlSimpleQuoteSetValue(E100,H100),_xll.qlSimpleQuoteSetValue(E100,I100))</f>
        <v>#N/A</v>
      </c>
      <c r="K100" s="247"/>
      <c r="L100" s="245" t="s">
        <v>91</v>
      </c>
      <c r="M100" s="245" t="s">
        <v>110</v>
      </c>
      <c r="N100" s="245" t="str">
        <f t="shared" ref="N100:N116" si="37">IF(L100="","",UPPER(Currency)&amp;$L$2&amp;L100&amp;M100&amp;"=")</f>
        <v>EUR1MSW26Y=</v>
      </c>
      <c r="O100" s="245" t="str">
        <f>_xll.qlSimpleQuote(N100,,RateTickValue,Permanent,Trigger,ObjectOverwrite)</f>
        <v>EUR1MSW26Y=#0006</v>
      </c>
      <c r="P100" s="246">
        <f>_xll.RtGet("DTSIMI1",N100,$P$3)/100</f>
        <v>1.127360656E-2</v>
      </c>
      <c r="Q100" s="246">
        <f>_xll.RtGet("DTSIMI1",N100,$Q$3)/100</f>
        <v>1.127360656E-2</v>
      </c>
      <c r="R100" s="246">
        <f t="shared" si="25"/>
        <v>1.127360656E-2</v>
      </c>
      <c r="S100" s="315"/>
      <c r="T100" s="293" t="e">
        <f>IF(ISBLANK(S100),_xll.qlSimpleQuoteSetValue(O100,R100),_xll.qlSimpleQuoteSetValue(O100,S100))</f>
        <v>#N/A</v>
      </c>
      <c r="U100" s="243"/>
      <c r="V100" s="245" t="s">
        <v>91</v>
      </c>
      <c r="W100" s="245" t="s">
        <v>110</v>
      </c>
      <c r="X100" s="245" t="str">
        <f t="shared" si="32"/>
        <v>EUR3MSW26Y=</v>
      </c>
      <c r="Y100" s="245" t="str">
        <f>_xll.qlSimpleQuote(X100,,RateTickValue,Permanent,Trigger,ObjectOverwrite)</f>
        <v>EUR3MSW26Y=#0006</v>
      </c>
      <c r="Z100" s="246">
        <f>_xll.RtGet("DTSIMI1",X100,$Z$3)/100</f>
        <v>1.1977744699999999E-2</v>
      </c>
      <c r="AA100" s="246">
        <f>_xll.RtGet("DTSIMI1",X100,$AA$3)/100</f>
        <v>1.1977744699999999E-2</v>
      </c>
      <c r="AB100" s="246">
        <f t="shared" si="35"/>
        <v>1.1977744699999999E-2</v>
      </c>
      <c r="AC100" s="315"/>
      <c r="AD100" s="293" t="e">
        <f>IF(ISBLANK(AC100),_xll.qlSimpleQuoteSetValue(Y100,AB100),_xll.qlSimpleQuoteSetValue(Y100,AC100))</f>
        <v>#N/A</v>
      </c>
      <c r="AE100" s="248"/>
      <c r="AF100" s="245" t="s">
        <v>91</v>
      </c>
      <c r="AG100" s="245" t="s">
        <v>110</v>
      </c>
      <c r="AH100" s="245" t="str">
        <f t="shared" si="33"/>
        <v>EUR6MSW26Y=</v>
      </c>
      <c r="AI100" s="245" t="str">
        <f>_xll.qlSimpleQuote(AH100,,RateTickValue,Permanent,Trigger,ObjectOverwrite)</f>
        <v>EUR6MSW26Y=#0006</v>
      </c>
      <c r="AJ100" s="246">
        <f>_xll.RtGet("DTSIMI1",AH100,$AJ$3)/100</f>
        <v>1.251975327E-2</v>
      </c>
      <c r="AK100" s="246">
        <f>_xll.RtGet("DTSIMI1",AH100,$AK$3)/100</f>
        <v>1.251975327E-2</v>
      </c>
      <c r="AL100" s="246">
        <f t="shared" si="29"/>
        <v>1.251975327E-2</v>
      </c>
      <c r="AM100" s="315"/>
      <c r="AN100" s="293" t="e">
        <f>IF(ISBLANK(AM100),_xll.qlSimpleQuoteSetValue(AI100,AL100),_xll.qlSimpleQuoteSetValue(AI100,AM100))</f>
        <v>#N/A</v>
      </c>
      <c r="AO100" s="243"/>
      <c r="AP100" s="245" t="s">
        <v>91</v>
      </c>
      <c r="AQ100" s="245" t="s">
        <v>110</v>
      </c>
      <c r="AR100" s="245" t="str">
        <f t="shared" si="34"/>
        <v>EUR1YSW26Y=</v>
      </c>
      <c r="AS100" s="245" t="str">
        <f>_xll.qlSimpleQuote(AR100,,RateTickValue,Permanent,Trigger,ObjectOverwrite)</f>
        <v>EUR1YSW26Y=#0006</v>
      </c>
      <c r="AT100" s="246">
        <f>_xll.RtGet("DTSIMI1",AR100,$AT$3)/100</f>
        <v>1.3144970040000002E-2</v>
      </c>
      <c r="AU100" s="246">
        <f>_xll.RtGet("DTSIMI1",AR100,$AU$3)/100</f>
        <v>1.3144970040000002E-2</v>
      </c>
      <c r="AV100" s="246">
        <f t="shared" si="31"/>
        <v>1.3144970040000002E-2</v>
      </c>
      <c r="AW100" s="315"/>
      <c r="AX100" s="293" t="e">
        <f>IF(ISBLANK(AW100),_xll.qlSimpleQuoteSetValue(AS100,AV100),_xll.qlSimpleQuoteSetValue(AS100,AW100))</f>
        <v>#N/A</v>
      </c>
    </row>
    <row r="101" spans="1:50" x14ac:dyDescent="0.2">
      <c r="A101" s="404"/>
      <c r="B101" s="245" t="s">
        <v>68</v>
      </c>
      <c r="C101" s="245" t="s">
        <v>63</v>
      </c>
      <c r="D101" s="245" t="str">
        <f t="shared" si="36"/>
        <v>EURONOIS27Y=</v>
      </c>
      <c r="E101" s="245" t="str">
        <f>_xll.qlSimpleQuote(D101,,RateTickValue,Permanent,Trigger,ObjectOverwrite)</f>
        <v>EURONOIS27Y=#0006</v>
      </c>
      <c r="F101" s="246">
        <f>_xll.RtGet("DTSIMI1",D101,$F$3)/100</f>
        <v>1.1242327430000001E-2</v>
      </c>
      <c r="G101" s="246">
        <f>_xll.RtGet("DTSIMI1",D101,$G$3)/100</f>
        <v>1.1242327430000001E-2</v>
      </c>
      <c r="H101" s="246">
        <f t="shared" si="24"/>
        <v>1.1242327430000001E-2</v>
      </c>
      <c r="I101" s="315"/>
      <c r="J101" s="293" t="e">
        <f>IF(ISBLANK(I101),_xll.qlSimpleQuoteSetValue(E101,H101),_xll.qlSimpleQuoteSetValue(E101,I101))</f>
        <v>#N/A</v>
      </c>
      <c r="K101" s="247"/>
      <c r="L101" s="245" t="s">
        <v>91</v>
      </c>
      <c r="M101" s="245" t="s">
        <v>63</v>
      </c>
      <c r="N101" s="245" t="str">
        <f t="shared" si="37"/>
        <v>EUR1MSW27Y=</v>
      </c>
      <c r="O101" s="245" t="str">
        <f>_xll.qlSimpleQuote(N101,,RateTickValue,Permanent,Trigger,ObjectOverwrite)</f>
        <v>EUR1MSW27Y=#0006</v>
      </c>
      <c r="P101" s="246">
        <f>_xll.RtGet("DTSIMI1",N101,$P$3)/100</f>
        <v>1.1347977700000001E-2</v>
      </c>
      <c r="Q101" s="246">
        <f>_xll.RtGet("DTSIMI1",N101,$Q$3)/100</f>
        <v>1.1347977700000001E-2</v>
      </c>
      <c r="R101" s="246">
        <f t="shared" si="25"/>
        <v>1.1347977700000001E-2</v>
      </c>
      <c r="S101" s="315"/>
      <c r="T101" s="293" t="e">
        <f>IF(ISBLANK(S101),_xll.qlSimpleQuoteSetValue(O101,R101),_xll.qlSimpleQuoteSetValue(O101,S101))</f>
        <v>#N/A</v>
      </c>
      <c r="U101" s="243"/>
      <c r="V101" s="245" t="s">
        <v>91</v>
      </c>
      <c r="W101" s="245" t="s">
        <v>63</v>
      </c>
      <c r="X101" s="245" t="str">
        <f t="shared" si="32"/>
        <v>EUR3MSW27Y=</v>
      </c>
      <c r="Y101" s="245" t="str">
        <f>_xll.qlSimpleQuote(X101,,RateTickValue,Permanent,Trigger,ObjectOverwrite)</f>
        <v>EUR3MSW27Y=#0006</v>
      </c>
      <c r="Z101" s="246">
        <f>_xll.RtGet("DTSIMI1",X101,$Z$3)/100</f>
        <v>1.2037272110000002E-2</v>
      </c>
      <c r="AA101" s="246">
        <f>_xll.RtGet("DTSIMI1",X101,$AA$3)/100</f>
        <v>1.2037272110000002E-2</v>
      </c>
      <c r="AB101" s="246">
        <f t="shared" si="35"/>
        <v>1.2037272110000002E-2</v>
      </c>
      <c r="AC101" s="315"/>
      <c r="AD101" s="293" t="e">
        <f>IF(ISBLANK(AC101),_xll.qlSimpleQuoteSetValue(Y101,AB101),_xll.qlSimpleQuoteSetValue(Y101,AC101))</f>
        <v>#N/A</v>
      </c>
      <c r="AE101" s="248"/>
      <c r="AF101" s="245" t="s">
        <v>91</v>
      </c>
      <c r="AG101" s="245" t="s">
        <v>63</v>
      </c>
      <c r="AH101" s="245" t="str">
        <f t="shared" si="33"/>
        <v>EUR6MSW27Y=</v>
      </c>
      <c r="AI101" s="245" t="str">
        <f>_xll.qlSimpleQuote(AH101,,RateTickValue,Permanent,Trigger,ObjectOverwrite)</f>
        <v>EUR6MSW27Y=#0006</v>
      </c>
      <c r="AJ101" s="246">
        <f>_xll.RtGet("DTSIMI1",AH101,$AJ$3)/100</f>
        <v>1.256324862E-2</v>
      </c>
      <c r="AK101" s="246">
        <f>_xll.RtGet("DTSIMI1",AH101,$AK$3)/100</f>
        <v>1.256324862E-2</v>
      </c>
      <c r="AL101" s="246">
        <f t="shared" si="29"/>
        <v>1.256324862E-2</v>
      </c>
      <c r="AM101" s="315"/>
      <c r="AN101" s="293" t="e">
        <f>IF(ISBLANK(AM101),_xll.qlSimpleQuoteSetValue(AI101,AL101),_xll.qlSimpleQuoteSetValue(AI101,AM101))</f>
        <v>#N/A</v>
      </c>
      <c r="AO101" s="243"/>
      <c r="AP101" s="245" t="s">
        <v>91</v>
      </c>
      <c r="AQ101" s="245" t="s">
        <v>63</v>
      </c>
      <c r="AR101" s="245" t="str">
        <f t="shared" si="34"/>
        <v>EUR1YSW27Y=</v>
      </c>
      <c r="AS101" s="245" t="str">
        <f>_xll.qlSimpleQuote(AR101,,RateTickValue,Permanent,Trigger,ObjectOverwrite)</f>
        <v>EUR1YSW27Y=#0006</v>
      </c>
      <c r="AT101" s="246">
        <f>_xll.RtGet("DTSIMI1",AR101,$AT$3)/100</f>
        <v>1.3174357890000002E-2</v>
      </c>
      <c r="AU101" s="246">
        <f>_xll.RtGet("DTSIMI1",AR101,$AU$3)/100</f>
        <v>1.3174357890000002E-2</v>
      </c>
      <c r="AV101" s="246">
        <f t="shared" si="31"/>
        <v>1.3174357890000002E-2</v>
      </c>
      <c r="AW101" s="315"/>
      <c r="AX101" s="293" t="e">
        <f>IF(ISBLANK(AW101),_xll.qlSimpleQuoteSetValue(AS101,AV101),_xll.qlSimpleQuoteSetValue(AS101,AW101))</f>
        <v>#N/A</v>
      </c>
    </row>
    <row r="102" spans="1:50" x14ac:dyDescent="0.2">
      <c r="A102" s="404"/>
      <c r="B102" s="245" t="s">
        <v>68</v>
      </c>
      <c r="C102" s="245" t="s">
        <v>111</v>
      </c>
      <c r="D102" s="245" t="str">
        <f t="shared" si="36"/>
        <v>EURONOIS28Y=</v>
      </c>
      <c r="E102" s="245" t="str">
        <f>_xll.qlSimpleQuote(D102,,RateTickValue,Permanent,Trigger,ObjectOverwrite)</f>
        <v>EURONOIS28Y=#0006</v>
      </c>
      <c r="F102" s="246">
        <f>_xll.RtGet("DTSIMI1",D102,$F$3)/100</f>
        <v>1.130300377E-2</v>
      </c>
      <c r="G102" s="246">
        <f>_xll.RtGet("DTSIMI1",D102,$G$3)/100</f>
        <v>1.130300377E-2</v>
      </c>
      <c r="H102" s="246">
        <f t="shared" si="24"/>
        <v>1.130300377E-2</v>
      </c>
      <c r="I102" s="315"/>
      <c r="J102" s="293" t="e">
        <f>IF(ISBLANK(I102),_xll.qlSimpleQuoteSetValue(E102,H102),_xll.qlSimpleQuoteSetValue(E102,I102))</f>
        <v>#N/A</v>
      </c>
      <c r="K102" s="247"/>
      <c r="L102" s="245" t="s">
        <v>91</v>
      </c>
      <c r="M102" s="245" t="s">
        <v>111</v>
      </c>
      <c r="N102" s="245" t="str">
        <f t="shared" si="37"/>
        <v>EUR1MSW28Y=</v>
      </c>
      <c r="O102" s="245" t="str">
        <f>_xll.qlSimpleQuote(N102,,RateTickValue,Permanent,Trigger,ObjectOverwrite)</f>
        <v>EUR1MSW28Y=#0006</v>
      </c>
      <c r="P102" s="246">
        <f>_xll.RtGet("DTSIMI1",N102,$P$3)/100</f>
        <v>1.1415532050000001E-2</v>
      </c>
      <c r="Q102" s="246">
        <f>_xll.RtGet("DTSIMI1",N102,$Q$3)/100</f>
        <v>1.1415532050000001E-2</v>
      </c>
      <c r="R102" s="246">
        <f t="shared" si="25"/>
        <v>1.1415532050000001E-2</v>
      </c>
      <c r="S102" s="315"/>
      <c r="T102" s="293" t="e">
        <f>IF(ISBLANK(S102),_xll.qlSimpleQuoteSetValue(O102,R102),_xll.qlSimpleQuoteSetValue(O102,S102))</f>
        <v>#N/A</v>
      </c>
      <c r="U102" s="243"/>
      <c r="V102" s="245" t="s">
        <v>91</v>
      </c>
      <c r="W102" s="245" t="s">
        <v>111</v>
      </c>
      <c r="X102" s="245" t="str">
        <f t="shared" si="32"/>
        <v>EUR3MSW28Y=</v>
      </c>
      <c r="Y102" s="245" t="str">
        <f>_xll.qlSimpleQuote(X102,,RateTickValue,Permanent,Trigger,ObjectOverwrite)</f>
        <v>EUR3MSW28Y=#0006</v>
      </c>
      <c r="Z102" s="246">
        <f>_xll.RtGet("DTSIMI1",X102,$Z$3)/100</f>
        <v>1.2090932170000002E-2</v>
      </c>
      <c r="AA102" s="246">
        <f>_xll.RtGet("DTSIMI1",X102,$AA$3)/100</f>
        <v>1.2090932170000002E-2</v>
      </c>
      <c r="AB102" s="246">
        <f t="shared" si="35"/>
        <v>1.2090932170000002E-2</v>
      </c>
      <c r="AC102" s="315"/>
      <c r="AD102" s="293" t="e">
        <f>IF(ISBLANK(AC102),_xll.qlSimpleQuoteSetValue(Y102,AB102),_xll.qlSimpleQuoteSetValue(Y102,AC102))</f>
        <v>#N/A</v>
      </c>
      <c r="AE102" s="248"/>
      <c r="AF102" s="245" t="s">
        <v>91</v>
      </c>
      <c r="AG102" s="245" t="s">
        <v>111</v>
      </c>
      <c r="AH102" s="245" t="str">
        <f t="shared" si="33"/>
        <v>EUR6MSW28Y=</v>
      </c>
      <c r="AI102" s="245" t="str">
        <f>_xll.qlSimpleQuote(AH102,,RateTickValue,Permanent,Trigger,ObjectOverwrite)</f>
        <v>EUR6MSW28Y=#0006</v>
      </c>
      <c r="AJ102" s="246">
        <f>_xll.RtGet("DTSIMI1",AH102,$AJ$3)/100</f>
        <v>1.2601871590000001E-2</v>
      </c>
      <c r="AK102" s="246">
        <f>_xll.RtGet("DTSIMI1",AH102,$AK$3)/100</f>
        <v>1.2601871590000001E-2</v>
      </c>
      <c r="AL102" s="246">
        <f t="shared" si="29"/>
        <v>1.2601871590000001E-2</v>
      </c>
      <c r="AM102" s="315"/>
      <c r="AN102" s="293" t="e">
        <f>IF(ISBLANK(AM102),_xll.qlSimpleQuoteSetValue(AI102,AL102),_xll.qlSimpleQuoteSetValue(AI102,AM102))</f>
        <v>#N/A</v>
      </c>
      <c r="AO102" s="243"/>
      <c r="AP102" s="245" t="s">
        <v>91</v>
      </c>
      <c r="AQ102" s="245" t="s">
        <v>111</v>
      </c>
      <c r="AR102" s="245" t="str">
        <f t="shared" si="34"/>
        <v>EUR1YSW28Y=</v>
      </c>
      <c r="AS102" s="245" t="str">
        <f>_xll.qlSimpleQuote(AR102,,RateTickValue,Permanent,Trigger,ObjectOverwrite)</f>
        <v>EUR1YSW28Y=#0006</v>
      </c>
      <c r="AT102" s="246">
        <f>_xll.RtGet("DTSIMI1",AR102,$AT$3)/100</f>
        <v>1.3200284770000001E-2</v>
      </c>
      <c r="AU102" s="246">
        <f>_xll.RtGet("DTSIMI1",AR102,$AU$3)/100</f>
        <v>1.3200284770000001E-2</v>
      </c>
      <c r="AV102" s="246">
        <f t="shared" si="31"/>
        <v>1.3200284770000001E-2</v>
      </c>
      <c r="AW102" s="315"/>
      <c r="AX102" s="293" t="e">
        <f>IF(ISBLANK(AW102),_xll.qlSimpleQuoteSetValue(AS102,AV102),_xll.qlSimpleQuoteSetValue(AS102,AW102))</f>
        <v>#N/A</v>
      </c>
    </row>
    <row r="103" spans="1:50" x14ac:dyDescent="0.2">
      <c r="A103" s="404"/>
      <c r="B103" s="245" t="s">
        <v>68</v>
      </c>
      <c r="C103" s="245" t="s">
        <v>112</v>
      </c>
      <c r="D103" s="245" t="str">
        <f t="shared" si="36"/>
        <v>EURONOIS29Y=</v>
      </c>
      <c r="E103" s="245" t="str">
        <f>_xll.qlSimpleQuote(D103,,RateTickValue,Permanent,Trigger,ObjectOverwrite)</f>
        <v>EURONOIS29Y=#0006</v>
      </c>
      <c r="F103" s="246">
        <f>_xll.RtGet("DTSIMI1",D103,$F$3)/100</f>
        <v>1.1358622070000001E-2</v>
      </c>
      <c r="G103" s="246">
        <f>_xll.RtGet("DTSIMI1",D103,$G$3)/100</f>
        <v>1.1358622070000001E-2</v>
      </c>
      <c r="H103" s="246">
        <f t="shared" si="24"/>
        <v>1.1358622070000001E-2</v>
      </c>
      <c r="I103" s="315"/>
      <c r="J103" s="293" t="e">
        <f>IF(ISBLANK(I103),_xll.qlSimpleQuoteSetValue(E103,H103),_xll.qlSimpleQuoteSetValue(E103,I103))</f>
        <v>#N/A</v>
      </c>
      <c r="K103" s="247"/>
      <c r="L103" s="245" t="s">
        <v>91</v>
      </c>
      <c r="M103" s="245" t="s">
        <v>112</v>
      </c>
      <c r="N103" s="245" t="str">
        <f t="shared" si="37"/>
        <v>EUR1MSW29Y=</v>
      </c>
      <c r="O103" s="245" t="str">
        <f>_xll.qlSimpleQuote(N103,,RateTickValue,Permanent,Trigger,ObjectOverwrite)</f>
        <v>EUR1MSW29Y=#0006</v>
      </c>
      <c r="P103" s="246">
        <f>_xll.RtGet("DTSIMI1",N103,$P$3)/100</f>
        <v>1.1475656339999999E-2</v>
      </c>
      <c r="Q103" s="246">
        <f>_xll.RtGet("DTSIMI1",N103,$Q$3)/100</f>
        <v>1.1475656339999999E-2</v>
      </c>
      <c r="R103" s="246">
        <f t="shared" si="25"/>
        <v>1.1475656339999999E-2</v>
      </c>
      <c r="S103" s="315"/>
      <c r="T103" s="293" t="e">
        <f>IF(ISBLANK(S103),_xll.qlSimpleQuoteSetValue(O103,R103),_xll.qlSimpleQuoteSetValue(O103,S103))</f>
        <v>#N/A</v>
      </c>
      <c r="U103" s="243"/>
      <c r="V103" s="245" t="s">
        <v>91</v>
      </c>
      <c r="W103" s="245" t="s">
        <v>112</v>
      </c>
      <c r="X103" s="245" t="str">
        <f t="shared" si="32"/>
        <v>EUR3MSW29Y=</v>
      </c>
      <c r="Y103" s="245" t="str">
        <f>_xll.qlSimpleQuote(X103,,RateTickValue,Permanent,Trigger,ObjectOverwrite)</f>
        <v>EUR3MSW29Y=#0006</v>
      </c>
      <c r="Z103" s="246">
        <f>_xll.RtGet("DTSIMI1",X103,$Z$3)/100</f>
        <v>1.2137921370000001E-2</v>
      </c>
      <c r="AA103" s="246">
        <f>_xll.RtGet("DTSIMI1",X103,$AA$3)/100</f>
        <v>1.2137921370000001E-2</v>
      </c>
      <c r="AB103" s="246">
        <f t="shared" si="35"/>
        <v>1.2137921370000001E-2</v>
      </c>
      <c r="AC103" s="315"/>
      <c r="AD103" s="293" t="e">
        <f>IF(ISBLANK(AC103),_xll.qlSimpleQuoteSetValue(Y103,AB103),_xll.qlSimpleQuoteSetValue(Y103,AC103))</f>
        <v>#N/A</v>
      </c>
      <c r="AE103" s="248"/>
      <c r="AF103" s="245" t="s">
        <v>91</v>
      </c>
      <c r="AG103" s="245" t="s">
        <v>112</v>
      </c>
      <c r="AH103" s="245" t="str">
        <f t="shared" si="33"/>
        <v>EUR6MSW29Y=</v>
      </c>
      <c r="AI103" s="245" t="str">
        <f>_xll.qlSimpleQuote(AH103,,RateTickValue,Permanent,Trigger,ObjectOverwrite)</f>
        <v>EUR6MSW29Y=#0006</v>
      </c>
      <c r="AJ103" s="246">
        <f>_xll.RtGet("DTSIMI1",AH103,$AJ$3)/100</f>
        <v>1.263377846E-2</v>
      </c>
      <c r="AK103" s="246">
        <f>_xll.RtGet("DTSIMI1",AH103,$AK$3)/100</f>
        <v>1.263377846E-2</v>
      </c>
      <c r="AL103" s="246">
        <f t="shared" si="29"/>
        <v>1.263377846E-2</v>
      </c>
      <c r="AM103" s="315"/>
      <c r="AN103" s="293" t="e">
        <f>IF(ISBLANK(AM103),_xll.qlSimpleQuoteSetValue(AI103,AL103),_xll.qlSimpleQuoteSetValue(AI103,AM103))</f>
        <v>#N/A</v>
      </c>
      <c r="AO103" s="243"/>
      <c r="AP103" s="245" t="s">
        <v>91</v>
      </c>
      <c r="AQ103" s="245" t="s">
        <v>112</v>
      </c>
      <c r="AR103" s="245" t="str">
        <f t="shared" si="34"/>
        <v>EUR1YSW29Y=</v>
      </c>
      <c r="AS103" s="245" t="str">
        <f>_xll.qlSimpleQuote(AR103,,RateTickValue,Permanent,Trigger,ObjectOverwrite)</f>
        <v>EUR1YSW29Y=#0006</v>
      </c>
      <c r="AT103" s="246">
        <f>_xll.RtGet("DTSIMI1",AR103,$AT$3)/100</f>
        <v>1.3221538370000001E-2</v>
      </c>
      <c r="AU103" s="246">
        <f>_xll.RtGet("DTSIMI1",AR103,$AU$3)/100</f>
        <v>1.3221538370000001E-2</v>
      </c>
      <c r="AV103" s="246">
        <f t="shared" si="31"/>
        <v>1.3221538370000001E-2</v>
      </c>
      <c r="AW103" s="315"/>
      <c r="AX103" s="293" t="e">
        <f>IF(ISBLANK(AW103),_xll.qlSimpleQuoteSetValue(AS103,AV103),_xll.qlSimpleQuoteSetValue(AS103,AW103))</f>
        <v>#N/A</v>
      </c>
    </row>
    <row r="104" spans="1:50" x14ac:dyDescent="0.2">
      <c r="A104" s="404"/>
      <c r="B104" s="245" t="s">
        <v>68</v>
      </c>
      <c r="C104" s="245" t="s">
        <v>64</v>
      </c>
      <c r="D104" s="245" t="str">
        <f t="shared" si="36"/>
        <v>EURONOIS30Y=</v>
      </c>
      <c r="E104" s="245" t="str">
        <f>_xll.qlSimpleQuote(D104,,RateTickValue,Permanent,Trigger,ObjectOverwrite)</f>
        <v>EURONOIS30Y=#0006</v>
      </c>
      <c r="F104" s="246">
        <f>_xll.RtGet("DTSIMI1",D104,$F$3)/100</f>
        <v>1.141E-2</v>
      </c>
      <c r="G104" s="246">
        <f>_xll.RtGet("DTSIMI1",D104,$G$3)/100</f>
        <v>1.141E-2</v>
      </c>
      <c r="H104" s="246">
        <f t="shared" si="24"/>
        <v>1.141E-2</v>
      </c>
      <c r="I104" s="315"/>
      <c r="J104" s="293" t="e">
        <f>IF(ISBLANK(I104),_xll.qlSimpleQuoteSetValue(E104,H104),_xll.qlSimpleQuoteSetValue(E104,I104))</f>
        <v>#N/A</v>
      </c>
      <c r="K104" s="247"/>
      <c r="L104" s="245" t="s">
        <v>91</v>
      </c>
      <c r="M104" s="245" t="s">
        <v>64</v>
      </c>
      <c r="N104" s="245" t="str">
        <f t="shared" si="37"/>
        <v>EUR1MSW30Y=</v>
      </c>
      <c r="O104" s="245" t="str">
        <f>_xll.qlSimpleQuote(N104,,RateTickValue,Permanent,Trigger,ObjectOverwrite)</f>
        <v>EUR1MSW30Y=#0006</v>
      </c>
      <c r="P104" s="246">
        <f>_xll.RtGet("DTSIMI1",N104,$P$3)/100</f>
        <v>1.153E-2</v>
      </c>
      <c r="Q104" s="246">
        <f>_xll.RtGet("DTSIMI1",N104,$Q$3)/100</f>
        <v>1.153E-2</v>
      </c>
      <c r="R104" s="246">
        <f t="shared" si="25"/>
        <v>1.153E-2</v>
      </c>
      <c r="S104" s="315"/>
      <c r="T104" s="293" t="e">
        <f>IF(ISBLANK(S104),_xll.qlSimpleQuoteSetValue(O104,R104),_xll.qlSimpleQuoteSetValue(O104,S104))</f>
        <v>#N/A</v>
      </c>
      <c r="U104" s="243"/>
      <c r="V104" s="245" t="s">
        <v>91</v>
      </c>
      <c r="W104" s="245" t="s">
        <v>64</v>
      </c>
      <c r="X104" s="245" t="str">
        <f t="shared" si="32"/>
        <v>EUR3MSW30Y=</v>
      </c>
      <c r="Y104" s="245" t="str">
        <f>_xll.qlSimpleQuote(X104,,RateTickValue,Permanent,Trigger,ObjectOverwrite)</f>
        <v>EUR3MSW30Y=#0006</v>
      </c>
      <c r="Z104" s="246">
        <f>_xll.RtGet("DTSIMI1",X104,$Z$3)/100</f>
        <v>1.218E-2</v>
      </c>
      <c r="AA104" s="246">
        <f>_xll.RtGet("DTSIMI1",X104,$AA$3)/100</f>
        <v>1.218E-2</v>
      </c>
      <c r="AB104" s="246">
        <f t="shared" si="35"/>
        <v>1.218E-2</v>
      </c>
      <c r="AC104" s="315"/>
      <c r="AD104" s="293" t="e">
        <f>IF(ISBLANK(AC104),_xll.qlSimpleQuoteSetValue(Y104,AB104),_xll.qlSimpleQuoteSetValue(Y104,AC104))</f>
        <v>#N/A</v>
      </c>
      <c r="AE104" s="248"/>
      <c r="AF104" s="245" t="s">
        <v>91</v>
      </c>
      <c r="AG104" s="245" t="s">
        <v>64</v>
      </c>
      <c r="AH104" s="245" t="str">
        <f t="shared" si="33"/>
        <v>EUR6MSW30Y=</v>
      </c>
      <c r="AI104" s="245" t="str">
        <f>_xll.qlSimpleQuote(AH104,,RateTickValue,Permanent,Trigger,ObjectOverwrite)</f>
        <v>EUR6MSW30Y=#0006</v>
      </c>
      <c r="AJ104" s="246">
        <f>_xll.RtGet("DTSIMI1",AH104,$AJ$3)/100</f>
        <v>1.2659999999999999E-2</v>
      </c>
      <c r="AK104" s="246">
        <f>_xll.RtGet("DTSIMI1",AH104,$AK$3)/100</f>
        <v>1.2659999999999999E-2</v>
      </c>
      <c r="AL104" s="246">
        <f t="shared" si="29"/>
        <v>1.2659999999999999E-2</v>
      </c>
      <c r="AM104" s="315"/>
      <c r="AN104" s="293" t="e">
        <f>IF(ISBLANK(AM104),_xll.qlSimpleQuoteSetValue(AI104,AL104),_xll.qlSimpleQuoteSetValue(AI104,AM104))</f>
        <v>#N/A</v>
      </c>
      <c r="AO104" s="243"/>
      <c r="AP104" s="245" t="s">
        <v>91</v>
      </c>
      <c r="AQ104" s="245" t="s">
        <v>64</v>
      </c>
      <c r="AR104" s="245" t="str">
        <f t="shared" si="34"/>
        <v>EUR1YSW30Y=</v>
      </c>
      <c r="AS104" s="245" t="str">
        <f>_xll.qlSimpleQuote(AR104,,RateTickValue,Permanent,Trigger,ObjectOverwrite)</f>
        <v>EUR1YSW30Y=#0006</v>
      </c>
      <c r="AT104" s="246">
        <f>_xll.RtGet("DTSIMI1",AR104,$AT$3)/100</f>
        <v>1.324E-2</v>
      </c>
      <c r="AU104" s="246">
        <f>_xll.RtGet("DTSIMI1",AR104,$AU$3)/100</f>
        <v>1.324E-2</v>
      </c>
      <c r="AV104" s="246">
        <f t="shared" si="31"/>
        <v>1.324E-2</v>
      </c>
      <c r="AW104" s="315"/>
      <c r="AX104" s="293" t="e">
        <f>IF(ISBLANK(AW104),_xll.qlSimpleQuoteSetValue(AS104,AV104),_xll.qlSimpleQuoteSetValue(AS104,AW104))</f>
        <v>#N/A</v>
      </c>
    </row>
    <row r="105" spans="1:50" x14ac:dyDescent="0.2">
      <c r="A105" s="405"/>
      <c r="B105" s="273" t="s">
        <v>68</v>
      </c>
      <c r="C105" s="274" t="s">
        <v>158</v>
      </c>
      <c r="D105" s="275"/>
      <c r="E105" s="275"/>
      <c r="F105" s="275"/>
      <c r="G105" s="275"/>
      <c r="H105" s="275"/>
      <c r="I105" s="325"/>
      <c r="J105" s="299"/>
      <c r="K105" s="247"/>
      <c r="L105" s="245" t="s">
        <v>91</v>
      </c>
      <c r="M105" s="245" t="s">
        <v>158</v>
      </c>
      <c r="N105" s="245" t="str">
        <f t="shared" si="37"/>
        <v>EUR1MSW31Y=</v>
      </c>
      <c r="O105" s="245" t="str">
        <f>_xll.qlSimpleQuote(N105,,RateTickValue,Permanent,Trigger,ObjectOverwrite)</f>
        <v>EUR1MSW31Y=#0006</v>
      </c>
      <c r="P105" s="246">
        <f>_xll.RtGet("DTSIMI1",N105,$P$3)/100</f>
        <v>1.1580017749999999E-2</v>
      </c>
      <c r="Q105" s="246">
        <f>_xll.RtGet("DTSIMI1",N105,$Q$3)/100</f>
        <v>1.1580017749999999E-2</v>
      </c>
      <c r="R105" s="246">
        <f t="shared" si="25"/>
        <v>1.1580017749999999E-2</v>
      </c>
      <c r="S105" s="315"/>
      <c r="T105" s="293" t="e">
        <f>IF(ISBLANK(S105),_xll.qlSimpleQuoteSetValue(O105,R105),_xll.qlSimpleQuoteSetValue(O105,S105))</f>
        <v>#N/A</v>
      </c>
      <c r="U105" s="243"/>
      <c r="V105" s="245" t="s">
        <v>91</v>
      </c>
      <c r="W105" s="245" t="s">
        <v>158</v>
      </c>
      <c r="X105" s="245" t="str">
        <f t="shared" si="32"/>
        <v>EUR3MSW31Y=</v>
      </c>
      <c r="Y105" s="245" t="str">
        <f>_xll.qlSimpleQuote(X105,,RateTickValue,Permanent,Trigger,ObjectOverwrite)</f>
        <v>EUR3MSW31Y=#0006</v>
      </c>
      <c r="Z105" s="246">
        <f>_xll.RtGet("DTSIMI1",X105,$Z$3)/100</f>
        <v>1.2218275390000002E-2</v>
      </c>
      <c r="AA105" s="246">
        <f>_xll.RtGet("DTSIMI1",X105,$AA$3)/100</f>
        <v>1.2218275390000002E-2</v>
      </c>
      <c r="AB105" s="246">
        <f t="shared" si="35"/>
        <v>1.2218275390000002E-2</v>
      </c>
      <c r="AC105" s="315"/>
      <c r="AD105" s="293" t="e">
        <f>IF(ISBLANK(AC105),_xll.qlSimpleQuoteSetValue(Y105,AB105),_xll.qlSimpleQuoteSetValue(Y105,AC105))</f>
        <v>#N/A</v>
      </c>
      <c r="AE105" s="248"/>
      <c r="AF105" s="245" t="s">
        <v>91</v>
      </c>
      <c r="AG105" s="245" t="s">
        <v>158</v>
      </c>
      <c r="AH105" s="245" t="str">
        <f t="shared" si="33"/>
        <v>EUR6MSW31Y=</v>
      </c>
      <c r="AI105" s="245" t="str">
        <f>_xll.qlSimpleQuote(AH105,,RateTickValue,Permanent,Trigger,ObjectOverwrite)</f>
        <v>EUR6MSW31Y=#0006</v>
      </c>
      <c r="AJ105" s="246">
        <f>_xll.RtGet("DTSIMI1",AH105,$AJ$3)/100</f>
        <v>1.268113391E-2</v>
      </c>
      <c r="AK105" s="246">
        <f>_xll.RtGet("DTSIMI1",AH105,$AK$3)/100</f>
        <v>1.268113391E-2</v>
      </c>
      <c r="AL105" s="246">
        <f t="shared" si="29"/>
        <v>1.268113391E-2</v>
      </c>
      <c r="AM105" s="315"/>
      <c r="AN105" s="293" t="e">
        <f>IF(ISBLANK(AM105),_xll.qlSimpleQuoteSetValue(AI105,AL105),_xll.qlSimpleQuoteSetValue(AI105,AM105))</f>
        <v>#N/A</v>
      </c>
      <c r="AO105" s="243"/>
      <c r="AP105" s="245" t="s">
        <v>91</v>
      </c>
      <c r="AQ105" s="245" t="s">
        <v>158</v>
      </c>
      <c r="AR105" s="245" t="str">
        <f t="shared" si="34"/>
        <v>EUR1YSW31Y=</v>
      </c>
      <c r="AS105" s="245" t="str">
        <f>_xll.qlSimpleQuote(AR105,,RateTickValue,Permanent,Trigger,ObjectOverwrite)</f>
        <v>EUR1YSW31Y=#0006</v>
      </c>
      <c r="AT105" s="246">
        <f>_xll.RtGet("DTSIMI1",AR105,$AT$3)/100</f>
        <v>1.3256374900000001E-2</v>
      </c>
      <c r="AU105" s="246">
        <f>_xll.RtGet("DTSIMI1",AR105,$AU$3)/100</f>
        <v>1.3256374900000001E-2</v>
      </c>
      <c r="AV105" s="246">
        <f t="shared" si="31"/>
        <v>1.3256374900000001E-2</v>
      </c>
      <c r="AW105" s="315"/>
      <c r="AX105" s="293" t="e">
        <f>IF(ISBLANK(AW105),_xll.qlSimpleQuoteSetValue(AS105,AV105),_xll.qlSimpleQuoteSetValue(AS105,AW105))</f>
        <v>#N/A</v>
      </c>
    </row>
    <row r="106" spans="1:50" x14ac:dyDescent="0.2">
      <c r="A106" s="405"/>
      <c r="B106" s="276" t="s">
        <v>68</v>
      </c>
      <c r="C106" s="245" t="s">
        <v>159</v>
      </c>
      <c r="D106" s="125"/>
      <c r="E106" s="125"/>
      <c r="F106" s="125"/>
      <c r="G106" s="125"/>
      <c r="H106" s="125"/>
      <c r="I106" s="326"/>
      <c r="J106" s="300"/>
      <c r="K106" s="247"/>
      <c r="L106" s="245" t="s">
        <v>91</v>
      </c>
      <c r="M106" s="245" t="s">
        <v>159</v>
      </c>
      <c r="N106" s="245" t="str">
        <f t="shared" si="37"/>
        <v>EUR1MSW32Y=</v>
      </c>
      <c r="O106" s="245" t="str">
        <f>_xll.qlSimpleQuote(N106,,RateTickValue,Permanent,Trigger,ObjectOverwrite)</f>
        <v>EUR1MSW32Y=#0006</v>
      </c>
      <c r="P106" s="246">
        <f>_xll.RtGet("DTSIMI1",N106,$P$3)/100</f>
        <v>1.1626530820000001E-2</v>
      </c>
      <c r="Q106" s="246">
        <f>_xll.RtGet("DTSIMI1",N106,$Q$3)/100</f>
        <v>1.1626530820000001E-2</v>
      </c>
      <c r="R106" s="246">
        <f t="shared" si="25"/>
        <v>1.1626530820000001E-2</v>
      </c>
      <c r="S106" s="315"/>
      <c r="T106" s="293" t="e">
        <f>IF(ISBLANK(S106),_xll.qlSimpleQuoteSetValue(O106,R106),_xll.qlSimpleQuoteSetValue(O106,S106))</f>
        <v>#N/A</v>
      </c>
      <c r="U106" s="243"/>
      <c r="V106" s="245" t="s">
        <v>91</v>
      </c>
      <c r="W106" s="245" t="s">
        <v>159</v>
      </c>
      <c r="X106" s="245" t="str">
        <f t="shared" si="32"/>
        <v>EUR3MSW32Y=</v>
      </c>
      <c r="Y106" s="245" t="str">
        <f>_xll.qlSimpleQuote(X106,,RateTickValue,Permanent,Trigger,ObjectOverwrite)</f>
        <v>EUR3MSW32Y=#0006</v>
      </c>
      <c r="Z106" s="246">
        <f>_xll.RtGet("DTSIMI1",X106,$Z$3)/100</f>
        <v>1.2253425690000002E-2</v>
      </c>
      <c r="AA106" s="246">
        <f>_xll.RtGet("DTSIMI1",X106,$AA$3)/100</f>
        <v>1.2253425690000002E-2</v>
      </c>
      <c r="AB106" s="246">
        <f t="shared" si="35"/>
        <v>1.2253425690000002E-2</v>
      </c>
      <c r="AC106" s="315"/>
      <c r="AD106" s="293" t="e">
        <f>IF(ISBLANK(AC106),_xll.qlSimpleQuoteSetValue(Y106,AB106),_xll.qlSimpleQuoteSetValue(Y106,AC106))</f>
        <v>#N/A</v>
      </c>
      <c r="AE106" s="248"/>
      <c r="AF106" s="245" t="s">
        <v>91</v>
      </c>
      <c r="AG106" s="245" t="s">
        <v>159</v>
      </c>
      <c r="AH106" s="245" t="str">
        <f t="shared" si="33"/>
        <v>EUR6MSW32Y=</v>
      </c>
      <c r="AI106" s="245" t="str">
        <f>_xll.qlSimpleQuote(AH106,,RateTickValue,Permanent,Trigger,ObjectOverwrite)</f>
        <v>EUR6MSW32Y=#0006</v>
      </c>
      <c r="AJ106" s="246">
        <f>_xll.RtGet("DTSIMI1",AH106,$AJ$3)/100</f>
        <v>1.2698803599999999E-2</v>
      </c>
      <c r="AK106" s="246">
        <f>_xll.RtGet("DTSIMI1",AH106,$AK$3)/100</f>
        <v>1.2698803599999999E-2</v>
      </c>
      <c r="AL106" s="246">
        <f t="shared" si="29"/>
        <v>1.2698803599999999E-2</v>
      </c>
      <c r="AM106" s="315"/>
      <c r="AN106" s="293" t="e">
        <f>IF(ISBLANK(AM106),_xll.qlSimpleQuoteSetValue(AI106,AL106),_xll.qlSimpleQuoteSetValue(AI106,AM106))</f>
        <v>#N/A</v>
      </c>
      <c r="AO106" s="243"/>
      <c r="AP106" s="245" t="s">
        <v>91</v>
      </c>
      <c r="AQ106" s="245" t="s">
        <v>159</v>
      </c>
      <c r="AR106" s="245" t="str">
        <f t="shared" si="34"/>
        <v>EUR1YSW32Y=</v>
      </c>
      <c r="AS106" s="245" t="str">
        <f>_xll.qlSimpleQuote(AR106,,RateTickValue,Permanent,Trigger,ObjectOverwrite)</f>
        <v>EUR1YSW32Y=#0006</v>
      </c>
      <c r="AT106" s="246">
        <f>_xll.RtGet("DTSIMI1",AR106,$AT$3)/100</f>
        <v>1.3271155970000002E-2</v>
      </c>
      <c r="AU106" s="246">
        <f>_xll.RtGet("DTSIMI1",AR106,$AU$3)/100</f>
        <v>1.3271155970000002E-2</v>
      </c>
      <c r="AV106" s="246">
        <f t="shared" si="31"/>
        <v>1.3271155970000002E-2</v>
      </c>
      <c r="AW106" s="315"/>
      <c r="AX106" s="293" t="e">
        <f>IF(ISBLANK(AW106),_xll.qlSimpleQuoteSetValue(AS106,AV106),_xll.qlSimpleQuoteSetValue(AS106,AW106))</f>
        <v>#N/A</v>
      </c>
    </row>
    <row r="107" spans="1:50" x14ac:dyDescent="0.2">
      <c r="A107" s="405"/>
      <c r="B107" s="276" t="s">
        <v>68</v>
      </c>
      <c r="C107" s="245" t="s">
        <v>160</v>
      </c>
      <c r="D107" s="125"/>
      <c r="E107" s="125"/>
      <c r="F107" s="125"/>
      <c r="G107" s="125"/>
      <c r="H107" s="125"/>
      <c r="I107" s="326"/>
      <c r="J107" s="300"/>
      <c r="K107" s="247"/>
      <c r="L107" s="245" t="s">
        <v>91</v>
      </c>
      <c r="M107" s="245" t="s">
        <v>160</v>
      </c>
      <c r="N107" s="245" t="str">
        <f t="shared" si="37"/>
        <v>EUR1MSW33Y=</v>
      </c>
      <c r="O107" s="245" t="str">
        <f>_xll.qlSimpleQuote(N107,,RateTickValue,Permanent,Trigger,ObjectOverwrite)</f>
        <v>EUR1MSW33Y=#0006</v>
      </c>
      <c r="P107" s="246">
        <f>_xll.RtGet("DTSIMI1",N107,$P$3)/100</f>
        <v>1.1667050680000002E-2</v>
      </c>
      <c r="Q107" s="246">
        <f>_xll.RtGet("DTSIMI1",N107,$Q$3)/100</f>
        <v>1.1667050680000002E-2</v>
      </c>
      <c r="R107" s="246">
        <f t="shared" si="25"/>
        <v>1.1667050680000002E-2</v>
      </c>
      <c r="S107" s="315"/>
      <c r="T107" s="293" t="e">
        <f>IF(ISBLANK(S107),_xll.qlSimpleQuoteSetValue(O107,R107),_xll.qlSimpleQuoteSetValue(O107,S107))</f>
        <v>#N/A</v>
      </c>
      <c r="U107" s="243"/>
      <c r="V107" s="245" t="s">
        <v>91</v>
      </c>
      <c r="W107" s="245" t="s">
        <v>160</v>
      </c>
      <c r="X107" s="245" t="str">
        <f t="shared" si="32"/>
        <v>EUR3MSW33Y=</v>
      </c>
      <c r="Y107" s="245" t="str">
        <f>_xll.qlSimpleQuote(X107,,RateTickValue,Permanent,Trigger,ObjectOverwrite)</f>
        <v>EUR3MSW33Y=#0006</v>
      </c>
      <c r="Z107" s="246">
        <f>_xll.RtGet("DTSIMI1",X107,$Z$3)/100</f>
        <v>1.2283053770000002E-2</v>
      </c>
      <c r="AA107" s="246">
        <f>_xll.RtGet("DTSIMI1",X107,$AA$3)/100</f>
        <v>1.2283053770000002E-2</v>
      </c>
      <c r="AB107" s="246">
        <f t="shared" si="35"/>
        <v>1.2283053770000002E-2</v>
      </c>
      <c r="AC107" s="315"/>
      <c r="AD107" s="293" t="e">
        <f>IF(ISBLANK(AC107),_xll.qlSimpleQuoteSetValue(Y107,AB107),_xll.qlSimpleQuoteSetValue(Y107,AC107))</f>
        <v>#N/A</v>
      </c>
      <c r="AE107" s="248"/>
      <c r="AF107" s="245" t="s">
        <v>91</v>
      </c>
      <c r="AG107" s="245" t="s">
        <v>160</v>
      </c>
      <c r="AH107" s="245" t="str">
        <f t="shared" si="33"/>
        <v>EUR6MSW33Y=</v>
      </c>
      <c r="AI107" s="245" t="str">
        <f>_xll.qlSimpleQuote(AH107,,RateTickValue,Permanent,Trigger,ObjectOverwrite)</f>
        <v>EUR6MSW33Y=#0006</v>
      </c>
      <c r="AJ107" s="246">
        <f>_xll.RtGet("DTSIMI1",AH107,$AJ$3)/100</f>
        <v>1.271186535E-2</v>
      </c>
      <c r="AK107" s="246">
        <f>_xll.RtGet("DTSIMI1",AH107,$AK$3)/100</f>
        <v>1.271186535E-2</v>
      </c>
      <c r="AL107" s="246">
        <f t="shared" si="29"/>
        <v>1.271186535E-2</v>
      </c>
      <c r="AM107" s="315"/>
      <c r="AN107" s="293" t="e">
        <f>IF(ISBLANK(AM107),_xll.qlSimpleQuoteSetValue(AI107,AL107),_xll.qlSimpleQuoteSetValue(AI107,AM107))</f>
        <v>#N/A</v>
      </c>
      <c r="AO107" s="243"/>
      <c r="AP107" s="245" t="s">
        <v>91</v>
      </c>
      <c r="AQ107" s="245" t="s">
        <v>160</v>
      </c>
      <c r="AR107" s="245" t="str">
        <f t="shared" si="34"/>
        <v>EUR1YSW33Y=</v>
      </c>
      <c r="AS107" s="245" t="str">
        <f>_xll.qlSimpleQuote(AR107,,RateTickValue,Permanent,Trigger,ObjectOverwrite)</f>
        <v>EUR1YSW33Y=#0006</v>
      </c>
      <c r="AT107" s="246">
        <f>_xll.RtGet("DTSIMI1",AR107,$AT$3)/100</f>
        <v>1.328179596E-2</v>
      </c>
      <c r="AU107" s="246">
        <f>_xll.RtGet("DTSIMI1",AR107,$AU$3)/100</f>
        <v>1.328179596E-2</v>
      </c>
      <c r="AV107" s="246">
        <f t="shared" si="31"/>
        <v>1.328179596E-2</v>
      </c>
      <c r="AW107" s="315"/>
      <c r="AX107" s="293" t="e">
        <f>IF(ISBLANK(AW107),_xll.qlSimpleQuoteSetValue(AS107,AV107),_xll.qlSimpleQuoteSetValue(AS107,AW107))</f>
        <v>#N/A</v>
      </c>
    </row>
    <row r="108" spans="1:50" x14ac:dyDescent="0.2">
      <c r="A108" s="405"/>
      <c r="B108" s="277" t="s">
        <v>68</v>
      </c>
      <c r="C108" s="269" t="s">
        <v>161</v>
      </c>
      <c r="D108" s="278"/>
      <c r="E108" s="278"/>
      <c r="F108" s="278"/>
      <c r="G108" s="278"/>
      <c r="H108" s="278"/>
      <c r="I108" s="327"/>
      <c r="J108" s="301"/>
      <c r="K108" s="247"/>
      <c r="L108" s="245" t="s">
        <v>91</v>
      </c>
      <c r="M108" s="245" t="s">
        <v>161</v>
      </c>
      <c r="N108" s="245" t="str">
        <f t="shared" si="37"/>
        <v>EUR1MSW34Y=</v>
      </c>
      <c r="O108" s="245" t="str">
        <f>_xll.qlSimpleQuote(N108,,RateTickValue,Permanent,Trigger,ObjectOverwrite)</f>
        <v>EUR1MSW34Y=#0006</v>
      </c>
      <c r="P108" s="246">
        <f>_xll.RtGet("DTSIMI1",N108,$P$3)/100</f>
        <v>1.170203394E-2</v>
      </c>
      <c r="Q108" s="246">
        <f>_xll.RtGet("DTSIMI1",N108,$Q$3)/100</f>
        <v>1.170203394E-2</v>
      </c>
      <c r="R108" s="246">
        <f t="shared" si="25"/>
        <v>1.170203394E-2</v>
      </c>
      <c r="S108" s="315"/>
      <c r="T108" s="293" t="e">
        <f>IF(ISBLANK(S108),_xll.qlSimpleQuoteSetValue(O108,R108),_xll.qlSimpleQuoteSetValue(O108,S108))</f>
        <v>#N/A</v>
      </c>
      <c r="U108" s="243"/>
      <c r="V108" s="245" t="s">
        <v>91</v>
      </c>
      <c r="W108" s="245" t="s">
        <v>161</v>
      </c>
      <c r="X108" s="245" t="str">
        <f t="shared" si="32"/>
        <v>EUR3MSW34Y=</v>
      </c>
      <c r="Y108" s="245" t="str">
        <f>_xll.qlSimpleQuote(X108,,RateTickValue,Permanent,Trigger,ObjectOverwrite)</f>
        <v>EUR3MSW34Y=#0006</v>
      </c>
      <c r="Z108" s="246">
        <f>_xll.RtGet("DTSIMI1",X108,$Z$3)/100</f>
        <v>1.230771101E-2</v>
      </c>
      <c r="AA108" s="246">
        <f>_xll.RtGet("DTSIMI1",X108,$AA$3)/100</f>
        <v>1.230771101E-2</v>
      </c>
      <c r="AB108" s="246">
        <f t="shared" si="35"/>
        <v>1.230771101E-2</v>
      </c>
      <c r="AC108" s="315"/>
      <c r="AD108" s="293" t="e">
        <f>IF(ISBLANK(AC108),_xll.qlSimpleQuoteSetValue(Y108,AB108),_xll.qlSimpleQuoteSetValue(Y108,AC108))</f>
        <v>#N/A</v>
      </c>
      <c r="AE108" s="248"/>
      <c r="AF108" s="245" t="s">
        <v>91</v>
      </c>
      <c r="AG108" s="245" t="s">
        <v>161</v>
      </c>
      <c r="AH108" s="245" t="str">
        <f t="shared" si="33"/>
        <v>EUR6MSW34Y=</v>
      </c>
      <c r="AI108" s="245" t="str">
        <f>_xll.qlSimpleQuote(AH108,,RateTickValue,Permanent,Trigger,ObjectOverwrite)</f>
        <v>EUR6MSW34Y=#0006</v>
      </c>
      <c r="AJ108" s="246">
        <f>_xll.RtGet("DTSIMI1",AH108,$AJ$3)/100</f>
        <v>1.2722009760000002E-2</v>
      </c>
      <c r="AK108" s="246">
        <f>_xll.RtGet("DTSIMI1",AH108,$AK$3)/100</f>
        <v>1.2722009760000002E-2</v>
      </c>
      <c r="AL108" s="246">
        <f t="shared" si="29"/>
        <v>1.2722009760000002E-2</v>
      </c>
      <c r="AM108" s="315"/>
      <c r="AN108" s="293" t="e">
        <f>IF(ISBLANK(AM108),_xll.qlSimpleQuoteSetValue(AI108,AL108),_xll.qlSimpleQuoteSetValue(AI108,AM108))</f>
        <v>#N/A</v>
      </c>
      <c r="AO108" s="243"/>
      <c r="AP108" s="245" t="s">
        <v>91</v>
      </c>
      <c r="AQ108" s="245" t="s">
        <v>161</v>
      </c>
      <c r="AR108" s="245" t="str">
        <f t="shared" si="34"/>
        <v>EUR1YSW34Y=</v>
      </c>
      <c r="AS108" s="245" t="str">
        <f>_xll.qlSimpleQuote(AR108,,RateTickValue,Permanent,Trigger,ObjectOverwrite)</f>
        <v>EUR1YSW34Y=#0006</v>
      </c>
      <c r="AT108" s="246">
        <f>_xll.RtGet("DTSIMI1",AR108,$AT$3)/100</f>
        <v>1.3288681340000002E-2</v>
      </c>
      <c r="AU108" s="246">
        <f>_xll.RtGet("DTSIMI1",AR108,$AU$3)/100</f>
        <v>1.3288681340000002E-2</v>
      </c>
      <c r="AV108" s="246">
        <f t="shared" si="31"/>
        <v>1.3288681340000002E-2</v>
      </c>
      <c r="AW108" s="315"/>
      <c r="AX108" s="293" t="e">
        <f>IF(ISBLANK(AW108),_xll.qlSimpleQuoteSetValue(AS108,AV108),_xll.qlSimpleQuoteSetValue(AS108,AW108))</f>
        <v>#N/A</v>
      </c>
    </row>
    <row r="109" spans="1:50" x14ac:dyDescent="0.2">
      <c r="A109" s="404"/>
      <c r="B109" s="245" t="s">
        <v>68</v>
      </c>
      <c r="C109" s="245" t="s">
        <v>65</v>
      </c>
      <c r="D109" s="245" t="str">
        <f t="shared" si="36"/>
        <v>EURONOIS35Y=</v>
      </c>
      <c r="E109" s="245" t="str">
        <f>_xll.qlSimpleQuote(D109,,RateTickValue,Permanent,Trigger,ObjectOverwrite)</f>
        <v>EURONOIS35Y=#0006</v>
      </c>
      <c r="F109" s="246">
        <f>_xll.RtGet("DTSIMI1",D109,$F$3)/100</f>
        <v>1.161539514E-2</v>
      </c>
      <c r="G109" s="246">
        <f>_xll.RtGet("DTSIMI1",D109,$G$3)/100</f>
        <v>1.161539514E-2</v>
      </c>
      <c r="H109" s="246">
        <f t="shared" si="24"/>
        <v>1.161539514E-2</v>
      </c>
      <c r="I109" s="315"/>
      <c r="J109" s="293" t="e">
        <f>IF(ISBLANK(I109),_xll.qlSimpleQuoteSetValue(E109,H109),_xll.qlSimpleQuoteSetValue(E109,I109))</f>
        <v>#N/A</v>
      </c>
      <c r="K109" s="247"/>
      <c r="L109" s="245" t="s">
        <v>91</v>
      </c>
      <c r="M109" s="245" t="s">
        <v>65</v>
      </c>
      <c r="N109" s="245" t="str">
        <f t="shared" si="37"/>
        <v>EUR1MSW35Y=</v>
      </c>
      <c r="O109" s="245" t="str">
        <f>_xll.qlSimpleQuote(N109,,RateTickValue,Permanent,Trigger,ObjectOverwrite)</f>
        <v>EUR1MSW35Y=#0006</v>
      </c>
      <c r="P109" s="246">
        <f>_xll.RtGet("DTSIMI1",N109,$P$3)/100</f>
        <v>1.1731128950000001E-2</v>
      </c>
      <c r="Q109" s="246">
        <f>_xll.RtGet("DTSIMI1",N109,$Q$3)/100</f>
        <v>1.1731128950000001E-2</v>
      </c>
      <c r="R109" s="246">
        <f t="shared" si="25"/>
        <v>1.1731128950000001E-2</v>
      </c>
      <c r="S109" s="315"/>
      <c r="T109" s="293" t="e">
        <f>IF(ISBLANK(S109),_xll.qlSimpleQuoteSetValue(O109,R109),_xll.qlSimpleQuoteSetValue(O109,S109))</f>
        <v>#N/A</v>
      </c>
      <c r="U109" s="243"/>
      <c r="V109" s="245" t="s">
        <v>91</v>
      </c>
      <c r="W109" s="245" t="s">
        <v>65</v>
      </c>
      <c r="X109" s="245" t="str">
        <f t="shared" si="32"/>
        <v>EUR3MSW35Y=</v>
      </c>
      <c r="Y109" s="245" t="str">
        <f>_xll.qlSimpleQuote(X109,,RateTickValue,Permanent,Trigger,ObjectOverwrite)</f>
        <v>EUR3MSW35Y=#0006</v>
      </c>
      <c r="Z109" s="246">
        <f>_xll.RtGet("DTSIMI1",X109,$Z$3)/100</f>
        <v>1.2327074239999999E-2</v>
      </c>
      <c r="AA109" s="246">
        <f>_xll.RtGet("DTSIMI1",X109,$AA$3)/100</f>
        <v>1.2327074239999999E-2</v>
      </c>
      <c r="AB109" s="246">
        <f t="shared" si="35"/>
        <v>1.2327074239999999E-2</v>
      </c>
      <c r="AC109" s="315"/>
      <c r="AD109" s="293" t="e">
        <f>IF(ISBLANK(AC109),_xll.qlSimpleQuoteSetValue(Y109,AB109),_xll.qlSimpleQuoteSetValue(Y109,AC109))</f>
        <v>#N/A</v>
      </c>
      <c r="AE109" s="248"/>
      <c r="AF109" s="245" t="s">
        <v>91</v>
      </c>
      <c r="AG109" s="245" t="s">
        <v>65</v>
      </c>
      <c r="AH109" s="245" t="str">
        <f t="shared" si="33"/>
        <v>EUR6MSW35Y=</v>
      </c>
      <c r="AI109" s="245" t="str">
        <f>_xll.qlSimpleQuote(AH109,,RateTickValue,Permanent,Trigger,ObjectOverwrite)</f>
        <v>EUR6MSW35Y=#0006</v>
      </c>
      <c r="AJ109" s="246">
        <f>_xll.RtGet("DTSIMI1",AH109,$AJ$3)/100</f>
        <v>1.2730000000000002E-2</v>
      </c>
      <c r="AK109" s="246">
        <f>_xll.RtGet("DTSIMI1",AH109,$AK$3)/100</f>
        <v>1.2730000000000002E-2</v>
      </c>
      <c r="AL109" s="246">
        <f t="shared" si="29"/>
        <v>1.2730000000000002E-2</v>
      </c>
      <c r="AM109" s="315"/>
      <c r="AN109" s="293" t="e">
        <f>IF(ISBLANK(AM109),_xll.qlSimpleQuoteSetValue(AI109,AL109),_xll.qlSimpleQuoteSetValue(AI109,AM109))</f>
        <v>#N/A</v>
      </c>
      <c r="AO109" s="243"/>
      <c r="AP109" s="245" t="s">
        <v>91</v>
      </c>
      <c r="AQ109" s="245" t="s">
        <v>65</v>
      </c>
      <c r="AR109" s="245" t="str">
        <f t="shared" si="34"/>
        <v>EUR1YSW35Y=</v>
      </c>
      <c r="AS109" s="245" t="str">
        <f>_xll.qlSimpleQuote(AR109,,RateTickValue,Permanent,Trigger,ObjectOverwrite)</f>
        <v>EUR1YSW35Y=#0006</v>
      </c>
      <c r="AT109" s="246">
        <f>_xll.RtGet("DTSIMI1",AR109,$AT$3)/100</f>
        <v>1.3291221190000001E-2</v>
      </c>
      <c r="AU109" s="246">
        <f>_xll.RtGet("DTSIMI1",AR109,$AU$3)/100</f>
        <v>1.3291221190000001E-2</v>
      </c>
      <c r="AV109" s="246">
        <f t="shared" si="31"/>
        <v>1.3291221190000001E-2</v>
      </c>
      <c r="AW109" s="315"/>
      <c r="AX109" s="293" t="e">
        <f>IF(ISBLANK(AW109),_xll.qlSimpleQuoteSetValue(AS109,AV109),_xll.qlSimpleQuoteSetValue(AS109,AW109))</f>
        <v>#N/A</v>
      </c>
    </row>
    <row r="110" spans="1:50" x14ac:dyDescent="0.2">
      <c r="A110" s="405"/>
      <c r="B110" s="273" t="s">
        <v>68</v>
      </c>
      <c r="C110" s="274" t="s">
        <v>162</v>
      </c>
      <c r="D110" s="275"/>
      <c r="E110" s="275"/>
      <c r="F110" s="275"/>
      <c r="G110" s="275"/>
      <c r="H110" s="275"/>
      <c r="I110" s="325"/>
      <c r="J110" s="299"/>
      <c r="K110" s="247"/>
      <c r="L110" s="245" t="s">
        <v>91</v>
      </c>
      <c r="M110" s="245" t="s">
        <v>162</v>
      </c>
      <c r="N110" s="245" t="str">
        <f t="shared" si="37"/>
        <v>EUR1MSW36Y=</v>
      </c>
      <c r="O110" s="245" t="str">
        <f>_xll.qlSimpleQuote(N110,,RateTickValue,Permanent,Trigger,ObjectOverwrite)</f>
        <v>EUR1MSW36Y=#0006</v>
      </c>
      <c r="P110" s="246">
        <f>_xll.RtGet("DTSIMI1",N110,$P$3)/100</f>
        <v>1.1754213810000001E-2</v>
      </c>
      <c r="Q110" s="246">
        <f>_xll.RtGet("DTSIMI1",N110,$Q$3)/100</f>
        <v>1.1754213810000001E-2</v>
      </c>
      <c r="R110" s="246">
        <f t="shared" si="25"/>
        <v>1.1754213810000001E-2</v>
      </c>
      <c r="S110" s="315"/>
      <c r="T110" s="293" t="e">
        <f>IF(ISBLANK(S110),_xll.qlSimpleQuoteSetValue(O110,R110),_xll.qlSimpleQuoteSetValue(O110,S110))</f>
        <v>#N/A</v>
      </c>
      <c r="U110" s="243"/>
      <c r="V110" s="245" t="s">
        <v>91</v>
      </c>
      <c r="W110" s="245" t="s">
        <v>162</v>
      </c>
      <c r="X110" s="245" t="str">
        <f t="shared" ref="X110:X116" si="38">IF(V110="","",UPPER(Currency)&amp;$V$2&amp;V110&amp;W110&amp;"=")</f>
        <v>EUR3MSW36Y=</v>
      </c>
      <c r="Y110" s="245" t="str">
        <f>_xll.qlSimpleQuote(X110,,RateTickValue,Permanent,Trigger,ObjectOverwrite)</f>
        <v>EUR3MSW36Y=#0006</v>
      </c>
      <c r="Z110" s="246">
        <f>_xll.RtGet("DTSIMI1",X110,$Z$3)/100</f>
        <v>1.234126638E-2</v>
      </c>
      <c r="AA110" s="246">
        <f>_xll.RtGet("DTSIMI1",X110,$AA$3)/100</f>
        <v>1.234126638E-2</v>
      </c>
      <c r="AB110" s="246">
        <f t="shared" si="35"/>
        <v>1.234126638E-2</v>
      </c>
      <c r="AC110" s="315"/>
      <c r="AD110" s="293" t="e">
        <f>IF(ISBLANK(AC110),_xll.qlSimpleQuoteSetValue(Y110,AB110),_xll.qlSimpleQuoteSetValue(Y110,AC110))</f>
        <v>#N/A</v>
      </c>
      <c r="AE110" s="248"/>
      <c r="AF110" s="245" t="s">
        <v>91</v>
      </c>
      <c r="AG110" s="245" t="s">
        <v>162</v>
      </c>
      <c r="AH110" s="245" t="str">
        <f t="shared" ref="AH110:AH116" si="39">IF(AF110="","",UPPER(Currency)&amp;$AF$2&amp;AF110&amp;AG110&amp;"=")</f>
        <v>EUR6MSW36Y=</v>
      </c>
      <c r="AI110" s="245" t="str">
        <f>_xll.qlSimpleQuote(AH110,,RateTickValue,Permanent,Trigger,ObjectOverwrite)</f>
        <v>EUR6MSW36Y=#0006</v>
      </c>
      <c r="AJ110" s="246">
        <f>_xll.RtGet("DTSIMI1",AH110,$AJ$3)/100</f>
        <v>1.273681909E-2</v>
      </c>
      <c r="AK110" s="246">
        <f>_xll.RtGet("DTSIMI1",AH110,$AK$3)/100</f>
        <v>1.273681909E-2</v>
      </c>
      <c r="AL110" s="246">
        <f t="shared" si="29"/>
        <v>1.273681909E-2</v>
      </c>
      <c r="AM110" s="315"/>
      <c r="AN110" s="293" t="e">
        <f>IF(ISBLANK(AM110),_xll.qlSimpleQuoteSetValue(AI110,AL110),_xll.qlSimpleQuoteSetValue(AI110,AM110))</f>
        <v>#N/A</v>
      </c>
      <c r="AO110" s="243"/>
      <c r="AP110" s="245" t="s">
        <v>91</v>
      </c>
      <c r="AQ110" s="245" t="s">
        <v>162</v>
      </c>
      <c r="AR110" s="245" t="str">
        <f t="shared" ref="AR110:AR116" si="40">IF(AP110="","",UPPER(Currency)&amp;"1Y"&amp;AP110&amp;AQ110&amp;"=")</f>
        <v>EUR1YSW36Y=</v>
      </c>
      <c r="AS110" s="245" t="str">
        <f>_xll.qlSimpleQuote(AR110,,RateTickValue,Permanent,Trigger,ObjectOverwrite)</f>
        <v>EUR1YSW36Y=#0006</v>
      </c>
      <c r="AT110" s="246">
        <f>_xll.RtGet("DTSIMI1",AR110,$AT$3)/100</f>
        <v>1.3289645900000001E-2</v>
      </c>
      <c r="AU110" s="246">
        <f>_xll.RtGet("DTSIMI1",AR110,$AU$3)/100</f>
        <v>1.3289645900000001E-2</v>
      </c>
      <c r="AV110" s="246">
        <f t="shared" si="31"/>
        <v>1.3289645900000001E-2</v>
      </c>
      <c r="AW110" s="315"/>
      <c r="AX110" s="293" t="e">
        <f>IF(ISBLANK(AW110),_xll.qlSimpleQuoteSetValue(AS110,AV110),_xll.qlSimpleQuoteSetValue(AS110,AW110))</f>
        <v>#N/A</v>
      </c>
    </row>
    <row r="111" spans="1:50" x14ac:dyDescent="0.2">
      <c r="A111" s="405"/>
      <c r="B111" s="276" t="s">
        <v>68</v>
      </c>
      <c r="C111" s="245" t="s">
        <v>163</v>
      </c>
      <c r="D111" s="125"/>
      <c r="E111" s="125"/>
      <c r="F111" s="125"/>
      <c r="G111" s="125"/>
      <c r="H111" s="125"/>
      <c r="I111" s="326"/>
      <c r="J111" s="300"/>
      <c r="K111" s="247"/>
      <c r="L111" s="245" t="s">
        <v>91</v>
      </c>
      <c r="M111" s="245" t="s">
        <v>163</v>
      </c>
      <c r="N111" s="245" t="str">
        <f t="shared" si="37"/>
        <v>EUR1MSW37Y=</v>
      </c>
      <c r="O111" s="245" t="str">
        <f>_xll.qlSimpleQuote(N111,,RateTickValue,Permanent,Trigger,ObjectOverwrite)</f>
        <v>EUR1MSW37Y=#0006</v>
      </c>
      <c r="P111" s="246">
        <f>_xll.RtGet("DTSIMI1",N111,$P$3)/100</f>
        <v>1.1769676330000001E-2</v>
      </c>
      <c r="Q111" s="246">
        <f>_xll.RtGet("DTSIMI1",N111,$Q$3)/100</f>
        <v>1.1769676330000001E-2</v>
      </c>
      <c r="R111" s="246">
        <f t="shared" ref="R111:R116" si="41">AVERAGE(P111:Q111)</f>
        <v>1.1769676330000001E-2</v>
      </c>
      <c r="S111" s="315"/>
      <c r="T111" s="293" t="e">
        <f>IF(ISBLANK(S111),_xll.qlSimpleQuoteSetValue(O111,R111),_xll.qlSimpleQuoteSetValue(O111,S111))</f>
        <v>#N/A</v>
      </c>
      <c r="U111" s="243"/>
      <c r="V111" s="245" t="s">
        <v>91</v>
      </c>
      <c r="W111" s="245" t="s">
        <v>163</v>
      </c>
      <c r="X111" s="245" t="str">
        <f t="shared" si="38"/>
        <v>EUR3MSW37Y=</v>
      </c>
      <c r="Y111" s="245" t="str">
        <f>_xll.qlSimpleQuote(X111,,RateTickValue,Permanent,Trigger,ObjectOverwrite)</f>
        <v>EUR3MSW37Y=#0006</v>
      </c>
      <c r="Z111" s="246">
        <f>_xll.RtGet("DTSIMI1",X111,$Z$3)/100</f>
        <v>1.234857608E-2</v>
      </c>
      <c r="AA111" s="246">
        <f>_xll.RtGet("DTSIMI1",X111,$AA$3)/100</f>
        <v>1.234857608E-2</v>
      </c>
      <c r="AB111" s="246">
        <f t="shared" si="35"/>
        <v>1.234857608E-2</v>
      </c>
      <c r="AC111" s="315"/>
      <c r="AD111" s="293" t="e">
        <f>IF(ISBLANK(AC111),_xll.qlSimpleQuoteSetValue(Y111,AB111),_xll.qlSimpleQuoteSetValue(Y111,AC111))</f>
        <v>#N/A</v>
      </c>
      <c r="AE111" s="248"/>
      <c r="AF111" s="245" t="s">
        <v>91</v>
      </c>
      <c r="AG111" s="245" t="s">
        <v>163</v>
      </c>
      <c r="AH111" s="245" t="str">
        <f t="shared" si="39"/>
        <v>EUR6MSW37Y=</v>
      </c>
      <c r="AI111" s="245" t="str">
        <f>_xll.qlSimpleQuote(AH111,,RateTickValue,Permanent,Trigger,ObjectOverwrite)</f>
        <v>EUR6MSW37Y=#0006</v>
      </c>
      <c r="AJ111" s="246">
        <f>_xll.RtGet("DTSIMI1",AH111,$AJ$3)/100</f>
        <v>1.273956278E-2</v>
      </c>
      <c r="AK111" s="246">
        <f>_xll.RtGet("DTSIMI1",AH111,$AK$3)/100</f>
        <v>1.273956278E-2</v>
      </c>
      <c r="AL111" s="246">
        <f t="shared" si="29"/>
        <v>1.273956278E-2</v>
      </c>
      <c r="AM111" s="315"/>
      <c r="AN111" s="293" t="e">
        <f>IF(ISBLANK(AM111),_xll.qlSimpleQuoteSetValue(AI111,AL111),_xll.qlSimpleQuoteSetValue(AI111,AM111))</f>
        <v>#N/A</v>
      </c>
      <c r="AO111" s="243"/>
      <c r="AP111" s="245" t="s">
        <v>91</v>
      </c>
      <c r="AQ111" s="245" t="s">
        <v>163</v>
      </c>
      <c r="AR111" s="245" t="str">
        <f t="shared" si="40"/>
        <v>EUR1YSW37Y=</v>
      </c>
      <c r="AS111" s="245" t="str">
        <f>_xll.qlSimpleQuote(AR111,,RateTickValue,Permanent,Trigger,ObjectOverwrite)</f>
        <v>EUR1YSW37Y=#0006</v>
      </c>
      <c r="AT111" s="246">
        <f>_xll.RtGet("DTSIMI1",AR111,$AT$3)/100</f>
        <v>1.3281772840000001E-2</v>
      </c>
      <c r="AU111" s="246">
        <f>_xll.RtGet("DTSIMI1",AR111,$AU$3)/100</f>
        <v>1.3281772840000001E-2</v>
      </c>
      <c r="AV111" s="246">
        <f t="shared" si="31"/>
        <v>1.3281772840000001E-2</v>
      </c>
      <c r="AW111" s="315"/>
      <c r="AX111" s="293" t="e">
        <f>IF(ISBLANK(AW111),_xll.qlSimpleQuoteSetValue(AS111,AV111),_xll.qlSimpleQuoteSetValue(AS111,AW111))</f>
        <v>#N/A</v>
      </c>
    </row>
    <row r="112" spans="1:50" x14ac:dyDescent="0.2">
      <c r="A112" s="405"/>
      <c r="B112" s="276" t="s">
        <v>68</v>
      </c>
      <c r="C112" s="245" t="s">
        <v>164</v>
      </c>
      <c r="D112" s="125"/>
      <c r="E112" s="125"/>
      <c r="F112" s="125"/>
      <c r="G112" s="125"/>
      <c r="H112" s="125"/>
      <c r="I112" s="326"/>
      <c r="J112" s="300"/>
      <c r="K112" s="247"/>
      <c r="L112" s="245" t="s">
        <v>91</v>
      </c>
      <c r="M112" s="245" t="s">
        <v>164</v>
      </c>
      <c r="N112" s="245" t="str">
        <f t="shared" si="37"/>
        <v>EUR1MSW38Y=</v>
      </c>
      <c r="O112" s="245" t="str">
        <f>_xll.qlSimpleQuote(N112,,RateTickValue,Permanent,Trigger,ObjectOverwrite)</f>
        <v>EUR1MSW38Y=#0006</v>
      </c>
      <c r="P112" s="246">
        <f>_xll.RtGet("DTSIMI1",N112,$P$3)/100</f>
        <v>1.177769388E-2</v>
      </c>
      <c r="Q112" s="246">
        <f>_xll.RtGet("DTSIMI1",N112,$Q$3)/100</f>
        <v>1.177769388E-2</v>
      </c>
      <c r="R112" s="246">
        <f t="shared" si="41"/>
        <v>1.177769388E-2</v>
      </c>
      <c r="S112" s="315"/>
      <c r="T112" s="293" t="e">
        <f>IF(ISBLANK(S112),_xll.qlSimpleQuoteSetValue(O112,R112),_xll.qlSimpleQuoteSetValue(O112,S112))</f>
        <v>#N/A</v>
      </c>
      <c r="U112" s="243"/>
      <c r="V112" s="245" t="s">
        <v>91</v>
      </c>
      <c r="W112" s="245" t="s">
        <v>164</v>
      </c>
      <c r="X112" s="245" t="str">
        <f t="shared" si="38"/>
        <v>EUR3MSW38Y=</v>
      </c>
      <c r="Y112" s="245" t="str">
        <f>_xll.qlSimpleQuote(X112,,RateTickValue,Permanent,Trigger,ObjectOverwrite)</f>
        <v>EUR3MSW38Y=#0006</v>
      </c>
      <c r="Z112" s="246">
        <f>_xll.RtGet("DTSIMI1",X112,$Z$3)/100</f>
        <v>1.234931895E-2</v>
      </c>
      <c r="AA112" s="246">
        <f>_xll.RtGet("DTSIMI1",X112,$AA$3)/100</f>
        <v>1.234931895E-2</v>
      </c>
      <c r="AB112" s="246">
        <f t="shared" si="35"/>
        <v>1.234931895E-2</v>
      </c>
      <c r="AC112" s="315"/>
      <c r="AD112" s="293" t="e">
        <f>IF(ISBLANK(AC112),_xll.qlSimpleQuoteSetValue(Y112,AB112),_xll.qlSimpleQuoteSetValue(Y112,AC112))</f>
        <v>#N/A</v>
      </c>
      <c r="AE112" s="248"/>
      <c r="AF112" s="245" t="s">
        <v>91</v>
      </c>
      <c r="AG112" s="245" t="s">
        <v>164</v>
      </c>
      <c r="AH112" s="245" t="str">
        <f t="shared" si="39"/>
        <v>EUR6MSW38Y=</v>
      </c>
      <c r="AI112" s="245" t="str">
        <f>_xll.qlSimpleQuote(AH112,,RateTickValue,Permanent,Trigger,ObjectOverwrite)</f>
        <v>EUR6MSW38Y=#0006</v>
      </c>
      <c r="AJ112" s="246">
        <f>_xll.RtGet("DTSIMI1",AH112,$AJ$3)/100</f>
        <v>1.2737147660000002E-2</v>
      </c>
      <c r="AK112" s="246">
        <f>_xll.RtGet("DTSIMI1",AH112,$AK$3)/100</f>
        <v>1.2737147660000002E-2</v>
      </c>
      <c r="AL112" s="246">
        <f t="shared" si="29"/>
        <v>1.2737147660000002E-2</v>
      </c>
      <c r="AM112" s="315"/>
      <c r="AN112" s="293" t="e">
        <f>IF(ISBLANK(AM112),_xll.qlSimpleQuoteSetValue(AI112,AL112),_xll.qlSimpleQuoteSetValue(AI112,AM112))</f>
        <v>#N/A</v>
      </c>
      <c r="AO112" s="243"/>
      <c r="AP112" s="245" t="s">
        <v>91</v>
      </c>
      <c r="AQ112" s="245" t="s">
        <v>164</v>
      </c>
      <c r="AR112" s="245" t="str">
        <f t="shared" si="40"/>
        <v>EUR1YSW38Y=</v>
      </c>
      <c r="AS112" s="245" t="str">
        <f>_xll.qlSimpleQuote(AR112,,RateTickValue,Permanent,Trigger,ObjectOverwrite)</f>
        <v>EUR1YSW38Y=#0006</v>
      </c>
      <c r="AT112" s="246">
        <f>_xll.RtGet("DTSIMI1",AR112,$AT$3)/100</f>
        <v>1.326784957E-2</v>
      </c>
      <c r="AU112" s="246">
        <f>_xll.RtGet("DTSIMI1",AR112,$AU$3)/100</f>
        <v>1.326784957E-2</v>
      </c>
      <c r="AV112" s="246">
        <f t="shared" si="31"/>
        <v>1.326784957E-2</v>
      </c>
      <c r="AW112" s="315"/>
      <c r="AX112" s="293" t="e">
        <f>IF(ISBLANK(AW112),_xll.qlSimpleQuoteSetValue(AS112,AV112),_xll.qlSimpleQuoteSetValue(AS112,AW112))</f>
        <v>#N/A</v>
      </c>
    </row>
    <row r="113" spans="1:50" x14ac:dyDescent="0.2">
      <c r="A113" s="405"/>
      <c r="B113" s="277" t="s">
        <v>68</v>
      </c>
      <c r="C113" s="269" t="s">
        <v>165</v>
      </c>
      <c r="D113" s="278"/>
      <c r="E113" s="278"/>
      <c r="F113" s="278"/>
      <c r="G113" s="278"/>
      <c r="H113" s="278"/>
      <c r="I113" s="327"/>
      <c r="J113" s="301"/>
      <c r="K113" s="247"/>
      <c r="L113" s="245" t="s">
        <v>91</v>
      </c>
      <c r="M113" s="245" t="s">
        <v>165</v>
      </c>
      <c r="N113" s="245" t="str">
        <f t="shared" si="37"/>
        <v>EUR1MSW39Y=</v>
      </c>
      <c r="O113" s="245" t="str">
        <f>_xll.qlSimpleQuote(N113,,RateTickValue,Permanent,Trigger,ObjectOverwrite)</f>
        <v>EUR1MSW39Y=#0006</v>
      </c>
      <c r="P113" s="246">
        <f>_xll.RtGet("DTSIMI1",N113,$P$3)/100</f>
        <v>1.1777793940000001E-2</v>
      </c>
      <c r="Q113" s="246">
        <f>_xll.RtGet("DTSIMI1",N113,$Q$3)/100</f>
        <v>1.1777793940000001E-2</v>
      </c>
      <c r="R113" s="246">
        <f t="shared" si="41"/>
        <v>1.1777793940000001E-2</v>
      </c>
      <c r="S113" s="315"/>
      <c r="T113" s="293" t="e">
        <f>IF(ISBLANK(S113),_xll.qlSimpleQuoteSetValue(O113,R113),_xll.qlSimpleQuoteSetValue(O113,S113))</f>
        <v>#N/A</v>
      </c>
      <c r="U113" s="243"/>
      <c r="V113" s="245" t="s">
        <v>91</v>
      </c>
      <c r="W113" s="245" t="s">
        <v>165</v>
      </c>
      <c r="X113" s="245" t="str">
        <f t="shared" si="38"/>
        <v>EUR3MSW39Y=</v>
      </c>
      <c r="Y113" s="245" t="str">
        <f>_xll.qlSimpleQuote(X113,,RateTickValue,Permanent,Trigger,ObjectOverwrite)</f>
        <v>EUR3MSW39Y=#0006</v>
      </c>
      <c r="Z113" s="246">
        <f>_xll.RtGet("DTSIMI1",X113,$Z$3)/100</f>
        <v>1.2343097670000001E-2</v>
      </c>
      <c r="AA113" s="246">
        <f>_xll.RtGet("DTSIMI1",X113,$AA$3)/100</f>
        <v>1.2343097670000001E-2</v>
      </c>
      <c r="AB113" s="246">
        <f t="shared" si="35"/>
        <v>1.2343097670000001E-2</v>
      </c>
      <c r="AC113" s="315"/>
      <c r="AD113" s="293" t="e">
        <f>IF(ISBLANK(AC113),_xll.qlSimpleQuoteSetValue(Y113,AB113),_xll.qlSimpleQuoteSetValue(Y113,AC113))</f>
        <v>#N/A</v>
      </c>
      <c r="AE113" s="248"/>
      <c r="AF113" s="245" t="s">
        <v>91</v>
      </c>
      <c r="AG113" s="245" t="s">
        <v>165</v>
      </c>
      <c r="AH113" s="245" t="str">
        <f t="shared" si="39"/>
        <v>EUR6MSW39Y=</v>
      </c>
      <c r="AI113" s="245" t="str">
        <f>_xll.qlSimpleQuote(AH113,,RateTickValue,Permanent,Trigger,ObjectOverwrite)</f>
        <v>EUR6MSW39Y=#0006</v>
      </c>
      <c r="AJ113" s="246">
        <f>_xll.RtGet("DTSIMI1",AH113,$AJ$3)/100</f>
        <v>1.2727745190000002E-2</v>
      </c>
      <c r="AK113" s="246">
        <f>_xll.RtGet("DTSIMI1",AH113,$AK$3)/100</f>
        <v>1.2727745190000002E-2</v>
      </c>
      <c r="AL113" s="246">
        <f t="shared" si="29"/>
        <v>1.2727745190000002E-2</v>
      </c>
      <c r="AM113" s="315"/>
      <c r="AN113" s="293" t="e">
        <f>IF(ISBLANK(AM113),_xll.qlSimpleQuoteSetValue(AI113,AL113),_xll.qlSimpleQuoteSetValue(AI113,AM113))</f>
        <v>#N/A</v>
      </c>
      <c r="AO113" s="243"/>
      <c r="AP113" s="245" t="s">
        <v>91</v>
      </c>
      <c r="AQ113" s="245" t="s">
        <v>165</v>
      </c>
      <c r="AR113" s="245" t="str">
        <f t="shared" si="40"/>
        <v>EUR1YSW39Y=</v>
      </c>
      <c r="AS113" s="245" t="str">
        <f>_xll.qlSimpleQuote(AR113,,RateTickValue,Permanent,Trigger,ObjectOverwrite)</f>
        <v>EUR1YSW39Y=#0006</v>
      </c>
      <c r="AT113" s="246">
        <f>_xll.RtGet("DTSIMI1",AR113,$AT$3)/100</f>
        <v>1.3247308880000001E-2</v>
      </c>
      <c r="AU113" s="246">
        <f>_xll.RtGet("DTSIMI1",AR113,$AU$3)/100</f>
        <v>1.3247308880000001E-2</v>
      </c>
      <c r="AV113" s="246">
        <f t="shared" si="31"/>
        <v>1.3247308880000001E-2</v>
      </c>
      <c r="AW113" s="315"/>
      <c r="AX113" s="293" t="e">
        <f>IF(ISBLANK(AW113),_xll.qlSimpleQuoteSetValue(AS113,AV113),_xll.qlSimpleQuoteSetValue(AS113,AW113))</f>
        <v>#N/A</v>
      </c>
    </row>
    <row r="114" spans="1:50" x14ac:dyDescent="0.2">
      <c r="A114" s="404"/>
      <c r="B114" s="245" t="s">
        <v>68</v>
      </c>
      <c r="C114" s="245" t="s">
        <v>66</v>
      </c>
      <c r="D114" s="245" t="str">
        <f t="shared" si="36"/>
        <v>EURONOIS40Y=</v>
      </c>
      <c r="E114" s="245" t="str">
        <f>_xll.qlSimpleQuote(D114,,RateTickValue,Permanent,Trigger,ObjectOverwrite)</f>
        <v>EURONOIS40Y=#0006</v>
      </c>
      <c r="F114" s="246">
        <f>_xll.RtGet("DTSIMI1",D114,$F$3)/100</f>
        <v>1.167E-2</v>
      </c>
      <c r="G114" s="246">
        <f>_xll.RtGet("DTSIMI1",D114,$G$3)/100</f>
        <v>1.167E-2</v>
      </c>
      <c r="H114" s="246">
        <f t="shared" ref="H114:H116" si="42">AVERAGE(F114:G114)</f>
        <v>1.167E-2</v>
      </c>
      <c r="I114" s="315"/>
      <c r="J114" s="293" t="e">
        <f>IF(ISBLANK(I114),_xll.qlSimpleQuoteSetValue(E114,H114),_xll.qlSimpleQuoteSetValue(E114,I114))</f>
        <v>#N/A</v>
      </c>
      <c r="K114" s="247"/>
      <c r="L114" s="245" t="s">
        <v>91</v>
      </c>
      <c r="M114" s="245" t="s">
        <v>66</v>
      </c>
      <c r="N114" s="245" t="str">
        <f t="shared" si="37"/>
        <v>EUR1MSW40Y=</v>
      </c>
      <c r="O114" s="245" t="str">
        <f>_xll.qlSimpleQuote(N114,,RateTickValue,Permanent,Trigger,ObjectOverwrite)</f>
        <v>EUR1MSW40Y=#0006</v>
      </c>
      <c r="P114" s="246">
        <f>_xll.RtGet("DTSIMI1",N114,$P$3)/100</f>
        <v>1.1770000000000001E-2</v>
      </c>
      <c r="Q114" s="246">
        <f>_xll.RtGet("DTSIMI1",N114,$Q$3)/100</f>
        <v>1.1770000000000001E-2</v>
      </c>
      <c r="R114" s="246">
        <f t="shared" si="41"/>
        <v>1.1770000000000001E-2</v>
      </c>
      <c r="S114" s="315"/>
      <c r="T114" s="293" t="e">
        <f>IF(ISBLANK(S114),_xll.qlSimpleQuoteSetValue(O114,R114),_xll.qlSimpleQuoteSetValue(O114,S114))</f>
        <v>#N/A</v>
      </c>
      <c r="U114" s="243"/>
      <c r="V114" s="245" t="s">
        <v>91</v>
      </c>
      <c r="W114" s="245" t="s">
        <v>66</v>
      </c>
      <c r="X114" s="245" t="str">
        <f t="shared" si="38"/>
        <v>EUR3MSW40Y=</v>
      </c>
      <c r="Y114" s="245" t="str">
        <f>_xll.qlSimpleQuote(X114,,RateTickValue,Permanent,Trigger,ObjectOverwrite)</f>
        <v>EUR3MSW40Y=#0006</v>
      </c>
      <c r="Z114" s="246">
        <f>_xll.RtGet("DTSIMI1",X114,$Z$3)/100</f>
        <v>1.2330000000000001E-2</v>
      </c>
      <c r="AA114" s="246">
        <f>_xll.RtGet("DTSIMI1",X114,$AA$3)/100</f>
        <v>1.2330000000000001E-2</v>
      </c>
      <c r="AB114" s="246">
        <f t="shared" si="35"/>
        <v>1.2330000000000001E-2</v>
      </c>
      <c r="AC114" s="315"/>
      <c r="AD114" s="293" t="e">
        <f>IF(ISBLANK(AC114),_xll.qlSimpleQuoteSetValue(Y114,AB114),_xll.qlSimpleQuoteSetValue(Y114,AC114))</f>
        <v>#N/A</v>
      </c>
      <c r="AE114" s="248"/>
      <c r="AF114" s="245" t="s">
        <v>91</v>
      </c>
      <c r="AG114" s="245" t="s">
        <v>66</v>
      </c>
      <c r="AH114" s="245" t="str">
        <f t="shared" si="39"/>
        <v>EUR6MSW40Y=</v>
      </c>
      <c r="AI114" s="245" t="str">
        <f>_xll.qlSimpleQuote(AH114,,RateTickValue,Permanent,Trigger,ObjectOverwrite)</f>
        <v>EUR6MSW40Y=#0006</v>
      </c>
      <c r="AJ114" s="246">
        <f>_xll.RtGet("DTSIMI1",AH114,$AJ$3)/100</f>
        <v>1.2710000000000001E-2</v>
      </c>
      <c r="AK114" s="246">
        <f>_xll.RtGet("DTSIMI1",AH114,$AK$3)/100</f>
        <v>1.2710000000000001E-2</v>
      </c>
      <c r="AL114" s="246">
        <f t="shared" si="29"/>
        <v>1.2710000000000001E-2</v>
      </c>
      <c r="AM114" s="315"/>
      <c r="AN114" s="293" t="e">
        <f>IF(ISBLANK(AM114),_xll.qlSimpleQuoteSetValue(AI114,AL114),_xll.qlSimpleQuoteSetValue(AI114,AM114))</f>
        <v>#N/A</v>
      </c>
      <c r="AO114" s="243"/>
      <c r="AP114" s="245" t="s">
        <v>91</v>
      </c>
      <c r="AQ114" s="245" t="s">
        <v>66</v>
      </c>
      <c r="AR114" s="245" t="str">
        <f t="shared" si="40"/>
        <v>EUR1YSW40Y=</v>
      </c>
      <c r="AS114" s="245" t="str">
        <f>_xll.qlSimpleQuote(AR114,,RateTickValue,Permanent,Trigger,ObjectOverwrite)</f>
        <v>EUR1YSW40Y=#0006</v>
      </c>
      <c r="AT114" s="246">
        <f>_xll.RtGet("DTSIMI1",AR114,$AT$3)/100</f>
        <v>1.3220000000000001E-2</v>
      </c>
      <c r="AU114" s="246">
        <f>_xll.RtGet("DTSIMI1",AR114,$AU$3)/100</f>
        <v>1.3220000000000001E-2</v>
      </c>
      <c r="AV114" s="246">
        <f t="shared" si="31"/>
        <v>1.3220000000000001E-2</v>
      </c>
      <c r="AW114" s="315"/>
      <c r="AX114" s="293" t="e">
        <f>IF(ISBLANK(AW114),_xll.qlSimpleQuoteSetValue(AS114,AV114),_xll.qlSimpleQuoteSetValue(AS114,AW114))</f>
        <v>#N/A</v>
      </c>
    </row>
    <row r="115" spans="1:50" x14ac:dyDescent="0.2">
      <c r="A115" s="404"/>
      <c r="B115" s="245" t="s">
        <v>68</v>
      </c>
      <c r="C115" s="245" t="s">
        <v>67</v>
      </c>
      <c r="D115" s="245" t="str">
        <f t="shared" si="36"/>
        <v>EURONOIS50Y=</v>
      </c>
      <c r="E115" s="245" t="str">
        <f>_xll.qlSimpleQuote(D115,,RateTickValue,Permanent,Trigger,ObjectOverwrite)</f>
        <v>EURONOIS50Y=#0006</v>
      </c>
      <c r="F115" s="246">
        <f>_xll.RtGet("DTSIMI1",D115,$F$3)/100</f>
        <v>1.1320000000000002E-2</v>
      </c>
      <c r="G115" s="246">
        <f>_xll.RtGet("DTSIMI1",D115,$G$3)/100</f>
        <v>1.1320000000000002E-2</v>
      </c>
      <c r="H115" s="246">
        <f t="shared" si="42"/>
        <v>1.1320000000000002E-2</v>
      </c>
      <c r="I115" s="315"/>
      <c r="J115" s="293" t="e">
        <f>IF(ISBLANK(I115),_xll.qlSimpleQuoteSetValue(E115,H115),_xll.qlSimpleQuoteSetValue(E115,I115))</f>
        <v>#N/A</v>
      </c>
      <c r="K115" s="247"/>
      <c r="L115" s="245" t="s">
        <v>91</v>
      </c>
      <c r="M115" s="245" t="s">
        <v>67</v>
      </c>
      <c r="N115" s="245" t="str">
        <f t="shared" si="37"/>
        <v>EUR1MSW50Y=</v>
      </c>
      <c r="O115" s="245" t="str">
        <f>_xll.qlSimpleQuote(N115,,RateTickValue,Permanent,Trigger,ObjectOverwrite)</f>
        <v>EUR1MSW50Y=#0006</v>
      </c>
      <c r="P115" s="246">
        <f>_xll.RtGet("DTSIMI1",N115,$P$3)/100</f>
        <v>1.141E-2</v>
      </c>
      <c r="Q115" s="246">
        <f>_xll.RtGet("DTSIMI1",N115,$Q$3)/100</f>
        <v>1.141E-2</v>
      </c>
      <c r="R115" s="246">
        <f t="shared" si="41"/>
        <v>1.141E-2</v>
      </c>
      <c r="S115" s="315"/>
      <c r="T115" s="293" t="e">
        <f>IF(ISBLANK(S115),_xll.qlSimpleQuoteSetValue(O115,R115),_xll.qlSimpleQuoteSetValue(O115,S115))</f>
        <v>#N/A</v>
      </c>
      <c r="U115" s="243"/>
      <c r="V115" s="245" t="s">
        <v>91</v>
      </c>
      <c r="W115" s="245" t="s">
        <v>67</v>
      </c>
      <c r="X115" s="245" t="str">
        <f t="shared" si="38"/>
        <v>EUR3MSW50Y=</v>
      </c>
      <c r="Y115" s="245" t="str">
        <f>_xll.qlSimpleQuote(X115,,RateTickValue,Permanent,Trigger,ObjectOverwrite)</f>
        <v>EUR3MSW50Y=#0006</v>
      </c>
      <c r="Z115" s="246">
        <f>_xll.RtGet("DTSIMI1",X115,$Z$3)/100</f>
        <v>1.192E-2</v>
      </c>
      <c r="AA115" s="246">
        <f>_xll.RtGet("DTSIMI1",X115,$AA$3)/100</f>
        <v>1.192E-2</v>
      </c>
      <c r="AB115" s="246">
        <f t="shared" si="35"/>
        <v>1.192E-2</v>
      </c>
      <c r="AC115" s="315"/>
      <c r="AD115" s="293" t="e">
        <f>IF(ISBLANK(AC115),_xll.qlSimpleQuoteSetValue(Y115,AB115),_xll.qlSimpleQuoteSetValue(Y115,AC115))</f>
        <v>#N/A</v>
      </c>
      <c r="AE115" s="248"/>
      <c r="AF115" s="245" t="s">
        <v>91</v>
      </c>
      <c r="AG115" s="245" t="s">
        <v>67</v>
      </c>
      <c r="AH115" s="245" t="str">
        <f t="shared" si="39"/>
        <v>EUR6MSW50Y=</v>
      </c>
      <c r="AI115" s="245" t="str">
        <f>_xll.qlSimpleQuote(AH115,,RateTickValue,Permanent,Trigger,ObjectOverwrite)</f>
        <v>EUR6MSW50Y=#0006</v>
      </c>
      <c r="AJ115" s="246">
        <f>_xll.RtGet("DTSIMI1",AH115,$AJ$3)/100</f>
        <v>1.2230000000000001E-2</v>
      </c>
      <c r="AK115" s="246">
        <f>_xll.RtGet("DTSIMI1",AH115,$AK$3)/100</f>
        <v>1.2230000000000001E-2</v>
      </c>
      <c r="AL115" s="246">
        <f t="shared" si="29"/>
        <v>1.2230000000000001E-2</v>
      </c>
      <c r="AM115" s="315"/>
      <c r="AN115" s="293" t="e">
        <f>IF(ISBLANK(AM115),_xll.qlSimpleQuoteSetValue(AI115,AL115),_xll.qlSimpleQuoteSetValue(AI115,AM115))</f>
        <v>#N/A</v>
      </c>
      <c r="AO115" s="243"/>
      <c r="AP115" s="245" t="s">
        <v>91</v>
      </c>
      <c r="AQ115" s="245" t="s">
        <v>67</v>
      </c>
      <c r="AR115" s="245" t="str">
        <f t="shared" si="40"/>
        <v>EUR1YSW50Y=</v>
      </c>
      <c r="AS115" s="245" t="str">
        <f>_xll.qlSimpleQuote(AR115,,RateTickValue,Permanent,Trigger,ObjectOverwrite)</f>
        <v>EUR1YSW50Y=#0006</v>
      </c>
      <c r="AT115" s="246">
        <f>_xll.RtGet("DTSIMI1",AR115,$AT$3)/100</f>
        <v>1.2690000000000002E-2</v>
      </c>
      <c r="AU115" s="246">
        <f>_xll.RtGet("DTSIMI1",AR115,$AU$3)/100</f>
        <v>1.2690000000000002E-2</v>
      </c>
      <c r="AV115" s="246">
        <f t="shared" si="31"/>
        <v>1.2690000000000002E-2</v>
      </c>
      <c r="AW115" s="315"/>
      <c r="AX115" s="293" t="e">
        <f>IF(ISBLANK(AW115),_xll.qlSimpleQuoteSetValue(AS115,AV115),_xll.qlSimpleQuoteSetValue(AS115,AW115))</f>
        <v>#N/A</v>
      </c>
    </row>
    <row r="116" spans="1:50" x14ac:dyDescent="0.2">
      <c r="A116" s="406"/>
      <c r="B116" s="255" t="s">
        <v>68</v>
      </c>
      <c r="C116" s="255" t="s">
        <v>113</v>
      </c>
      <c r="D116" s="255" t="str">
        <f t="shared" si="36"/>
        <v>EURONOIS60Y=</v>
      </c>
      <c r="E116" s="255" t="str">
        <f>_xll.qlSimpleQuote(D116,,RateTickValue,Permanent,Trigger,ObjectOverwrite)</f>
        <v>EURONOIS60Y=#0006</v>
      </c>
      <c r="F116" s="256">
        <f>_xll.RtGet("DTSIMI1",D116,$F$3)/100</f>
        <v>1.107E-2</v>
      </c>
      <c r="G116" s="256">
        <f>_xll.RtGet("DTSIMI1",D116,$G$3)/100</f>
        <v>1.107E-2</v>
      </c>
      <c r="H116" s="256">
        <f t="shared" si="42"/>
        <v>1.107E-2</v>
      </c>
      <c r="I116" s="317"/>
      <c r="J116" s="302" t="e">
        <f>IF(ISBLANK(I116),_xll.qlSimpleQuoteSetValue(E116,H116),_xll.qlSimpleQuoteSetValue(E116,I116))</f>
        <v>#N/A</v>
      </c>
      <c r="K116" s="247"/>
      <c r="L116" s="255" t="s">
        <v>91</v>
      </c>
      <c r="M116" s="255" t="s">
        <v>113</v>
      </c>
      <c r="N116" s="255" t="str">
        <f t="shared" si="37"/>
        <v>EUR1MSW60Y=</v>
      </c>
      <c r="O116" s="255" t="str">
        <f>_xll.qlSimpleQuote(N116,,RateTickValue,Permanent,Trigger,ObjectOverwrite)</f>
        <v>EUR1MSW60Y=#0006</v>
      </c>
      <c r="P116" s="256">
        <f>_xll.RtGet("DTSIMI1",N116,$P$3)/100</f>
        <v>1.1140000000000001E-2</v>
      </c>
      <c r="Q116" s="256">
        <f>_xll.RtGet("DTSIMI1",N116,$Q$3)/100</f>
        <v>1.1140000000000001E-2</v>
      </c>
      <c r="R116" s="256">
        <f t="shared" si="41"/>
        <v>1.1140000000000001E-2</v>
      </c>
      <c r="S116" s="317"/>
      <c r="T116" s="302" t="e">
        <f>IF(ISBLANK(S116),_xll.qlSimpleQuoteSetValue(O116,R116),_xll.qlSimpleQuoteSetValue(O116,S116))</f>
        <v>#N/A</v>
      </c>
      <c r="U116" s="243"/>
      <c r="V116" s="255" t="s">
        <v>91</v>
      </c>
      <c r="W116" s="255" t="s">
        <v>113</v>
      </c>
      <c r="X116" s="255" t="str">
        <f t="shared" si="38"/>
        <v>EUR3MSW60Y=</v>
      </c>
      <c r="Y116" s="255" t="str">
        <f>_xll.qlSimpleQuote(X116,,RateTickValue,Permanent,Trigger,ObjectOverwrite)</f>
        <v>EUR3MSW60Y=#0006</v>
      </c>
      <c r="Z116" s="256">
        <f>_xll.RtGet("DTSIMI1",X116,$Z$3)/100</f>
        <v>1.1610000000000001E-2</v>
      </c>
      <c r="AA116" s="256">
        <f>_xll.RtGet("DTSIMI1",X116,$AA$3)/100</f>
        <v>1.1610000000000001E-2</v>
      </c>
      <c r="AB116" s="256">
        <f t="shared" si="35"/>
        <v>1.1610000000000001E-2</v>
      </c>
      <c r="AC116" s="317"/>
      <c r="AD116" s="302" t="e">
        <f>IF(ISBLANK(AC116),_xll.qlSimpleQuoteSetValue(Y116,AB116),_xll.qlSimpleQuoteSetValue(Y116,AC116))</f>
        <v>#N/A</v>
      </c>
      <c r="AE116" s="248"/>
      <c r="AF116" s="255" t="s">
        <v>91</v>
      </c>
      <c r="AG116" s="255" t="s">
        <v>113</v>
      </c>
      <c r="AH116" s="255" t="str">
        <f t="shared" si="39"/>
        <v>EUR6MSW60Y=</v>
      </c>
      <c r="AI116" s="255" t="str">
        <f>_xll.qlSimpleQuote(AH116,,RateTickValue,Permanent,Trigger,ObjectOverwrite)</f>
        <v>EUR6MSW60Y=#0006</v>
      </c>
      <c r="AJ116" s="256">
        <f>_xll.RtGet("DTSIMI1",AH116,$AJ$3)/100</f>
        <v>1.188E-2</v>
      </c>
      <c r="AK116" s="256">
        <f>_xll.RtGet("DTSIMI1",AH116,$AK$3)/100</f>
        <v>1.188E-2</v>
      </c>
      <c r="AL116" s="256">
        <f t="shared" si="29"/>
        <v>1.188E-2</v>
      </c>
      <c r="AM116" s="317"/>
      <c r="AN116" s="302" t="e">
        <f>IF(ISBLANK(AM116),_xll.qlSimpleQuoteSetValue(AI116,AL116),_xll.qlSimpleQuoteSetValue(AI116,AM116))</f>
        <v>#N/A</v>
      </c>
      <c r="AO116" s="243"/>
      <c r="AP116" s="255" t="s">
        <v>91</v>
      </c>
      <c r="AQ116" s="255" t="s">
        <v>113</v>
      </c>
      <c r="AR116" s="255" t="str">
        <f t="shared" si="40"/>
        <v>EUR1YSW60Y=</v>
      </c>
      <c r="AS116" s="255" t="str">
        <f>_xll.qlSimpleQuote(AR116,,RateTickValue,Permanent,Trigger,ObjectOverwrite)</f>
        <v>EUR1YSW60Y=#0006</v>
      </c>
      <c r="AT116" s="256">
        <f>_xll.RtGet("DTSIMI1",AR116,$AT$3)/100</f>
        <v>1.2310000000000001E-2</v>
      </c>
      <c r="AU116" s="256">
        <f>_xll.RtGet("DTSIMI1",AR116,$AU$3)/100</f>
        <v>1.2310000000000001E-2</v>
      </c>
      <c r="AV116" s="256">
        <f t="shared" si="31"/>
        <v>1.2310000000000001E-2</v>
      </c>
      <c r="AW116" s="317"/>
      <c r="AX116" s="302" t="e">
        <f>IF(ISBLANK(AW116),_xll.qlSimpleQuoteSetValue(AS116,AV116),_xll.qlSimpleQuoteSetValue(AS116,AW116))</f>
        <v>#N/A</v>
      </c>
    </row>
    <row r="117" spans="1:50" x14ac:dyDescent="0.2">
      <c r="C117" s="257"/>
      <c r="D117" s="257"/>
      <c r="E117" s="257"/>
      <c r="F117" s="257"/>
      <c r="G117" s="257"/>
      <c r="H117" s="258"/>
      <c r="I117" s="258"/>
      <c r="J117" s="259"/>
      <c r="L117" s="258"/>
      <c r="M117" s="258"/>
      <c r="N117" s="258"/>
      <c r="O117" s="258"/>
      <c r="P117" s="258"/>
      <c r="Q117" s="258"/>
      <c r="R117" s="258"/>
      <c r="S117" s="258"/>
      <c r="T117" s="259"/>
      <c r="U117" s="260" t="s">
        <v>34</v>
      </c>
      <c r="V117" s="258"/>
      <c r="W117" s="258"/>
      <c r="X117" s="258"/>
      <c r="Y117" s="258"/>
      <c r="Z117" s="258"/>
      <c r="AA117" s="258"/>
      <c r="AB117" s="258"/>
      <c r="AC117" s="258"/>
      <c r="AD117" s="259"/>
      <c r="AE117" s="226"/>
      <c r="AF117" s="226"/>
      <c r="AG117" s="226"/>
      <c r="AH117" s="226"/>
      <c r="AI117" s="226"/>
      <c r="AJ117" s="226"/>
      <c r="AK117" s="226"/>
      <c r="AL117" s="258"/>
      <c r="AM117" s="258"/>
      <c r="AN117" s="259"/>
      <c r="AO117" s="260"/>
      <c r="AP117" s="258"/>
      <c r="AQ117" s="258"/>
      <c r="AR117" s="258"/>
      <c r="AS117" s="258"/>
      <c r="AT117" s="258"/>
      <c r="AU117" s="258"/>
      <c r="AV117" s="258"/>
      <c r="AW117" s="258"/>
      <c r="AX117" s="259"/>
    </row>
    <row r="118" spans="1:50" x14ac:dyDescent="0.2">
      <c r="C118" s="257"/>
      <c r="D118" s="257"/>
      <c r="E118" s="257"/>
      <c r="F118" s="257"/>
      <c r="G118" s="257"/>
      <c r="H118" s="258"/>
      <c r="I118" s="258"/>
      <c r="J118" s="259"/>
      <c r="L118" s="258"/>
      <c r="M118" s="258"/>
      <c r="N118" s="258"/>
      <c r="O118" s="258"/>
      <c r="P118" s="258"/>
      <c r="Q118" s="258"/>
      <c r="R118" s="258"/>
      <c r="S118" s="258"/>
      <c r="T118" s="259"/>
      <c r="U118" s="258"/>
      <c r="V118" s="258"/>
      <c r="W118" s="258"/>
      <c r="X118" s="258"/>
      <c r="Y118" s="258"/>
      <c r="Z118" s="258"/>
      <c r="AA118" s="258"/>
      <c r="AB118" s="258"/>
      <c r="AC118" s="258"/>
      <c r="AD118" s="259"/>
      <c r="AE118" s="226"/>
      <c r="AF118" s="226"/>
      <c r="AG118" s="226"/>
      <c r="AH118" s="226"/>
      <c r="AI118" s="226"/>
      <c r="AJ118" s="226"/>
      <c r="AK118" s="226"/>
      <c r="AL118" s="258"/>
      <c r="AM118" s="258"/>
      <c r="AN118" s="259"/>
      <c r="AO118" s="260"/>
      <c r="AP118" s="258"/>
      <c r="AQ118" s="258"/>
      <c r="AR118" s="258"/>
      <c r="AS118" s="258"/>
      <c r="AT118" s="258"/>
      <c r="AU118" s="258"/>
      <c r="AV118" s="258"/>
      <c r="AW118" s="258"/>
      <c r="AX118" s="259"/>
    </row>
    <row r="119" spans="1:50" x14ac:dyDescent="0.2">
      <c r="C119" s="257"/>
      <c r="D119" s="257"/>
      <c r="E119" s="257"/>
      <c r="F119" s="257"/>
      <c r="G119" s="257"/>
      <c r="H119" s="258"/>
      <c r="I119" s="258"/>
      <c r="J119" s="259"/>
      <c r="L119" s="258"/>
      <c r="M119" s="258"/>
      <c r="N119" s="258"/>
      <c r="O119" s="258"/>
      <c r="P119" s="258"/>
      <c r="Q119" s="258"/>
      <c r="R119" s="258"/>
      <c r="S119" s="258"/>
      <c r="T119" s="259"/>
      <c r="U119" s="258"/>
      <c r="V119" s="258"/>
      <c r="W119" s="258"/>
      <c r="X119" s="258"/>
      <c r="Y119" s="258"/>
      <c r="Z119" s="258"/>
      <c r="AA119" s="258"/>
      <c r="AB119" s="258"/>
      <c r="AC119" s="258"/>
      <c r="AD119" s="259"/>
      <c r="AE119" s="226"/>
      <c r="AF119" s="226"/>
      <c r="AG119" s="226"/>
      <c r="AH119" s="226"/>
      <c r="AI119" s="226"/>
      <c r="AJ119" s="226"/>
      <c r="AK119" s="226"/>
      <c r="AL119" s="258"/>
      <c r="AM119" s="258"/>
      <c r="AN119" s="259"/>
      <c r="AO119" s="260"/>
      <c r="AP119" s="258"/>
      <c r="AQ119" s="258"/>
      <c r="AR119" s="258"/>
      <c r="AS119" s="258"/>
      <c r="AT119" s="258"/>
      <c r="AU119" s="258"/>
      <c r="AV119" s="258"/>
      <c r="AW119" s="258"/>
      <c r="AX119" s="259"/>
    </row>
    <row r="120" spans="1:50" x14ac:dyDescent="0.2">
      <c r="C120" s="257"/>
      <c r="D120" s="257"/>
      <c r="E120" s="257"/>
      <c r="F120" s="257"/>
      <c r="G120" s="257"/>
      <c r="H120" s="258"/>
      <c r="I120" s="258"/>
      <c r="J120" s="259"/>
      <c r="L120" s="258"/>
      <c r="M120" s="258"/>
      <c r="N120" s="258"/>
      <c r="O120" s="258"/>
      <c r="P120" s="258"/>
      <c r="Q120" s="258"/>
      <c r="R120" s="258"/>
      <c r="S120" s="258"/>
      <c r="T120" s="259"/>
      <c r="U120" s="258"/>
      <c r="V120" s="258"/>
      <c r="W120" s="258"/>
      <c r="X120" s="258"/>
      <c r="Y120" s="258"/>
      <c r="Z120" s="258"/>
      <c r="AA120" s="258"/>
      <c r="AB120" s="258"/>
      <c r="AC120" s="258"/>
      <c r="AD120" s="259"/>
      <c r="AE120" s="226"/>
      <c r="AF120" s="226"/>
      <c r="AG120" s="226"/>
      <c r="AH120" s="226"/>
      <c r="AI120" s="226"/>
      <c r="AJ120" s="226"/>
      <c r="AK120" s="226"/>
      <c r="AL120" s="258"/>
      <c r="AM120" s="258"/>
      <c r="AN120" s="259"/>
      <c r="AO120" s="260"/>
      <c r="AP120" s="258"/>
      <c r="AQ120" s="258"/>
      <c r="AR120" s="258"/>
      <c r="AS120" s="258"/>
      <c r="AT120" s="258"/>
      <c r="AU120" s="258"/>
      <c r="AV120" s="258"/>
      <c r="AW120" s="258"/>
      <c r="AX120" s="259"/>
    </row>
    <row r="121" spans="1:50" x14ac:dyDescent="0.2">
      <c r="C121" s="257"/>
      <c r="D121" s="257"/>
      <c r="E121" s="257"/>
      <c r="F121" s="257"/>
      <c r="G121" s="257"/>
      <c r="H121" s="258"/>
      <c r="I121" s="258"/>
      <c r="J121" s="259"/>
      <c r="L121" s="258"/>
      <c r="M121" s="258"/>
      <c r="N121" s="258"/>
      <c r="O121" s="258"/>
      <c r="P121" s="258"/>
      <c r="Q121" s="258"/>
      <c r="R121" s="258"/>
      <c r="S121" s="258"/>
      <c r="T121" s="259"/>
      <c r="U121" s="258"/>
      <c r="V121" s="258"/>
      <c r="W121" s="258"/>
      <c r="X121" s="258"/>
      <c r="Y121" s="258"/>
      <c r="Z121" s="258"/>
      <c r="AA121" s="258"/>
      <c r="AB121" s="258"/>
      <c r="AC121" s="258"/>
      <c r="AD121" s="259"/>
      <c r="AE121" s="226"/>
      <c r="AF121" s="226"/>
      <c r="AG121" s="226"/>
      <c r="AH121" s="226"/>
      <c r="AI121" s="226"/>
      <c r="AJ121" s="226"/>
      <c r="AK121" s="226"/>
      <c r="AL121" s="258"/>
      <c r="AM121" s="258"/>
      <c r="AN121" s="259"/>
      <c r="AO121" s="258"/>
      <c r="AP121" s="258"/>
      <c r="AQ121" s="258"/>
      <c r="AR121" s="258"/>
      <c r="AS121" s="258"/>
      <c r="AT121" s="258"/>
      <c r="AU121" s="258"/>
      <c r="AV121" s="258"/>
      <c r="AW121" s="258"/>
      <c r="AX121" s="259"/>
    </row>
    <row r="122" spans="1:50" x14ac:dyDescent="0.2">
      <c r="C122" s="257"/>
      <c r="D122" s="257"/>
      <c r="E122" s="257"/>
      <c r="F122" s="257"/>
      <c r="G122" s="257"/>
      <c r="H122" s="258"/>
      <c r="I122" s="258"/>
      <c r="J122" s="259"/>
      <c r="L122" s="258"/>
      <c r="M122" s="258"/>
      <c r="N122" s="258"/>
      <c r="O122" s="258"/>
      <c r="P122" s="258"/>
      <c r="Q122" s="258"/>
      <c r="R122" s="258"/>
      <c r="S122" s="258"/>
      <c r="T122" s="259"/>
      <c r="U122" s="258"/>
      <c r="V122" s="258"/>
      <c r="W122" s="258"/>
      <c r="X122" s="258"/>
      <c r="Y122" s="258"/>
      <c r="Z122" s="258"/>
      <c r="AA122" s="258"/>
      <c r="AB122" s="258"/>
      <c r="AC122" s="258"/>
      <c r="AD122" s="259"/>
      <c r="AE122" s="226"/>
      <c r="AF122" s="226"/>
      <c r="AG122" s="226"/>
      <c r="AH122" s="226"/>
      <c r="AI122" s="226"/>
      <c r="AJ122" s="226"/>
      <c r="AK122" s="226"/>
      <c r="AL122" s="258"/>
      <c r="AM122" s="258"/>
      <c r="AN122" s="259"/>
      <c r="AO122" s="258"/>
      <c r="AP122" s="258"/>
      <c r="AQ122" s="258"/>
      <c r="AR122" s="258"/>
      <c r="AS122" s="258"/>
      <c r="AT122" s="258"/>
      <c r="AU122" s="258"/>
      <c r="AV122" s="258"/>
      <c r="AW122" s="258"/>
      <c r="AX122" s="259"/>
    </row>
    <row r="123" spans="1:50" x14ac:dyDescent="0.2">
      <c r="C123" s="257"/>
      <c r="D123" s="257"/>
      <c r="E123" s="257"/>
      <c r="F123" s="257"/>
      <c r="G123" s="257"/>
      <c r="H123" s="258"/>
      <c r="I123" s="258"/>
      <c r="J123" s="259"/>
      <c r="K123" s="258"/>
      <c r="L123" s="258"/>
      <c r="M123" s="258"/>
      <c r="N123" s="258"/>
      <c r="O123" s="258"/>
      <c r="P123" s="258"/>
      <c r="Q123" s="258"/>
      <c r="R123" s="258"/>
      <c r="S123" s="258"/>
      <c r="T123" s="259"/>
      <c r="U123" s="258"/>
      <c r="V123" s="258"/>
      <c r="W123" s="258"/>
      <c r="X123" s="258"/>
      <c r="Y123" s="258"/>
      <c r="Z123" s="258"/>
      <c r="AA123" s="258"/>
      <c r="AB123" s="258"/>
      <c r="AC123" s="258"/>
      <c r="AD123" s="259"/>
      <c r="AE123" s="226"/>
      <c r="AF123" s="226"/>
      <c r="AG123" s="226"/>
      <c r="AH123" s="226"/>
      <c r="AI123" s="226"/>
      <c r="AJ123" s="226"/>
      <c r="AK123" s="226"/>
      <c r="AL123" s="258"/>
      <c r="AM123" s="258"/>
      <c r="AN123" s="259"/>
      <c r="AO123" s="258"/>
      <c r="AP123" s="258"/>
      <c r="AQ123" s="258"/>
      <c r="AR123" s="258"/>
      <c r="AS123" s="258"/>
      <c r="AT123" s="258"/>
      <c r="AU123" s="258"/>
      <c r="AV123" s="258"/>
      <c r="AW123" s="258"/>
      <c r="AX123" s="259"/>
    </row>
    <row r="124" spans="1:50" x14ac:dyDescent="0.2">
      <c r="C124" s="257"/>
      <c r="D124" s="257"/>
      <c r="E124" s="257"/>
      <c r="F124" s="257"/>
      <c r="G124" s="257"/>
      <c r="H124" s="258"/>
      <c r="I124" s="258"/>
      <c r="J124" s="259"/>
      <c r="K124" s="258"/>
      <c r="L124" s="258"/>
      <c r="M124" s="258"/>
      <c r="N124" s="258"/>
      <c r="O124" s="258"/>
      <c r="P124" s="258"/>
      <c r="Q124" s="258"/>
      <c r="R124" s="258"/>
      <c r="S124" s="258"/>
      <c r="T124" s="259"/>
      <c r="U124" s="258"/>
      <c r="V124" s="258"/>
      <c r="W124" s="258"/>
      <c r="X124" s="258"/>
      <c r="Y124" s="258"/>
      <c r="Z124" s="258"/>
      <c r="AA124" s="258"/>
      <c r="AB124" s="258"/>
      <c r="AC124" s="258"/>
      <c r="AD124" s="259"/>
      <c r="AE124" s="226"/>
      <c r="AF124" s="226"/>
      <c r="AG124" s="226"/>
      <c r="AH124" s="226"/>
      <c r="AI124" s="226"/>
      <c r="AJ124" s="226"/>
      <c r="AK124" s="226"/>
      <c r="AL124" s="258"/>
      <c r="AM124" s="258"/>
      <c r="AN124" s="259"/>
      <c r="AO124" s="258"/>
      <c r="AP124" s="258"/>
      <c r="AQ124" s="258"/>
      <c r="AR124" s="258"/>
      <c r="AS124" s="258"/>
      <c r="AT124" s="258"/>
      <c r="AU124" s="258"/>
      <c r="AV124" s="258"/>
      <c r="AW124" s="258"/>
      <c r="AX124" s="259"/>
    </row>
    <row r="125" spans="1:50" x14ac:dyDescent="0.2">
      <c r="C125" s="257"/>
      <c r="D125" s="257"/>
      <c r="E125" s="257"/>
      <c r="F125" s="257"/>
      <c r="G125" s="257"/>
      <c r="H125" s="258"/>
      <c r="I125" s="258"/>
      <c r="J125" s="259"/>
      <c r="K125" s="258"/>
      <c r="L125" s="258"/>
      <c r="M125" s="258"/>
      <c r="N125" s="258"/>
      <c r="O125" s="258"/>
      <c r="P125" s="258"/>
      <c r="Q125" s="258"/>
      <c r="R125" s="258"/>
      <c r="S125" s="258"/>
      <c r="T125" s="259"/>
      <c r="U125" s="258"/>
      <c r="V125" s="258"/>
      <c r="W125" s="258"/>
      <c r="X125" s="258"/>
      <c r="Y125" s="258"/>
      <c r="Z125" s="258"/>
      <c r="AA125" s="258"/>
      <c r="AB125" s="258"/>
      <c r="AC125" s="258"/>
      <c r="AD125" s="259"/>
      <c r="AE125" s="226"/>
      <c r="AF125" s="226"/>
      <c r="AG125" s="226"/>
      <c r="AH125" s="226"/>
      <c r="AI125" s="226"/>
      <c r="AJ125" s="226"/>
      <c r="AK125" s="226"/>
      <c r="AL125" s="258"/>
      <c r="AM125" s="258"/>
      <c r="AN125" s="259"/>
      <c r="AO125" s="258"/>
      <c r="AP125" s="258"/>
      <c r="AQ125" s="258"/>
      <c r="AR125" s="258"/>
      <c r="AS125" s="258"/>
      <c r="AT125" s="258"/>
      <c r="AU125" s="258"/>
      <c r="AV125" s="258"/>
      <c r="AW125" s="258"/>
      <c r="AX125" s="259"/>
    </row>
    <row r="126" spans="1:50" x14ac:dyDescent="0.2">
      <c r="C126" s="257"/>
      <c r="D126" s="257"/>
      <c r="E126" s="257"/>
      <c r="F126" s="257"/>
      <c r="G126" s="257"/>
      <c r="H126" s="258"/>
      <c r="I126" s="258"/>
      <c r="J126" s="259"/>
      <c r="K126" s="258"/>
      <c r="L126" s="258"/>
      <c r="M126" s="258"/>
      <c r="N126" s="258"/>
      <c r="O126" s="258"/>
      <c r="P126" s="258"/>
      <c r="Q126" s="258"/>
      <c r="R126" s="258"/>
      <c r="S126" s="258"/>
      <c r="T126" s="259"/>
      <c r="U126" s="258"/>
      <c r="V126" s="258"/>
      <c r="W126" s="258"/>
      <c r="X126" s="258"/>
      <c r="Y126" s="258"/>
      <c r="Z126" s="258"/>
      <c r="AA126" s="258"/>
      <c r="AB126" s="258"/>
      <c r="AC126" s="258"/>
      <c r="AD126" s="259"/>
      <c r="AE126" s="258"/>
      <c r="AF126" s="258"/>
      <c r="AG126" s="258"/>
      <c r="AH126" s="258"/>
      <c r="AI126" s="258"/>
      <c r="AJ126" s="258"/>
      <c r="AK126" s="258"/>
      <c r="AL126" s="258"/>
      <c r="AM126" s="258"/>
      <c r="AN126" s="259"/>
      <c r="AO126" s="258"/>
      <c r="AP126" s="258"/>
      <c r="AQ126" s="258"/>
      <c r="AR126" s="258"/>
      <c r="AS126" s="258"/>
      <c r="AT126" s="258"/>
      <c r="AU126" s="258"/>
      <c r="AV126" s="258"/>
      <c r="AW126" s="258"/>
      <c r="AX126" s="259"/>
    </row>
    <row r="127" spans="1:50" x14ac:dyDescent="0.2">
      <c r="C127" s="257"/>
      <c r="D127" s="257"/>
      <c r="E127" s="257"/>
      <c r="F127" s="257"/>
      <c r="G127" s="257"/>
      <c r="H127" s="258"/>
      <c r="I127" s="258"/>
      <c r="J127" s="259"/>
      <c r="K127" s="258"/>
      <c r="L127" s="258"/>
      <c r="M127" s="258"/>
      <c r="N127" s="258"/>
      <c r="O127" s="258"/>
      <c r="P127" s="258"/>
      <c r="Q127" s="258"/>
      <c r="R127" s="258"/>
      <c r="S127" s="258"/>
      <c r="T127" s="259"/>
      <c r="U127" s="258"/>
      <c r="V127" s="258"/>
      <c r="W127" s="258"/>
      <c r="X127" s="258"/>
      <c r="Y127" s="258"/>
      <c r="Z127" s="258"/>
      <c r="AA127" s="258"/>
      <c r="AB127" s="258"/>
      <c r="AC127" s="258"/>
      <c r="AD127" s="259"/>
      <c r="AE127" s="258"/>
      <c r="AF127" s="258"/>
      <c r="AG127" s="258"/>
      <c r="AH127" s="258"/>
      <c r="AI127" s="258"/>
      <c r="AJ127" s="258"/>
      <c r="AK127" s="258"/>
      <c r="AL127" s="258"/>
      <c r="AM127" s="258"/>
      <c r="AN127" s="259"/>
      <c r="AO127" s="258"/>
      <c r="AP127" s="258"/>
      <c r="AQ127" s="258"/>
      <c r="AR127" s="258"/>
      <c r="AS127" s="258"/>
      <c r="AT127" s="258"/>
      <c r="AU127" s="258"/>
      <c r="AV127" s="258"/>
      <c r="AW127" s="258"/>
      <c r="AX127" s="259"/>
    </row>
    <row r="128" spans="1:50" x14ac:dyDescent="0.2">
      <c r="C128" s="257"/>
      <c r="D128" s="257"/>
      <c r="E128" s="257"/>
      <c r="F128" s="257"/>
      <c r="G128" s="257"/>
      <c r="H128" s="258"/>
      <c r="I128" s="258"/>
      <c r="J128" s="259"/>
      <c r="K128" s="258"/>
      <c r="L128" s="258"/>
      <c r="M128" s="258"/>
      <c r="N128" s="258"/>
      <c r="O128" s="258"/>
      <c r="P128" s="258"/>
      <c r="Q128" s="258"/>
      <c r="R128" s="258"/>
      <c r="S128" s="258"/>
      <c r="T128" s="259"/>
      <c r="U128" s="258"/>
      <c r="V128" s="258"/>
      <c r="W128" s="258"/>
      <c r="X128" s="258"/>
      <c r="Y128" s="258"/>
      <c r="Z128" s="258"/>
      <c r="AA128" s="258"/>
      <c r="AB128" s="258"/>
      <c r="AC128" s="258"/>
      <c r="AD128" s="259"/>
      <c r="AE128" s="258"/>
      <c r="AF128" s="258"/>
      <c r="AG128" s="258"/>
      <c r="AH128" s="258"/>
      <c r="AI128" s="258"/>
      <c r="AJ128" s="258"/>
      <c r="AK128" s="258"/>
      <c r="AL128" s="258"/>
      <c r="AM128" s="258"/>
      <c r="AN128" s="259"/>
      <c r="AO128" s="258"/>
      <c r="AP128" s="258"/>
      <c r="AQ128" s="258"/>
      <c r="AR128" s="258"/>
      <c r="AS128" s="258"/>
      <c r="AT128" s="258"/>
      <c r="AU128" s="258"/>
      <c r="AV128" s="258"/>
      <c r="AW128" s="258"/>
      <c r="AX128" s="259"/>
    </row>
    <row r="129" spans="3:50" x14ac:dyDescent="0.2">
      <c r="C129" s="257"/>
      <c r="D129" s="257"/>
      <c r="E129" s="257"/>
      <c r="F129" s="257"/>
      <c r="G129" s="257"/>
      <c r="H129" s="258"/>
      <c r="I129" s="258"/>
      <c r="J129" s="259"/>
      <c r="K129" s="258"/>
      <c r="L129" s="258"/>
      <c r="M129" s="258"/>
      <c r="N129" s="258"/>
      <c r="O129" s="258"/>
      <c r="P129" s="258"/>
      <c r="Q129" s="258"/>
      <c r="R129" s="258"/>
      <c r="S129" s="258"/>
      <c r="T129" s="259"/>
      <c r="U129" s="258"/>
      <c r="V129" s="258"/>
      <c r="W129" s="258"/>
      <c r="X129" s="258"/>
      <c r="Y129" s="258"/>
      <c r="Z129" s="258"/>
      <c r="AA129" s="258"/>
      <c r="AB129" s="258"/>
      <c r="AC129" s="258"/>
      <c r="AD129" s="259"/>
      <c r="AE129" s="258"/>
      <c r="AF129" s="258"/>
      <c r="AG129" s="258"/>
      <c r="AH129" s="258"/>
      <c r="AI129" s="258"/>
      <c r="AJ129" s="258"/>
      <c r="AK129" s="258"/>
      <c r="AL129" s="258"/>
      <c r="AM129" s="258"/>
      <c r="AN129" s="259"/>
      <c r="AO129" s="258"/>
      <c r="AP129" s="258"/>
      <c r="AQ129" s="258"/>
      <c r="AR129" s="258"/>
      <c r="AS129" s="258"/>
      <c r="AT129" s="258"/>
      <c r="AU129" s="258"/>
      <c r="AV129" s="258"/>
      <c r="AW129" s="258"/>
      <c r="AX129" s="259"/>
    </row>
    <row r="130" spans="3:50" x14ac:dyDescent="0.2">
      <c r="C130" s="257"/>
      <c r="D130" s="257"/>
      <c r="E130" s="257"/>
      <c r="F130" s="257"/>
      <c r="G130" s="257"/>
      <c r="H130" s="258"/>
      <c r="I130" s="258"/>
      <c r="J130" s="259"/>
      <c r="K130" s="258"/>
      <c r="L130" s="258"/>
      <c r="M130" s="258"/>
      <c r="N130" s="258"/>
      <c r="O130" s="258"/>
      <c r="P130" s="258"/>
      <c r="Q130" s="258"/>
      <c r="R130" s="258"/>
      <c r="S130" s="258"/>
      <c r="T130" s="259"/>
      <c r="U130" s="258"/>
      <c r="V130" s="258"/>
      <c r="W130" s="258"/>
      <c r="X130" s="258"/>
      <c r="Y130" s="258"/>
      <c r="Z130" s="258"/>
      <c r="AA130" s="258"/>
      <c r="AB130" s="258"/>
      <c r="AC130" s="258"/>
      <c r="AD130" s="259"/>
      <c r="AE130" s="258"/>
      <c r="AF130" s="258"/>
      <c r="AG130" s="258"/>
      <c r="AH130" s="258"/>
      <c r="AI130" s="258"/>
      <c r="AJ130" s="258"/>
      <c r="AK130" s="258"/>
      <c r="AL130" s="258"/>
      <c r="AM130" s="258"/>
      <c r="AN130" s="259"/>
      <c r="AO130" s="258"/>
      <c r="AP130" s="258"/>
      <c r="AQ130" s="258"/>
      <c r="AR130" s="258"/>
      <c r="AS130" s="258"/>
      <c r="AT130" s="258"/>
      <c r="AU130" s="258"/>
      <c r="AV130" s="258"/>
      <c r="AW130" s="258"/>
      <c r="AX130" s="259"/>
    </row>
    <row r="131" spans="3:50" x14ac:dyDescent="0.2">
      <c r="C131" s="257"/>
      <c r="D131" s="257"/>
      <c r="E131" s="257"/>
      <c r="F131" s="257"/>
      <c r="G131" s="257"/>
      <c r="H131" s="258"/>
      <c r="I131" s="258"/>
      <c r="J131" s="259"/>
      <c r="K131" s="258"/>
      <c r="L131" s="258"/>
      <c r="M131" s="258"/>
      <c r="N131" s="258"/>
      <c r="O131" s="258"/>
      <c r="P131" s="258"/>
      <c r="Q131" s="258"/>
      <c r="R131" s="258"/>
      <c r="S131" s="258"/>
      <c r="T131" s="259"/>
      <c r="U131" s="258"/>
      <c r="V131" s="258"/>
      <c r="W131" s="258"/>
      <c r="X131" s="258"/>
      <c r="Y131" s="258"/>
      <c r="Z131" s="258"/>
      <c r="AA131" s="258"/>
      <c r="AB131" s="258"/>
      <c r="AC131" s="258"/>
      <c r="AD131" s="259"/>
      <c r="AE131" s="258"/>
      <c r="AF131" s="258"/>
      <c r="AG131" s="258"/>
      <c r="AH131" s="258"/>
      <c r="AI131" s="258"/>
      <c r="AJ131" s="258"/>
      <c r="AK131" s="258"/>
      <c r="AL131" s="258"/>
      <c r="AM131" s="258"/>
      <c r="AN131" s="259"/>
      <c r="AO131" s="258"/>
      <c r="AP131" s="258"/>
      <c r="AQ131" s="258"/>
      <c r="AR131" s="258"/>
      <c r="AS131" s="258"/>
      <c r="AT131" s="258"/>
      <c r="AU131" s="258"/>
      <c r="AV131" s="258"/>
      <c r="AW131" s="258"/>
      <c r="AX131" s="259"/>
    </row>
    <row r="132" spans="3:50" x14ac:dyDescent="0.2">
      <c r="C132" s="257"/>
      <c r="D132" s="257"/>
      <c r="E132" s="257"/>
      <c r="F132" s="257"/>
      <c r="G132" s="257"/>
      <c r="H132" s="258"/>
      <c r="I132" s="258"/>
      <c r="J132" s="259"/>
      <c r="K132" s="258"/>
      <c r="L132" s="258"/>
      <c r="M132" s="258"/>
      <c r="N132" s="258"/>
      <c r="O132" s="258"/>
      <c r="P132" s="258"/>
      <c r="Q132" s="258"/>
      <c r="R132" s="258"/>
      <c r="S132" s="258"/>
      <c r="T132" s="259"/>
      <c r="U132" s="258"/>
      <c r="V132" s="258"/>
      <c r="W132" s="258"/>
      <c r="X132" s="258"/>
      <c r="Y132" s="258"/>
      <c r="Z132" s="258"/>
      <c r="AA132" s="258"/>
      <c r="AB132" s="258"/>
      <c r="AC132" s="258"/>
      <c r="AD132" s="259"/>
      <c r="AE132" s="258"/>
      <c r="AF132" s="258"/>
      <c r="AG132" s="258"/>
      <c r="AH132" s="258"/>
      <c r="AI132" s="258"/>
      <c r="AJ132" s="258"/>
      <c r="AK132" s="258"/>
      <c r="AL132" s="258"/>
      <c r="AM132" s="258"/>
      <c r="AN132" s="259"/>
      <c r="AO132" s="258"/>
      <c r="AP132" s="258"/>
      <c r="AQ132" s="258"/>
      <c r="AR132" s="258"/>
      <c r="AS132" s="258"/>
      <c r="AT132" s="258"/>
      <c r="AU132" s="258"/>
      <c r="AV132" s="258"/>
      <c r="AW132" s="258"/>
      <c r="AX132" s="259"/>
    </row>
    <row r="133" spans="3:50" x14ac:dyDescent="0.2">
      <c r="C133" s="257"/>
      <c r="D133" s="257"/>
      <c r="E133" s="257"/>
      <c r="F133" s="257"/>
      <c r="G133" s="257"/>
      <c r="H133" s="258"/>
      <c r="I133" s="258"/>
      <c r="J133" s="259"/>
      <c r="K133" s="258"/>
      <c r="L133" s="258"/>
      <c r="M133" s="258"/>
      <c r="N133" s="258"/>
      <c r="O133" s="258"/>
      <c r="P133" s="258"/>
      <c r="Q133" s="258"/>
      <c r="R133" s="258"/>
      <c r="S133" s="258"/>
      <c r="T133" s="259"/>
      <c r="U133" s="258"/>
      <c r="V133" s="258"/>
      <c r="W133" s="258"/>
      <c r="X133" s="258"/>
      <c r="Y133" s="258"/>
      <c r="Z133" s="258"/>
      <c r="AA133" s="258"/>
      <c r="AB133" s="258"/>
      <c r="AC133" s="258"/>
      <c r="AD133" s="259"/>
      <c r="AE133" s="258"/>
      <c r="AF133" s="258"/>
      <c r="AG133" s="258"/>
      <c r="AH133" s="258"/>
      <c r="AI133" s="258"/>
      <c r="AJ133" s="258"/>
      <c r="AK133" s="258"/>
      <c r="AL133" s="258"/>
      <c r="AM133" s="258"/>
      <c r="AN133" s="259"/>
      <c r="AO133" s="258"/>
      <c r="AP133" s="258"/>
      <c r="AQ133" s="258"/>
      <c r="AR133" s="258"/>
      <c r="AS133" s="258"/>
      <c r="AT133" s="258"/>
      <c r="AU133" s="258"/>
      <c r="AV133" s="258"/>
      <c r="AW133" s="258"/>
      <c r="AX133" s="259"/>
    </row>
    <row r="134" spans="3:50" x14ac:dyDescent="0.2">
      <c r="C134" s="257"/>
      <c r="D134" s="257"/>
      <c r="E134" s="257"/>
      <c r="F134" s="257"/>
      <c r="G134" s="257"/>
      <c r="H134" s="258"/>
      <c r="I134" s="258"/>
      <c r="J134" s="259"/>
      <c r="K134" s="258"/>
      <c r="L134" s="258"/>
      <c r="M134" s="258"/>
      <c r="N134" s="258"/>
      <c r="O134" s="258"/>
      <c r="P134" s="258"/>
      <c r="Q134" s="258"/>
      <c r="R134" s="258"/>
      <c r="S134" s="258"/>
      <c r="T134" s="259"/>
      <c r="U134" s="258"/>
      <c r="V134" s="258"/>
      <c r="W134" s="258"/>
      <c r="X134" s="258"/>
      <c r="Y134" s="258"/>
      <c r="Z134" s="258"/>
      <c r="AA134" s="258"/>
      <c r="AB134" s="258"/>
      <c r="AC134" s="258"/>
      <c r="AD134" s="259"/>
      <c r="AE134" s="258"/>
      <c r="AF134" s="258"/>
      <c r="AG134" s="258"/>
      <c r="AH134" s="258"/>
      <c r="AI134" s="258"/>
      <c r="AJ134" s="258"/>
      <c r="AK134" s="258"/>
      <c r="AL134" s="258"/>
      <c r="AM134" s="258"/>
      <c r="AN134" s="259"/>
      <c r="AO134" s="258"/>
      <c r="AP134" s="258"/>
      <c r="AQ134" s="258"/>
      <c r="AR134" s="258"/>
      <c r="AS134" s="258"/>
      <c r="AT134" s="258"/>
      <c r="AU134" s="258"/>
      <c r="AV134" s="258"/>
      <c r="AW134" s="258"/>
      <c r="AX134" s="259"/>
    </row>
    <row r="135" spans="3:50" x14ac:dyDescent="0.2">
      <c r="C135" s="257"/>
      <c r="D135" s="257"/>
      <c r="E135" s="257"/>
      <c r="F135" s="257"/>
      <c r="G135" s="257"/>
      <c r="H135" s="258"/>
      <c r="I135" s="258"/>
      <c r="J135" s="259"/>
      <c r="K135" s="258"/>
      <c r="L135" s="258"/>
      <c r="M135" s="258"/>
      <c r="N135" s="258"/>
      <c r="O135" s="258"/>
      <c r="P135" s="258"/>
      <c r="Q135" s="258"/>
      <c r="R135" s="258"/>
      <c r="S135" s="258"/>
      <c r="T135" s="259"/>
      <c r="U135" s="258"/>
      <c r="V135" s="258"/>
      <c r="W135" s="258"/>
      <c r="X135" s="258"/>
      <c r="Y135" s="258"/>
      <c r="Z135" s="258"/>
      <c r="AA135" s="258"/>
      <c r="AB135" s="258"/>
      <c r="AC135" s="258"/>
      <c r="AD135" s="259"/>
      <c r="AE135" s="258"/>
      <c r="AF135" s="258"/>
      <c r="AG135" s="258"/>
      <c r="AH135" s="258"/>
      <c r="AI135" s="258"/>
      <c r="AJ135" s="258"/>
      <c r="AK135" s="258"/>
      <c r="AL135" s="258"/>
      <c r="AM135" s="258"/>
      <c r="AN135" s="259"/>
      <c r="AO135" s="258"/>
      <c r="AP135" s="258"/>
      <c r="AQ135" s="258"/>
      <c r="AR135" s="258"/>
      <c r="AS135" s="258"/>
      <c r="AT135" s="258"/>
      <c r="AU135" s="258"/>
      <c r="AV135" s="258"/>
      <c r="AW135" s="258"/>
      <c r="AX135" s="259"/>
    </row>
    <row r="136" spans="3:50" x14ac:dyDescent="0.2">
      <c r="C136" s="257"/>
      <c r="D136" s="257"/>
      <c r="E136" s="257"/>
      <c r="F136" s="257"/>
      <c r="G136" s="257"/>
      <c r="H136" s="258"/>
      <c r="I136" s="258"/>
      <c r="J136" s="259"/>
      <c r="K136" s="258"/>
      <c r="L136" s="258"/>
      <c r="M136" s="258"/>
      <c r="N136" s="258"/>
      <c r="O136" s="258"/>
      <c r="P136" s="258"/>
      <c r="Q136" s="258"/>
      <c r="R136" s="258"/>
      <c r="S136" s="258"/>
      <c r="T136" s="259"/>
      <c r="U136" s="258"/>
      <c r="V136" s="258"/>
      <c r="W136" s="258"/>
      <c r="X136" s="258"/>
      <c r="Y136" s="258"/>
      <c r="Z136" s="258"/>
      <c r="AA136" s="258"/>
      <c r="AB136" s="258"/>
      <c r="AC136" s="258"/>
      <c r="AD136" s="259"/>
      <c r="AE136" s="258"/>
      <c r="AF136" s="258"/>
      <c r="AG136" s="258"/>
      <c r="AH136" s="258"/>
      <c r="AI136" s="258"/>
      <c r="AJ136" s="258"/>
      <c r="AK136" s="258"/>
      <c r="AL136" s="258"/>
      <c r="AM136" s="258"/>
      <c r="AN136" s="259"/>
      <c r="AO136" s="258"/>
      <c r="AP136" s="258"/>
      <c r="AQ136" s="258"/>
      <c r="AR136" s="258"/>
      <c r="AS136" s="258"/>
      <c r="AT136" s="258"/>
      <c r="AU136" s="258"/>
      <c r="AV136" s="258"/>
      <c r="AW136" s="258"/>
      <c r="AX136" s="259"/>
    </row>
    <row r="137" spans="3:50" x14ac:dyDescent="0.2">
      <c r="C137" s="257"/>
      <c r="D137" s="257"/>
      <c r="E137" s="257"/>
      <c r="F137" s="257"/>
      <c r="G137" s="257"/>
      <c r="H137" s="258"/>
      <c r="I137" s="258"/>
      <c r="J137" s="259"/>
      <c r="K137" s="258"/>
      <c r="L137" s="258"/>
      <c r="M137" s="258"/>
      <c r="N137" s="258"/>
      <c r="O137" s="258"/>
      <c r="P137" s="258"/>
      <c r="Q137" s="258"/>
      <c r="R137" s="258"/>
      <c r="S137" s="258"/>
      <c r="T137" s="259"/>
      <c r="U137" s="258"/>
      <c r="V137" s="258"/>
      <c r="W137" s="258"/>
      <c r="X137" s="258"/>
      <c r="Y137" s="258"/>
      <c r="Z137" s="258"/>
      <c r="AA137" s="258"/>
      <c r="AB137" s="258"/>
      <c r="AC137" s="258"/>
      <c r="AD137" s="259"/>
      <c r="AE137" s="258"/>
      <c r="AF137" s="258"/>
      <c r="AG137" s="258"/>
      <c r="AH137" s="258"/>
      <c r="AI137" s="258"/>
      <c r="AJ137" s="258"/>
      <c r="AK137" s="258"/>
      <c r="AL137" s="258"/>
      <c r="AM137" s="258"/>
      <c r="AN137" s="259"/>
      <c r="AO137" s="258"/>
      <c r="AP137" s="258"/>
      <c r="AQ137" s="258"/>
      <c r="AR137" s="258"/>
      <c r="AS137" s="258"/>
      <c r="AT137" s="258"/>
      <c r="AU137" s="258"/>
      <c r="AV137" s="258"/>
      <c r="AW137" s="258"/>
      <c r="AX137" s="259"/>
    </row>
    <row r="138" spans="3:50" x14ac:dyDescent="0.2">
      <c r="C138" s="257"/>
      <c r="D138" s="257"/>
      <c r="E138" s="257"/>
      <c r="F138" s="257"/>
      <c r="G138" s="257"/>
      <c r="H138" s="258"/>
      <c r="I138" s="258"/>
      <c r="J138" s="259"/>
      <c r="K138" s="258"/>
      <c r="L138" s="258"/>
      <c r="M138" s="258"/>
      <c r="N138" s="258"/>
      <c r="O138" s="258"/>
      <c r="P138" s="258"/>
      <c r="Q138" s="258"/>
      <c r="R138" s="258"/>
      <c r="S138" s="258"/>
      <c r="T138" s="259"/>
      <c r="U138" s="258"/>
      <c r="V138" s="258"/>
      <c r="W138" s="258"/>
      <c r="X138" s="258"/>
      <c r="Y138" s="258"/>
      <c r="Z138" s="258"/>
      <c r="AA138" s="258"/>
      <c r="AB138" s="258"/>
      <c r="AC138" s="258"/>
      <c r="AD138" s="259"/>
      <c r="AE138" s="258"/>
      <c r="AF138" s="258"/>
      <c r="AG138" s="258"/>
      <c r="AH138" s="258"/>
      <c r="AI138" s="258"/>
      <c r="AJ138" s="258"/>
      <c r="AK138" s="258"/>
      <c r="AL138" s="258"/>
      <c r="AM138" s="258"/>
      <c r="AN138" s="259"/>
      <c r="AO138" s="258"/>
      <c r="AP138" s="258"/>
      <c r="AQ138" s="258"/>
      <c r="AR138" s="258"/>
      <c r="AS138" s="258"/>
      <c r="AT138" s="258"/>
      <c r="AU138" s="258"/>
      <c r="AV138" s="258"/>
      <c r="AW138" s="258"/>
      <c r="AX138" s="259"/>
    </row>
    <row r="139" spans="3:50" x14ac:dyDescent="0.2">
      <c r="C139" s="257"/>
      <c r="D139" s="257"/>
      <c r="E139" s="257"/>
      <c r="F139" s="257"/>
      <c r="G139" s="257"/>
      <c r="H139" s="258"/>
      <c r="I139" s="258"/>
      <c r="J139" s="259"/>
      <c r="K139" s="258"/>
      <c r="L139" s="258"/>
      <c r="M139" s="258"/>
      <c r="N139" s="258"/>
      <c r="O139" s="258"/>
      <c r="P139" s="258"/>
      <c r="Q139" s="258"/>
      <c r="R139" s="258"/>
      <c r="S139" s="258"/>
      <c r="T139" s="259"/>
      <c r="U139" s="258"/>
      <c r="V139" s="258"/>
      <c r="W139" s="258"/>
      <c r="X139" s="258"/>
      <c r="Y139" s="258"/>
      <c r="Z139" s="258"/>
      <c r="AA139" s="258"/>
      <c r="AB139" s="258"/>
      <c r="AC139" s="258"/>
      <c r="AD139" s="259"/>
      <c r="AE139" s="258"/>
      <c r="AF139" s="258"/>
      <c r="AG139" s="258"/>
      <c r="AH139" s="258"/>
      <c r="AI139" s="258"/>
      <c r="AJ139" s="258"/>
      <c r="AK139" s="258"/>
      <c r="AL139" s="258"/>
      <c r="AM139" s="258"/>
      <c r="AN139" s="259"/>
      <c r="AO139" s="258"/>
      <c r="AP139" s="258"/>
      <c r="AQ139" s="258"/>
      <c r="AR139" s="258"/>
      <c r="AS139" s="258"/>
      <c r="AT139" s="258"/>
      <c r="AU139" s="258"/>
      <c r="AV139" s="258"/>
      <c r="AW139" s="258"/>
      <c r="AX139" s="259"/>
    </row>
    <row r="140" spans="3:50" x14ac:dyDescent="0.2">
      <c r="C140" s="257"/>
      <c r="D140" s="257"/>
      <c r="E140" s="257"/>
      <c r="F140" s="257"/>
      <c r="G140" s="257"/>
      <c r="H140" s="258"/>
      <c r="I140" s="258"/>
      <c r="J140" s="259"/>
      <c r="K140" s="258"/>
      <c r="L140" s="258"/>
      <c r="M140" s="258"/>
      <c r="N140" s="258"/>
      <c r="O140" s="258"/>
      <c r="P140" s="258"/>
      <c r="Q140" s="258"/>
      <c r="R140" s="258"/>
      <c r="S140" s="258"/>
      <c r="T140" s="259"/>
      <c r="U140" s="258"/>
      <c r="V140" s="258"/>
      <c r="W140" s="258"/>
      <c r="X140" s="258"/>
      <c r="Y140" s="258"/>
      <c r="Z140" s="258"/>
      <c r="AA140" s="258"/>
      <c r="AB140" s="258"/>
      <c r="AC140" s="258"/>
      <c r="AD140" s="259"/>
      <c r="AE140" s="258"/>
      <c r="AF140" s="258"/>
      <c r="AG140" s="258"/>
      <c r="AH140" s="258"/>
      <c r="AI140" s="258"/>
      <c r="AJ140" s="258"/>
      <c r="AK140" s="258"/>
      <c r="AL140" s="258"/>
      <c r="AM140" s="258"/>
      <c r="AN140" s="259"/>
      <c r="AO140" s="258"/>
      <c r="AP140" s="258"/>
      <c r="AQ140" s="258"/>
      <c r="AR140" s="258"/>
      <c r="AS140" s="258"/>
      <c r="AT140" s="258"/>
      <c r="AU140" s="258"/>
      <c r="AV140" s="258"/>
      <c r="AW140" s="258"/>
      <c r="AX140" s="259"/>
    </row>
    <row r="141" spans="3:50" x14ac:dyDescent="0.2">
      <c r="C141" s="257"/>
      <c r="D141" s="257"/>
      <c r="E141" s="257"/>
      <c r="F141" s="257"/>
      <c r="G141" s="257"/>
      <c r="H141" s="258"/>
      <c r="I141" s="258"/>
      <c r="J141" s="259"/>
      <c r="K141" s="258"/>
      <c r="L141" s="258"/>
      <c r="M141" s="258"/>
      <c r="N141" s="258"/>
      <c r="O141" s="258"/>
      <c r="P141" s="258"/>
      <c r="Q141" s="258"/>
      <c r="R141" s="258"/>
      <c r="S141" s="258"/>
      <c r="T141" s="259"/>
      <c r="U141" s="258"/>
      <c r="V141" s="258"/>
      <c r="W141" s="258"/>
      <c r="X141" s="258"/>
      <c r="Y141" s="258"/>
      <c r="Z141" s="258"/>
      <c r="AA141" s="258"/>
      <c r="AB141" s="258"/>
      <c r="AC141" s="258"/>
      <c r="AD141" s="259"/>
      <c r="AE141" s="258"/>
      <c r="AF141" s="258"/>
      <c r="AG141" s="258"/>
      <c r="AH141" s="258"/>
      <c r="AI141" s="258"/>
      <c r="AJ141" s="258"/>
      <c r="AK141" s="258"/>
      <c r="AL141" s="258"/>
      <c r="AM141" s="258"/>
      <c r="AN141" s="259"/>
      <c r="AO141" s="258"/>
      <c r="AP141" s="258"/>
      <c r="AQ141" s="258"/>
      <c r="AR141" s="258"/>
      <c r="AS141" s="258"/>
      <c r="AT141" s="258"/>
      <c r="AU141" s="258"/>
      <c r="AV141" s="258"/>
      <c r="AW141" s="258"/>
      <c r="AX141" s="259"/>
    </row>
    <row r="142" spans="3:50" x14ac:dyDescent="0.2">
      <c r="C142" s="257"/>
      <c r="D142" s="257"/>
      <c r="E142" s="257"/>
      <c r="F142" s="257"/>
      <c r="G142" s="257"/>
      <c r="H142" s="258"/>
      <c r="I142" s="258"/>
      <c r="J142" s="259"/>
      <c r="K142" s="258"/>
      <c r="L142" s="258"/>
      <c r="M142" s="258"/>
      <c r="N142" s="258"/>
      <c r="O142" s="258"/>
      <c r="P142" s="258"/>
      <c r="Q142" s="258"/>
      <c r="R142" s="258"/>
      <c r="S142" s="258"/>
      <c r="T142" s="259"/>
      <c r="U142" s="258"/>
      <c r="V142" s="258"/>
      <c r="W142" s="258"/>
      <c r="X142" s="258"/>
      <c r="Y142" s="258"/>
      <c r="Z142" s="258"/>
      <c r="AA142" s="258"/>
      <c r="AB142" s="258"/>
      <c r="AC142" s="258"/>
      <c r="AD142" s="259"/>
      <c r="AE142" s="258"/>
      <c r="AF142" s="258"/>
      <c r="AG142" s="258"/>
      <c r="AH142" s="258"/>
      <c r="AI142" s="258"/>
      <c r="AJ142" s="258"/>
      <c r="AK142" s="258"/>
      <c r="AL142" s="258"/>
      <c r="AM142" s="258"/>
      <c r="AN142" s="259"/>
      <c r="AO142" s="258"/>
      <c r="AP142" s="258"/>
      <c r="AQ142" s="258"/>
      <c r="AR142" s="258"/>
      <c r="AS142" s="258"/>
      <c r="AT142" s="258"/>
      <c r="AU142" s="258"/>
      <c r="AV142" s="258"/>
      <c r="AW142" s="258"/>
      <c r="AX142" s="259"/>
    </row>
    <row r="143" spans="3:50" x14ac:dyDescent="0.2">
      <c r="C143" s="257"/>
      <c r="D143" s="257"/>
      <c r="E143" s="257"/>
      <c r="F143" s="257"/>
      <c r="G143" s="257"/>
      <c r="H143" s="258"/>
      <c r="I143" s="258"/>
      <c r="J143" s="259"/>
      <c r="K143" s="258"/>
      <c r="L143" s="258"/>
      <c r="M143" s="258"/>
      <c r="N143" s="258"/>
      <c r="O143" s="258"/>
      <c r="P143" s="258"/>
      <c r="Q143" s="258"/>
      <c r="R143" s="258"/>
      <c r="S143" s="258"/>
      <c r="T143" s="259"/>
      <c r="U143" s="258"/>
      <c r="V143" s="258"/>
      <c r="W143" s="258"/>
      <c r="X143" s="258"/>
      <c r="Y143" s="258"/>
      <c r="Z143" s="258"/>
      <c r="AA143" s="258"/>
      <c r="AB143" s="258"/>
      <c r="AC143" s="258"/>
      <c r="AD143" s="259"/>
      <c r="AE143" s="258"/>
      <c r="AF143" s="258"/>
      <c r="AG143" s="258"/>
      <c r="AH143" s="258"/>
      <c r="AI143" s="258"/>
      <c r="AJ143" s="258"/>
      <c r="AK143" s="258"/>
      <c r="AL143" s="258"/>
      <c r="AM143" s="258"/>
      <c r="AN143" s="259"/>
      <c r="AO143" s="258"/>
      <c r="AP143" s="258"/>
      <c r="AQ143" s="258"/>
      <c r="AR143" s="258"/>
      <c r="AS143" s="258"/>
      <c r="AT143" s="258"/>
      <c r="AU143" s="258"/>
      <c r="AV143" s="258"/>
      <c r="AW143" s="258"/>
      <c r="AX143" s="259"/>
    </row>
  </sheetData>
  <mergeCells count="3">
    <mergeCell ref="A4:A16"/>
    <mergeCell ref="A22:A45"/>
    <mergeCell ref="A46:A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64</vt:i4>
      </vt:variant>
    </vt:vector>
  </HeadingPairs>
  <TitlesOfParts>
    <vt:vector size="72" baseType="lpstr">
      <vt:lpstr>GeneralSettings</vt:lpstr>
      <vt:lpstr>EURON</vt:lpstr>
      <vt:lpstr>EUR3M</vt:lpstr>
      <vt:lpstr>EUR6M</vt:lpstr>
      <vt:lpstr>EUR1M</vt:lpstr>
      <vt:lpstr>EUR1Y</vt:lpstr>
      <vt:lpstr>Euribor</vt:lpstr>
      <vt:lpstr>Quote</vt:lpstr>
      <vt:lpstr>BumpValue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PriceTickValue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RateTickValue</vt:lpstr>
      <vt:lpstr>EUR1M!Sensitivity</vt:lpstr>
      <vt:lpstr>EUR1Y!Sensitivity</vt:lpstr>
      <vt:lpstr>EUR3M!Sensitivity</vt:lpstr>
      <vt:lpstr>EUR6M!Sensitivity</vt:lpstr>
      <vt:lpstr>EURON!Sensitivity</vt:lpstr>
      <vt:lpstr>Settlementdate</vt:lpstr>
      <vt:lpstr>Quote!Stub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2017-01-11T14:53:14Z</dcterms:modified>
</cp:coreProperties>
</file>