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205" windowHeight="10470" tabRatio="739" activeTab="1"/>
  </bookViews>
  <sheets>
    <sheet name="Triggers" sheetId="8" r:id="rId1"/>
    <sheet name="EUR Curves" sheetId="10" r:id="rId2"/>
    <sheet name="USD Curves" sheetId="11" r:id="rId3"/>
    <sheet name="USDBASIS(CCS,EUROIS)" sheetId="27" r:id="rId4"/>
    <sheet name="dvCurveBootstrapperOptions" sheetId="2" r:id="rId5"/>
    <sheet name="Sheet1" sheetId="28" r:id="rId6"/>
  </sheets>
  <definedNames>
    <definedName name="dvBool">dvCurveBootstrapperOptions!$H$3:$H$4</definedName>
    <definedName name="dvCurveBootstrapperCompounding">dvCurveBootstrapperOptions!$E$20:$E$22</definedName>
    <definedName name="dvCurveBootstrapperDayCount">dvCurveBootstrapperOptions!$B$3:$C$12</definedName>
    <definedName name="dvCurveBootstrapperFraFutAdjust">dvCurveBootstrapperOptions!$B$15:$C$18</definedName>
    <definedName name="dvCurveBootstrapperFutCons">dvCurveBootstrapperOptions!$E$25:$E$27</definedName>
    <definedName name="dvCurveBootstrapperFutEndDate">dvCurveBootstrapperOptions!$E$34:$E$35</definedName>
    <definedName name="dvCurveBootstrapperInterpOn">dvCurveBootstrapperOptions!$E$10:$E$15</definedName>
    <definedName name="dvCurveBootstrapperInterpType">dvCurveBootstrapperOptions!$E$3:$E$7</definedName>
    <definedName name="dvCurveBootstrapperMatCons">dvCurveBootstrapperOptions!$E$30:$E$31</definedName>
    <definedName name="dvCurveBootstrapperOutputType">dvCurveBootstrapperOptions!$B$26:$C$27</definedName>
    <definedName name="dvCurveBootstrapperSwapMatType">dvCurveBootstrapperOptions!$B$21:$C$23</definedName>
    <definedName name="dvSwapPaymFreq">dvCurveBootstrapperOptions!$B$30:$C$33</definedName>
    <definedName name="EvaluationDate">Triggers!$D$5</definedName>
    <definedName name="FinDBVerbose" localSheetId="1">'EUR Curves'!$C$8</definedName>
    <definedName name="FinDBVerbose" localSheetId="2">'USD Curves'!$C$8</definedName>
    <definedName name="FXSpreads" localSheetId="3">'USDBASIS(CCS,EUROIS)'!$K$6:$K$42,'USDBASIS(CCS,EUROIS)'!$K$46:$K$87</definedName>
    <definedName name="IsBootstrapSheet" localSheetId="4">dvCurveBootstrapperOptions!$L$39</definedName>
    <definedName name="IsBootstrapSheet" localSheetId="1">'EUR Curves'!$B$20</definedName>
    <definedName name="IsBootstrapSheet" localSheetId="0">Triggers!$C$15</definedName>
    <definedName name="IsBootstrapSheet" localSheetId="2">'USD Curves'!$B$21</definedName>
    <definedName name="IsBootstrapSheet" localSheetId="3">'USDBASIS(CCS,EUROIS)'!$C$72</definedName>
    <definedName name="ManualTrigger">Triggers!$D$4</definedName>
    <definedName name="ObjectsTrigger">Triggers!$D$9</definedName>
    <definedName name="Override" localSheetId="1">'EUR Curves'!$F$4:$G$93,'EUR Curves'!$O$4:$P$93,'EUR Curves'!#REF!</definedName>
    <definedName name="Override" localSheetId="2">'USD Curves'!$F$4:$G$93,'USD Curves'!$O$4:$P$93,'USD Curves'!#REF!</definedName>
    <definedName name="Override" localSheetId="3">'USDBASIS(CCS,EUROIS)'!$J$6:$J$42,'USDBASIS(CCS,EUROIS)'!$J$3:$J$3,'USDBASIS(CCS,EUROIS)'!$J$46:$J$87</definedName>
    <definedName name="RealTime" localSheetId="1">'EUR Curves'!$D$4:$E$93,'EUR Curves'!$M$4:$N$93,'EUR Curves'!#REF!</definedName>
    <definedName name="RealTime" localSheetId="2">'USD Curves'!$D$4:$E$93,'USD Curves'!$M$4:$N$93,'USD Curves'!#REF!</definedName>
    <definedName name="RealTime" localSheetId="3">'USDBASIS(CCS,EUROIS)'!$I$6:$I$42,'USDBASIS(CCS,EUROIS)'!$I$3:$I$3,'USDBASIS(CCS,EUROIS)'!$I$46:$I$87</definedName>
    <definedName name="RTDataTrigger" localSheetId="0">Triggers!$D$8</definedName>
    <definedName name="trigger" localSheetId="1">'EUR Curves'!$I$3</definedName>
    <definedName name="trigger" localSheetId="2">'USD Curves'!$I$3</definedName>
    <definedName name="Used" localSheetId="3">'USDBASIS(CCS,EUROIS)'!$L$6:$L$42,'USDBASIS(CCS,EUROIS)'!$L$3:$L$3,'USDBASIS(CCS,EUROIS)'!$L$46:$L$87</definedName>
  </definedNames>
  <calcPr calcId="145621"/>
</workbook>
</file>

<file path=xl/calcChain.xml><?xml version="1.0" encoding="utf-8"?>
<calcChain xmlns="http://schemas.openxmlformats.org/spreadsheetml/2006/main">
  <c r="C5" i="27" l="1"/>
  <c r="AX3" i="27" l="1"/>
  <c r="AX32" i="27"/>
  <c r="AX31" i="27"/>
  <c r="AX30" i="27"/>
  <c r="AX29" i="27"/>
  <c r="AX28" i="27"/>
  <c r="AX27" i="27"/>
  <c r="AX26" i="27"/>
  <c r="AX25" i="27"/>
  <c r="AX24" i="27"/>
  <c r="AX23" i="27"/>
  <c r="AX22" i="27"/>
  <c r="AX21" i="27"/>
  <c r="AX20" i="27"/>
  <c r="AX19" i="27"/>
  <c r="AX18" i="27"/>
  <c r="AX17" i="27"/>
  <c r="AX16" i="27"/>
  <c r="AX15" i="27"/>
  <c r="AX14" i="27"/>
  <c r="AX13" i="27"/>
  <c r="AX12" i="27"/>
  <c r="AX11" i="27"/>
  <c r="AX10" i="27"/>
  <c r="AX9" i="27"/>
  <c r="AX8" i="27"/>
  <c r="AX7" i="27"/>
  <c r="AX6" i="27"/>
  <c r="AX5" i="27"/>
  <c r="AX4" i="27"/>
  <c r="AW4" i="27"/>
  <c r="AW5" i="27"/>
  <c r="AW6" i="27"/>
  <c r="AW7" i="27"/>
  <c r="AW8" i="27"/>
  <c r="AW9" i="27"/>
  <c r="AW10" i="27"/>
  <c r="AW11" i="27"/>
  <c r="AW12" i="27"/>
  <c r="AW13" i="27"/>
  <c r="AW14" i="27"/>
  <c r="AW15" i="27"/>
  <c r="AW16" i="27"/>
  <c r="AW17" i="27"/>
  <c r="AW18" i="27"/>
  <c r="AW19" i="27"/>
  <c r="AW20" i="27"/>
  <c r="AW21" i="27"/>
  <c r="AW22" i="27"/>
  <c r="AW23" i="27"/>
  <c r="AW24" i="27"/>
  <c r="AW25" i="27"/>
  <c r="AW26" i="27"/>
  <c r="AW27" i="27"/>
  <c r="AW28" i="27"/>
  <c r="AW29" i="27"/>
  <c r="AW30" i="27"/>
  <c r="AW31" i="27"/>
  <c r="AW32" i="27"/>
  <c r="AW3" i="27"/>
  <c r="AU44" i="27"/>
  <c r="AU45" i="27"/>
  <c r="AU46" i="27"/>
  <c r="AU47" i="27"/>
  <c r="AU48" i="27"/>
  <c r="AU49" i="27"/>
  <c r="AU50" i="27"/>
  <c r="AU51" i="27"/>
  <c r="AU52" i="27"/>
  <c r="AU53" i="27"/>
  <c r="AU54" i="27"/>
  <c r="AU55" i="27"/>
  <c r="AU56" i="27"/>
  <c r="AU57" i="27"/>
  <c r="AU58" i="27"/>
  <c r="AU59" i="27"/>
  <c r="AU60" i="27"/>
  <c r="AU61" i="27"/>
  <c r="AU62" i="27"/>
  <c r="AU63" i="27"/>
  <c r="AU64" i="27"/>
  <c r="AU65" i="27"/>
  <c r="AU66" i="27"/>
  <c r="AU67" i="27"/>
  <c r="AU68" i="27"/>
  <c r="AU69" i="27"/>
  <c r="AU70" i="27"/>
  <c r="AU71" i="27"/>
  <c r="AU72" i="27"/>
  <c r="AU43" i="27"/>
  <c r="AS44" i="27"/>
  <c r="AS45" i="27"/>
  <c r="AS46" i="27"/>
  <c r="AS47" i="27"/>
  <c r="AS48" i="27"/>
  <c r="AS49" i="27"/>
  <c r="AS50" i="27"/>
  <c r="AS51" i="27"/>
  <c r="AS52" i="27"/>
  <c r="AS53" i="27"/>
  <c r="AS54" i="27"/>
  <c r="AS55" i="27"/>
  <c r="AS56" i="27"/>
  <c r="AS57" i="27"/>
  <c r="AS58" i="27"/>
  <c r="AS59" i="27"/>
  <c r="AS60" i="27"/>
  <c r="AS61" i="27"/>
  <c r="AS62" i="27"/>
  <c r="AS63" i="27"/>
  <c r="AS64" i="27"/>
  <c r="AS65" i="27"/>
  <c r="AS66" i="27"/>
  <c r="AS67" i="27"/>
  <c r="AS68" i="27"/>
  <c r="AS69" i="27"/>
  <c r="AS70" i="27"/>
  <c r="AS71" i="27"/>
  <c r="AS72" i="27"/>
  <c r="AS43" i="27"/>
  <c r="AV3" i="27"/>
  <c r="AV4" i="27"/>
  <c r="AV5" i="27"/>
  <c r="AV6" i="27"/>
  <c r="AV7" i="27"/>
  <c r="AV8" i="27"/>
  <c r="AV9" i="27"/>
  <c r="AV10" i="27"/>
  <c r="AV11" i="27"/>
  <c r="AV12" i="27"/>
  <c r="AV13" i="27"/>
  <c r="AV14" i="27"/>
  <c r="AV15" i="27"/>
  <c r="AV16" i="27"/>
  <c r="AV17" i="27"/>
  <c r="AV18" i="27"/>
  <c r="AV19" i="27"/>
  <c r="AV20" i="27"/>
  <c r="AV21" i="27"/>
  <c r="AV22" i="27"/>
  <c r="AV23" i="27"/>
  <c r="AV24" i="27"/>
  <c r="AV25" i="27"/>
  <c r="AV26" i="27"/>
  <c r="AV27" i="27"/>
  <c r="AV28" i="27"/>
  <c r="AV29" i="27"/>
  <c r="AV30" i="27"/>
  <c r="AV31" i="27"/>
  <c r="AV32" i="27"/>
  <c r="AU4" i="27"/>
  <c r="AU5" i="27"/>
  <c r="AU6" i="27"/>
  <c r="AU7" i="27"/>
  <c r="AU8" i="27"/>
  <c r="AU9" i="27"/>
  <c r="AU10" i="27"/>
  <c r="AU11" i="27"/>
  <c r="AU12" i="27"/>
  <c r="AU13" i="27"/>
  <c r="AU14" i="27"/>
  <c r="AU15" i="27"/>
  <c r="AU16" i="27"/>
  <c r="AU17" i="27"/>
  <c r="AU18" i="27"/>
  <c r="AU19" i="27"/>
  <c r="AU20" i="27"/>
  <c r="AU21" i="27"/>
  <c r="AU22" i="27"/>
  <c r="AU23" i="27"/>
  <c r="AU24" i="27"/>
  <c r="AU25" i="27"/>
  <c r="AU26" i="27"/>
  <c r="AU27" i="27"/>
  <c r="AU28" i="27"/>
  <c r="AU29" i="27"/>
  <c r="AU30" i="27"/>
  <c r="AU31" i="27"/>
  <c r="AU32" i="27"/>
  <c r="AU3" i="27"/>
  <c r="B51" i="27"/>
  <c r="C59" i="27"/>
  <c r="B59" i="27"/>
  <c r="AI38" i="27"/>
  <c r="AI39" i="27"/>
  <c r="AI40" i="27"/>
  <c r="AI41" i="27"/>
  <c r="AI42" i="27"/>
  <c r="AI43" i="27"/>
  <c r="AI44" i="27"/>
  <c r="AI45" i="27"/>
  <c r="AI46" i="27"/>
  <c r="AI47" i="27"/>
  <c r="AI48" i="27"/>
  <c r="AI49" i="27"/>
  <c r="AI50" i="27"/>
  <c r="AI51" i="27"/>
  <c r="AI52" i="27"/>
  <c r="AI53" i="27"/>
  <c r="AI54" i="27"/>
  <c r="AI55" i="27"/>
  <c r="AI56" i="27"/>
  <c r="AI57" i="27"/>
  <c r="AI58" i="27"/>
  <c r="AI59" i="27"/>
  <c r="AI60" i="27"/>
  <c r="AI61" i="27"/>
  <c r="AI62" i="27"/>
  <c r="AI63" i="27"/>
  <c r="AI64" i="27"/>
  <c r="AI65" i="27"/>
  <c r="AI66" i="27"/>
  <c r="AI67" i="27"/>
  <c r="AI68" i="27"/>
  <c r="AI69" i="27"/>
  <c r="AI37" i="27"/>
  <c r="J46" i="27" a="1"/>
  <c r="J50" i="27" s="1"/>
  <c r="J9" i="27" a="1"/>
  <c r="J10" i="27" s="1"/>
  <c r="H4" i="10"/>
  <c r="J46" i="27" l="1"/>
  <c r="J17" i="27"/>
  <c r="J9" i="27"/>
  <c r="J16" i="27"/>
  <c r="J15" i="27"/>
  <c r="J55" i="27"/>
  <c r="J54" i="27"/>
  <c r="J61" i="27"/>
  <c r="J12" i="27"/>
  <c r="J52" i="27"/>
  <c r="J57" i="27"/>
  <c r="J49" i="27"/>
  <c r="J56" i="27"/>
  <c r="J63" i="27"/>
  <c r="J47" i="27"/>
  <c r="J62" i="27"/>
  <c r="J13" i="27"/>
  <c r="J53" i="27"/>
  <c r="J20" i="27"/>
  <c r="J19" i="27"/>
  <c r="J11" i="27"/>
  <c r="J59" i="27"/>
  <c r="J51" i="27"/>
  <c r="J48" i="27"/>
  <c r="J14" i="27"/>
  <c r="J60" i="27"/>
  <c r="J18" i="27"/>
  <c r="J58" i="27"/>
  <c r="V2" i="27"/>
  <c r="AF28" i="27"/>
  <c r="N42" i="27" l="1"/>
  <c r="N39" i="27"/>
  <c r="N40" i="27"/>
  <c r="N41" i="27"/>
  <c r="F23" i="27"/>
  <c r="I24" i="27"/>
  <c r="I25" i="27"/>
  <c r="I27" i="27"/>
  <c r="I28" i="27"/>
  <c r="I29" i="27"/>
  <c r="Z8" i="27"/>
  <c r="Y21" i="27"/>
  <c r="Y18" i="27"/>
  <c r="Z14" i="27"/>
  <c r="Z16" i="27"/>
  <c r="Z17" i="27"/>
  <c r="Z10" i="27"/>
  <c r="Y14" i="27"/>
  <c r="Z9" i="27"/>
  <c r="Z13" i="27"/>
  <c r="Z18" i="27"/>
  <c r="Z19" i="27"/>
  <c r="Y19" i="27"/>
  <c r="Y13" i="27"/>
  <c r="Y17" i="27"/>
  <c r="Z20" i="27"/>
  <c r="Y16" i="27"/>
  <c r="Y15" i="27"/>
  <c r="Y9" i="27"/>
  <c r="Z15" i="27"/>
  <c r="Y8" i="27"/>
  <c r="Y20" i="27"/>
  <c r="F3" i="27" l="1"/>
  <c r="Y31" i="27"/>
  <c r="S5" i="27" l="1" a="1"/>
  <c r="S5" i="27" s="1"/>
  <c r="O6" i="27" s="1"/>
  <c r="F6" i="27"/>
  <c r="N6" i="27"/>
  <c r="Z3" i="27"/>
  <c r="Y3" i="27"/>
  <c r="F7" i="27" l="1"/>
  <c r="M7" i="27"/>
  <c r="N7" i="27" s="1"/>
  <c r="O7" i="27"/>
  <c r="Y4" i="27"/>
  <c r="Z4" i="27"/>
  <c r="F8" i="27" l="1"/>
  <c r="M8" i="27"/>
  <c r="N8" i="27"/>
  <c r="O8" i="27"/>
  <c r="Y5" i="27"/>
  <c r="Z5" i="27"/>
  <c r="I8" i="27" l="1"/>
  <c r="L8" i="27" s="1"/>
  <c r="M9" i="27"/>
  <c r="M10" i="27" s="1"/>
  <c r="N10" i="27" s="1"/>
  <c r="O9" i="27"/>
  <c r="O10" i="27" s="1"/>
  <c r="F10" i="27"/>
  <c r="N9" i="27" l="1"/>
  <c r="F11" i="27"/>
  <c r="M11" i="27"/>
  <c r="N11" i="27" s="1"/>
  <c r="O11" i="27"/>
  <c r="I9" i="27" l="1"/>
  <c r="F12" i="27"/>
  <c r="M12" i="27"/>
  <c r="N12" i="27" s="1"/>
  <c r="O12" i="27"/>
  <c r="I10" i="27" l="1"/>
  <c r="F13" i="27"/>
  <c r="M13" i="27"/>
  <c r="N13" i="27" s="1"/>
  <c r="O13" i="27"/>
  <c r="Y10" i="27"/>
  <c r="I11" i="27" l="1"/>
  <c r="F14" i="27"/>
  <c r="M14" i="27"/>
  <c r="N14" i="27" s="1"/>
  <c r="O14" i="27"/>
  <c r="O15" i="27" s="1"/>
  <c r="F15" i="27"/>
  <c r="F16" i="27"/>
  <c r="I12" i="27" l="1"/>
  <c r="M15" i="27"/>
  <c r="O16" i="27"/>
  <c r="F17" i="27"/>
  <c r="C16" i="27"/>
  <c r="I13" i="27" l="1"/>
  <c r="O17" i="27"/>
  <c r="O18" i="27" s="1"/>
  <c r="M16" i="27"/>
  <c r="N15" i="27"/>
  <c r="F18" i="27"/>
  <c r="I14" i="27" l="1"/>
  <c r="N16" i="27"/>
  <c r="M17" i="27"/>
  <c r="F19" i="27"/>
  <c r="O19" i="27"/>
  <c r="I15" i="27" l="1"/>
  <c r="N17" i="27"/>
  <c r="M18" i="27"/>
  <c r="F20" i="27"/>
  <c r="O20" i="27"/>
  <c r="M19" i="27" l="1"/>
  <c r="N18" i="27"/>
  <c r="I16" i="27"/>
  <c r="F21" i="27"/>
  <c r="O21" i="27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l="1"/>
  <c r="P38" i="27"/>
  <c r="Q38" i="27"/>
  <c r="N19" i="27"/>
  <c r="M20" i="27"/>
  <c r="I17" i="27"/>
  <c r="F22" i="27"/>
  <c r="R38" i="27" l="1"/>
  <c r="S38" i="27"/>
  <c r="P39" i="27"/>
  <c r="Q39" i="27"/>
  <c r="O40" i="27"/>
  <c r="N20" i="27"/>
  <c r="M21" i="27"/>
  <c r="M22" i="27" s="1"/>
  <c r="I18" i="27"/>
  <c r="N22" i="27" l="1"/>
  <c r="M23" i="27"/>
  <c r="P40" i="27"/>
  <c r="Q40" i="27"/>
  <c r="O41" i="27"/>
  <c r="R39" i="27"/>
  <c r="S39" i="27"/>
  <c r="N21" i="27"/>
  <c r="I19" i="27"/>
  <c r="Z21" i="27"/>
  <c r="N23" i="27" l="1"/>
  <c r="M24" i="27"/>
  <c r="O42" i="27"/>
  <c r="P41" i="27"/>
  <c r="Q41" i="27"/>
  <c r="S40" i="27"/>
  <c r="R40" i="27"/>
  <c r="I20" i="27"/>
  <c r="Y22" i="27"/>
  <c r="Z22" i="27"/>
  <c r="N24" i="27" l="1"/>
  <c r="M25" i="27"/>
  <c r="R41" i="27"/>
  <c r="S41" i="27"/>
  <c r="Q42" i="27"/>
  <c r="P42" i="27"/>
  <c r="I21" i="27"/>
  <c r="Y23" i="27"/>
  <c r="Z23" i="27"/>
  <c r="M26" i="27" l="1"/>
  <c r="N25" i="27"/>
  <c r="R42" i="27"/>
  <c r="S42" i="27"/>
  <c r="I22" i="27"/>
  <c r="Z24" i="27"/>
  <c r="Y24" i="27"/>
  <c r="M27" i="27" l="1"/>
  <c r="N26" i="27"/>
  <c r="I23" i="27"/>
  <c r="I42" i="27"/>
  <c r="L42" i="27" s="1"/>
  <c r="M48" i="27"/>
  <c r="Z27" i="27"/>
  <c r="Y27" i="27"/>
  <c r="M28" i="27" l="1"/>
  <c r="N27" i="27"/>
  <c r="I26" i="27"/>
  <c r="I3" i="27"/>
  <c r="M49" i="27"/>
  <c r="M50" i="27" s="1"/>
  <c r="M51" i="27" s="1"/>
  <c r="M52" i="27" s="1"/>
  <c r="Z31" i="27"/>
  <c r="M29" i="27" l="1"/>
  <c r="N28" i="27"/>
  <c r="I30" i="27"/>
  <c r="L3" i="27"/>
  <c r="E46" i="27"/>
  <c r="N47" i="27" s="1"/>
  <c r="N29" i="27" l="1"/>
  <c r="M30" i="27"/>
  <c r="M53" i="27"/>
  <c r="Y32" i="27"/>
  <c r="Z32" i="27"/>
  <c r="N30" i="27" l="1"/>
  <c r="M31" i="27"/>
  <c r="I31" i="27"/>
  <c r="M54" i="27"/>
  <c r="Y33" i="27"/>
  <c r="Z33" i="27"/>
  <c r="N31" i="27" l="1"/>
  <c r="M32" i="27"/>
  <c r="I32" i="27"/>
  <c r="E47" i="27"/>
  <c r="M55" i="27"/>
  <c r="Y34" i="27"/>
  <c r="Z34" i="27"/>
  <c r="N32" i="27" l="1"/>
  <c r="M33" i="27"/>
  <c r="I33" i="27"/>
  <c r="N48" i="27"/>
  <c r="M56" i="27"/>
  <c r="Z35" i="27"/>
  <c r="Y35" i="27"/>
  <c r="M34" i="27" l="1"/>
  <c r="N33" i="27"/>
  <c r="E48" i="27"/>
  <c r="N49" i="27" s="1"/>
  <c r="I34" i="27"/>
  <c r="E49" i="27"/>
  <c r="M57" i="27"/>
  <c r="Z36" i="27"/>
  <c r="Y36" i="27"/>
  <c r="M35" i="27" l="1"/>
  <c r="N34" i="27"/>
  <c r="E50" i="27"/>
  <c r="N51" i="27" s="1"/>
  <c r="I35" i="27"/>
  <c r="N50" i="27"/>
  <c r="M58" i="27"/>
  <c r="Z37" i="27"/>
  <c r="Y37" i="27"/>
  <c r="M36" i="27" l="1"/>
  <c r="N35" i="27"/>
  <c r="I36" i="27"/>
  <c r="M59" i="27"/>
  <c r="Y38" i="27"/>
  <c r="Z38" i="27"/>
  <c r="M37" i="27" l="1"/>
  <c r="N36" i="27"/>
  <c r="E52" i="27"/>
  <c r="N53" i="27" s="1"/>
  <c r="E51" i="27"/>
  <c r="N52" i="27" s="1"/>
  <c r="I37" i="27"/>
  <c r="M60" i="27"/>
  <c r="Y39" i="27"/>
  <c r="Z39" i="27"/>
  <c r="M38" i="27" l="1"/>
  <c r="N37" i="27"/>
  <c r="E53" i="27"/>
  <c r="N54" i="27" s="1"/>
  <c r="I38" i="27"/>
  <c r="M61" i="27"/>
  <c r="Z40" i="27"/>
  <c r="Y40" i="27"/>
  <c r="N38" i="27" l="1"/>
  <c r="M39" i="27"/>
  <c r="M40" i="27" s="1"/>
  <c r="M41" i="27" s="1"/>
  <c r="M42" i="27" s="1"/>
  <c r="E54" i="27"/>
  <c r="N55" i="27" s="1"/>
  <c r="I39" i="27"/>
  <c r="L39" i="27" s="1"/>
  <c r="M62" i="27"/>
  <c r="M63" i="27" s="1"/>
  <c r="Y42" i="27"/>
  <c r="Z42" i="27"/>
  <c r="Z41" i="27"/>
  <c r="Y41" i="27"/>
  <c r="P24" i="27" l="1"/>
  <c r="P22" i="27"/>
  <c r="P8" i="27"/>
  <c r="P27" i="27"/>
  <c r="P18" i="27"/>
  <c r="P34" i="27"/>
  <c r="P25" i="27"/>
  <c r="P32" i="27"/>
  <c r="P29" i="27"/>
  <c r="P15" i="27"/>
  <c r="P31" i="27"/>
  <c r="P36" i="27"/>
  <c r="P30" i="27"/>
  <c r="P23" i="27"/>
  <c r="P33" i="27"/>
  <c r="P6" i="27"/>
  <c r="P37" i="27"/>
  <c r="P7" i="27"/>
  <c r="P35" i="27"/>
  <c r="P26" i="27"/>
  <c r="P28" i="27"/>
  <c r="P11" i="27"/>
  <c r="P12" i="27"/>
  <c r="P19" i="27"/>
  <c r="P9" i="27"/>
  <c r="P14" i="27"/>
  <c r="P16" i="27"/>
  <c r="P13" i="27"/>
  <c r="P21" i="27"/>
  <c r="P10" i="27"/>
  <c r="P17" i="27"/>
  <c r="P20" i="27"/>
  <c r="E55" i="27"/>
  <c r="N56" i="27" s="1"/>
  <c r="I41" i="27"/>
  <c r="L41" i="27" s="1"/>
  <c r="I40" i="27"/>
  <c r="L40" i="27" s="1"/>
  <c r="M64" i="27"/>
  <c r="Y43" i="27"/>
  <c r="Z43" i="27"/>
  <c r="R30" i="27" l="1"/>
  <c r="Q30" i="27"/>
  <c r="Q20" i="27"/>
  <c r="R20" i="27"/>
  <c r="R19" i="27"/>
  <c r="Q19" i="27"/>
  <c r="Q6" i="27"/>
  <c r="R6" i="27"/>
  <c r="Q32" i="27"/>
  <c r="R32" i="27"/>
  <c r="R23" i="27"/>
  <c r="Q23" i="27"/>
  <c r="Q21" i="27"/>
  <c r="R21" i="27"/>
  <c r="Q17" i="27"/>
  <c r="R17" i="27"/>
  <c r="Q12" i="27"/>
  <c r="R12" i="27"/>
  <c r="R33" i="27"/>
  <c r="Q33" i="27"/>
  <c r="R25" i="27"/>
  <c r="Q25" i="27"/>
  <c r="Q11" i="27"/>
  <c r="R11" i="27"/>
  <c r="Q18" i="27"/>
  <c r="R18" i="27"/>
  <c r="R13" i="27"/>
  <c r="Q13" i="27"/>
  <c r="R26" i="27"/>
  <c r="Q26" i="27"/>
  <c r="R36" i="27"/>
  <c r="Q36" i="27"/>
  <c r="R27" i="27"/>
  <c r="Q27" i="27"/>
  <c r="R10" i="27"/>
  <c r="Q10" i="27"/>
  <c r="R16" i="27"/>
  <c r="Q16" i="27"/>
  <c r="R35" i="27"/>
  <c r="Q35" i="27"/>
  <c r="R31" i="27"/>
  <c r="Q31" i="27"/>
  <c r="R8" i="27"/>
  <c r="Q8" i="27"/>
  <c r="Q28" i="27"/>
  <c r="R28" i="27"/>
  <c r="R7" i="27"/>
  <c r="Q7" i="27"/>
  <c r="R15" i="27"/>
  <c r="Q15" i="27"/>
  <c r="Q22" i="27"/>
  <c r="R22" i="27"/>
  <c r="R34" i="27"/>
  <c r="Q34" i="27"/>
  <c r="R14" i="27"/>
  <c r="Q14" i="27"/>
  <c r="Q9" i="27"/>
  <c r="R9" i="27"/>
  <c r="Q37" i="27"/>
  <c r="R37" i="27"/>
  <c r="R29" i="27"/>
  <c r="Q29" i="27"/>
  <c r="Q24" i="27"/>
  <c r="R24" i="27"/>
  <c r="E57" i="27"/>
  <c r="N58" i="27" s="1"/>
  <c r="M65" i="27"/>
  <c r="Z44" i="27"/>
  <c r="Y44" i="27"/>
  <c r="E58" i="27" l="1"/>
  <c r="N59" i="27" s="1"/>
  <c r="E56" i="27"/>
  <c r="N57" i="27" s="1"/>
  <c r="C45" i="27"/>
  <c r="M66" i="27"/>
  <c r="Y45" i="27"/>
  <c r="Z45" i="27"/>
  <c r="M67" i="27" l="1"/>
  <c r="Z46" i="27"/>
  <c r="Y46" i="27"/>
  <c r="E60" i="27" l="1"/>
  <c r="N61" i="27" s="1"/>
  <c r="E59" i="27"/>
  <c r="N60" i="27" s="1"/>
  <c r="M68" i="27"/>
  <c r="Z47" i="27"/>
  <c r="Y47" i="27"/>
  <c r="E61" i="27" l="1"/>
  <c r="N62" i="27" s="1"/>
  <c r="E62" i="27"/>
  <c r="N63" i="27" s="1"/>
  <c r="B48" i="27"/>
  <c r="M69" i="27"/>
  <c r="Z48" i="27"/>
  <c r="Y48" i="27"/>
  <c r="E63" i="27" l="1"/>
  <c r="N64" i="27" s="1"/>
  <c r="B49" i="27"/>
  <c r="M70" i="27"/>
  <c r="M71" i="27" s="1"/>
  <c r="B50" i="27"/>
  <c r="Z49" i="27"/>
  <c r="Z50" i="27"/>
  <c r="Y50" i="27"/>
  <c r="Y49" i="27"/>
  <c r="N66" i="27" l="1"/>
  <c r="B52" i="27"/>
  <c r="M72" i="27"/>
  <c r="Y51" i="27"/>
  <c r="Z51" i="27"/>
  <c r="N65" i="27" l="1"/>
  <c r="B53" i="27"/>
  <c r="M73" i="27"/>
  <c r="Y52" i="27"/>
  <c r="Z52" i="27"/>
  <c r="N67" i="27" l="1"/>
  <c r="N68" i="27"/>
  <c r="B54" i="27"/>
  <c r="M74" i="27"/>
  <c r="Y53" i="27"/>
  <c r="Z53" i="27"/>
  <c r="C55" i="27" l="1"/>
  <c r="M75" i="27"/>
  <c r="M76" i="27" s="1"/>
  <c r="C56" i="27"/>
  <c r="Z55" i="27"/>
  <c r="Y54" i="27"/>
  <c r="Z54" i="27"/>
  <c r="Y55" i="27"/>
  <c r="E68" i="27" l="1"/>
  <c r="N69" i="27" s="1"/>
  <c r="B57" i="27"/>
  <c r="M77" i="27"/>
  <c r="Y56" i="27"/>
  <c r="Z56" i="27"/>
  <c r="E70" i="27" l="1"/>
  <c r="N71" i="27" s="1"/>
  <c r="E69" i="27"/>
  <c r="N70" i="27" s="1"/>
  <c r="B58" i="27"/>
  <c r="C58" i="27"/>
  <c r="M78" i="27"/>
  <c r="Z57" i="27"/>
  <c r="Y57" i="27"/>
  <c r="E71" i="27" l="1"/>
  <c r="N72" i="27" s="1"/>
  <c r="B60" i="27"/>
  <c r="C60" i="27"/>
  <c r="M79" i="27"/>
  <c r="Z58" i="27"/>
  <c r="Y58" i="27"/>
  <c r="E72" i="27" l="1"/>
  <c r="N73" i="27" s="1"/>
  <c r="B61" i="27"/>
  <c r="C61" i="27"/>
  <c r="M80" i="27"/>
  <c r="Y59" i="27"/>
  <c r="Z59" i="27"/>
  <c r="E73" i="27" l="1"/>
  <c r="N74" i="27" s="1"/>
  <c r="E74" i="27"/>
  <c r="N75" i="27" s="1"/>
  <c r="B62" i="27"/>
  <c r="C62" i="27"/>
  <c r="M81" i="27"/>
  <c r="M82" i="27" s="1"/>
  <c r="B63" i="27"/>
  <c r="C63" i="27"/>
  <c r="Y61" i="27"/>
  <c r="Y60" i="27"/>
  <c r="Z61" i="27"/>
  <c r="Z60" i="27"/>
  <c r="E75" i="27" l="1"/>
  <c r="N76" i="27" s="1"/>
  <c r="B64" i="27"/>
  <c r="C64" i="27"/>
  <c r="M83" i="27"/>
  <c r="Y62" i="27"/>
  <c r="Z62" i="27"/>
  <c r="E76" i="27" l="1"/>
  <c r="N77" i="27" s="1"/>
  <c r="I76" i="27"/>
  <c r="L76" i="27" s="1"/>
  <c r="B65" i="27"/>
  <c r="C65" i="27"/>
  <c r="M84" i="27"/>
  <c r="M85" i="27" s="1"/>
  <c r="M86" i="27" s="1"/>
  <c r="M87" i="27" s="1"/>
  <c r="B66" i="27"/>
  <c r="C66" i="27"/>
  <c r="B67" i="27"/>
  <c r="C67" i="27"/>
  <c r="B68" i="27"/>
  <c r="C68" i="27"/>
  <c r="Z66" i="27"/>
  <c r="Y65" i="27"/>
  <c r="Z63" i="27"/>
  <c r="Y63" i="27"/>
  <c r="Z65" i="27"/>
  <c r="Y64" i="27"/>
  <c r="Z64" i="27"/>
  <c r="Y66" i="27"/>
  <c r="E77" i="27" l="1"/>
  <c r="N78" i="27" s="1"/>
  <c r="I77" i="27"/>
  <c r="L77" i="27" s="1"/>
  <c r="B69" i="27"/>
  <c r="C69" i="27"/>
  <c r="M88" i="27"/>
  <c r="Y67" i="27"/>
  <c r="Z67" i="27"/>
  <c r="E80" i="27" l="1"/>
  <c r="N81" i="27" s="1"/>
  <c r="I80" i="27"/>
  <c r="L80" i="27" s="1"/>
  <c r="E79" i="27"/>
  <c r="N80" i="27" s="1"/>
  <c r="I79" i="27"/>
  <c r="L79" i="27" s="1"/>
  <c r="E81" i="27"/>
  <c r="N82" i="27" s="1"/>
  <c r="I81" i="27"/>
  <c r="L81" i="27" s="1"/>
  <c r="E78" i="27"/>
  <c r="N79" i="27" s="1"/>
  <c r="I78" i="27"/>
  <c r="L78" i="27" s="1"/>
  <c r="B70" i="27"/>
  <c r="C70" i="27"/>
  <c r="Y68" i="27"/>
  <c r="Z68" i="27"/>
  <c r="E82" i="27" l="1"/>
  <c r="N83" i="27" s="1"/>
  <c r="I82" i="27"/>
  <c r="L82" i="27" s="1"/>
  <c r="B71" i="27"/>
  <c r="C71" i="27"/>
  <c r="Z69" i="27"/>
  <c r="Y69" i="27"/>
  <c r="E83" i="27" l="1"/>
  <c r="I83" i="27"/>
  <c r="L83" i="27" s="1"/>
  <c r="Z70" i="27"/>
  <c r="Y70" i="27"/>
  <c r="E84" i="27" l="1"/>
  <c r="N85" i="27" s="1"/>
  <c r="I84" i="27"/>
  <c r="L84" i="27" s="1"/>
  <c r="N84" i="27"/>
  <c r="Y71" i="27"/>
  <c r="Z71" i="27"/>
  <c r="E85" i="27" l="1"/>
  <c r="I85" i="27"/>
  <c r="L85" i="27" s="1"/>
  <c r="Y72" i="27"/>
  <c r="Z72" i="27"/>
  <c r="E86" i="27" l="1"/>
  <c r="N87" i="27" s="1"/>
  <c r="I86" i="27"/>
  <c r="L86" i="27" s="1"/>
  <c r="N86" i="27"/>
  <c r="C9" i="11"/>
  <c r="E87" i="27" l="1"/>
  <c r="S46" i="27" s="1" a="1"/>
  <c r="I87" i="27"/>
  <c r="L87" i="27" s="1"/>
  <c r="D6" i="8"/>
  <c r="N88" i="27" l="1"/>
  <c r="S46" i="27"/>
  <c r="D5" i="8"/>
  <c r="L9" i="11"/>
  <c r="L9" i="10"/>
  <c r="C9" i="10"/>
  <c r="D9" i="8"/>
  <c r="L5" i="11"/>
  <c r="D8" i="8"/>
  <c r="C5" i="10"/>
  <c r="C5" i="11"/>
  <c r="O47" i="27" l="1"/>
  <c r="P47" i="27" s="1"/>
  <c r="R47" i="27" s="1"/>
  <c r="C3" i="27"/>
  <c r="AH4" i="27"/>
  <c r="L6" i="11"/>
  <c r="C6" i="10"/>
  <c r="C6" i="11"/>
  <c r="L5" i="10"/>
  <c r="O48" i="27" l="1"/>
  <c r="O49" i="27" s="1"/>
  <c r="C7" i="11"/>
  <c r="D4" i="11" s="1" a="1"/>
  <c r="C7" i="10"/>
  <c r="D4" i="10" s="1" a="1"/>
  <c r="L7" i="11"/>
  <c r="M4" i="11" s="1" a="1"/>
  <c r="AH5" i="27"/>
  <c r="L6" i="10"/>
  <c r="D19" i="10" l="1"/>
  <c r="H19" i="10" s="1"/>
  <c r="D80" i="10"/>
  <c r="H80" i="10" s="1"/>
  <c r="D47" i="10"/>
  <c r="H47" i="10" s="1"/>
  <c r="D64" i="10"/>
  <c r="H64" i="10" s="1"/>
  <c r="D10" i="10"/>
  <c r="H10" i="10" s="1"/>
  <c r="D62" i="10"/>
  <c r="H62" i="10" s="1"/>
  <c r="D63" i="10"/>
  <c r="D53" i="10"/>
  <c r="H53" i="10" s="1"/>
  <c r="D38" i="10"/>
  <c r="H38" i="10" s="1"/>
  <c r="D90" i="10"/>
  <c r="H90" i="10" s="1"/>
  <c r="D54" i="10"/>
  <c r="H54" i="10" s="1"/>
  <c r="D11" i="10"/>
  <c r="H11" i="10" s="1"/>
  <c r="D55" i="10"/>
  <c r="H55" i="10" s="1"/>
  <c r="D14" i="10"/>
  <c r="H14" i="10" s="1"/>
  <c r="D25" i="10"/>
  <c r="D35" i="10"/>
  <c r="H35" i="10" s="1"/>
  <c r="D65" i="10"/>
  <c r="H65" i="10" s="1"/>
  <c r="D16" i="10"/>
  <c r="H16" i="10" s="1"/>
  <c r="D49" i="10"/>
  <c r="H49" i="10" s="1"/>
  <c r="D26" i="10"/>
  <c r="H26" i="10" s="1"/>
  <c r="D15" i="10"/>
  <c r="H15" i="10" s="1"/>
  <c r="D42" i="10"/>
  <c r="H42" i="10" s="1"/>
  <c r="D4" i="10"/>
  <c r="D24" i="10"/>
  <c r="H24" i="10" s="1"/>
  <c r="D92" i="10"/>
  <c r="H92" i="10" s="1"/>
  <c r="D69" i="10"/>
  <c r="D79" i="10"/>
  <c r="H79" i="10" s="1"/>
  <c r="D71" i="10"/>
  <c r="H71" i="10" s="1"/>
  <c r="D87" i="10"/>
  <c r="H87" i="10" s="1"/>
  <c r="D91" i="10"/>
  <c r="H91" i="10" s="1"/>
  <c r="D51" i="10"/>
  <c r="D5" i="10"/>
  <c r="D50" i="10"/>
  <c r="D18" i="10"/>
  <c r="H18" i="10" s="1"/>
  <c r="D67" i="10"/>
  <c r="H67" i="10" s="1"/>
  <c r="D21" i="10"/>
  <c r="D6" i="10"/>
  <c r="H6" i="10" s="1"/>
  <c r="D66" i="10"/>
  <c r="H66" i="10" s="1"/>
  <c r="D58" i="10"/>
  <c r="H58" i="10" s="1"/>
  <c r="D32" i="10"/>
  <c r="D20" i="10"/>
  <c r="H20" i="10" s="1"/>
  <c r="D83" i="10"/>
  <c r="H83" i="10" s="1"/>
  <c r="D37" i="10"/>
  <c r="H37" i="10" s="1"/>
  <c r="D22" i="10"/>
  <c r="H22" i="10" s="1"/>
  <c r="D8" i="10"/>
  <c r="H8" i="10" s="1"/>
  <c r="D74" i="10"/>
  <c r="H74" i="10" s="1"/>
  <c r="D17" i="10"/>
  <c r="D40" i="10"/>
  <c r="H40" i="10" s="1"/>
  <c r="D36" i="10"/>
  <c r="H36" i="10" s="1"/>
  <c r="D85" i="10"/>
  <c r="H85" i="10" s="1"/>
  <c r="D70" i="10"/>
  <c r="D56" i="10"/>
  <c r="H56" i="10" s="1"/>
  <c r="D27" i="10"/>
  <c r="H27" i="10" s="1"/>
  <c r="D48" i="10"/>
  <c r="H48" i="10" s="1"/>
  <c r="D52" i="10"/>
  <c r="D7" i="10"/>
  <c r="H7" i="10" s="1"/>
  <c r="D86" i="10"/>
  <c r="H86" i="10" s="1"/>
  <c r="D72" i="10"/>
  <c r="H72" i="10" s="1"/>
  <c r="D43" i="10"/>
  <c r="H43" i="10" s="1"/>
  <c r="D33" i="10"/>
  <c r="H33" i="10" s="1"/>
  <c r="D68" i="10"/>
  <c r="H68" i="10" s="1"/>
  <c r="D23" i="10"/>
  <c r="H23" i="10" s="1"/>
  <c r="D39" i="10"/>
  <c r="D88" i="10"/>
  <c r="D59" i="10"/>
  <c r="H59" i="10" s="1"/>
  <c r="D34" i="10"/>
  <c r="H34" i="10" s="1"/>
  <c r="D45" i="10"/>
  <c r="H45" i="10" s="1"/>
  <c r="D9" i="10"/>
  <c r="H9" i="10" s="1"/>
  <c r="D75" i="10"/>
  <c r="H75" i="10" s="1"/>
  <c r="D60" i="10"/>
  <c r="H60" i="10" s="1"/>
  <c r="D78" i="10"/>
  <c r="D12" i="10"/>
  <c r="D13" i="10"/>
  <c r="H13" i="10" s="1"/>
  <c r="D41" i="10"/>
  <c r="H41" i="10" s="1"/>
  <c r="D28" i="10"/>
  <c r="D81" i="10"/>
  <c r="H81" i="10" s="1"/>
  <c r="D44" i="10"/>
  <c r="H44" i="10" s="1"/>
  <c r="D61" i="10"/>
  <c r="H61" i="10" s="1"/>
  <c r="D57" i="10"/>
  <c r="D76" i="10"/>
  <c r="H76" i="10" s="1"/>
  <c r="D82" i="10"/>
  <c r="H82" i="10" s="1"/>
  <c r="D77" i="10"/>
  <c r="H77" i="10" s="1"/>
  <c r="D30" i="10"/>
  <c r="H30" i="10" s="1"/>
  <c r="D73" i="10"/>
  <c r="H73" i="10" s="1"/>
  <c r="D29" i="10"/>
  <c r="H29" i="10" s="1"/>
  <c r="D84" i="10"/>
  <c r="H84" i="10" s="1"/>
  <c r="D46" i="10"/>
  <c r="H46" i="10" s="1"/>
  <c r="D31" i="10"/>
  <c r="D89" i="10"/>
  <c r="H89" i="10" s="1"/>
  <c r="D93" i="10"/>
  <c r="H93" i="10" s="1"/>
  <c r="P48" i="27"/>
  <c r="R48" i="27" s="1"/>
  <c r="L7" i="10"/>
  <c r="M4" i="10" s="1" a="1"/>
  <c r="H21" i="10"/>
  <c r="H63" i="10"/>
  <c r="H88" i="10"/>
  <c r="H32" i="10"/>
  <c r="H78" i="10"/>
  <c r="H69" i="10"/>
  <c r="H52" i="10"/>
  <c r="H50" i="10"/>
  <c r="H31" i="10"/>
  <c r="H28" i="10"/>
  <c r="H39" i="10"/>
  <c r="H51" i="10"/>
  <c r="H57" i="10"/>
  <c r="H12" i="10"/>
  <c r="H17" i="10"/>
  <c r="H70" i="10"/>
  <c r="H5" i="10"/>
  <c r="H25" i="10"/>
  <c r="M12" i="11"/>
  <c r="Q12" i="11" s="1"/>
  <c r="M63" i="11"/>
  <c r="Q63" i="11" s="1"/>
  <c r="M86" i="11"/>
  <c r="Q86" i="11" s="1"/>
  <c r="M93" i="11"/>
  <c r="Q93" i="11" s="1"/>
  <c r="M42" i="11"/>
  <c r="Q42" i="11" s="1"/>
  <c r="M30" i="11"/>
  <c r="Q30" i="11" s="1"/>
  <c r="M74" i="11"/>
  <c r="Q74" i="11" s="1"/>
  <c r="M68" i="11"/>
  <c r="Q68" i="11" s="1"/>
  <c r="M89" i="11"/>
  <c r="Q89" i="11" s="1"/>
  <c r="M84" i="11"/>
  <c r="Q84" i="11" s="1"/>
  <c r="M23" i="11"/>
  <c r="Q23" i="11" s="1"/>
  <c r="M47" i="11"/>
  <c r="Q47" i="11" s="1"/>
  <c r="M22" i="11"/>
  <c r="Q22" i="11" s="1"/>
  <c r="M62" i="11"/>
  <c r="Q62" i="11" s="1"/>
  <c r="M24" i="11"/>
  <c r="Q24" i="11" s="1"/>
  <c r="M50" i="11"/>
  <c r="Q50" i="11" s="1"/>
  <c r="M51" i="11"/>
  <c r="Q51" i="11" s="1"/>
  <c r="M48" i="11"/>
  <c r="Q48" i="11" s="1"/>
  <c r="M76" i="11"/>
  <c r="Q76" i="11" s="1"/>
  <c r="M53" i="11"/>
  <c r="Q53" i="11" s="1"/>
  <c r="M81" i="11"/>
  <c r="Q81" i="11" s="1"/>
  <c r="M56" i="11"/>
  <c r="Q56" i="11" s="1"/>
  <c r="M55" i="11"/>
  <c r="Q55" i="11" s="1"/>
  <c r="M36" i="11"/>
  <c r="Q36" i="11" s="1"/>
  <c r="M28" i="11"/>
  <c r="Q28" i="11" s="1"/>
  <c r="M71" i="11"/>
  <c r="Q71" i="11" s="1"/>
  <c r="M79" i="11"/>
  <c r="Q79" i="11" s="1"/>
  <c r="M27" i="11"/>
  <c r="Q27" i="11" s="1"/>
  <c r="M14" i="11"/>
  <c r="Q14" i="11" s="1"/>
  <c r="M88" i="11"/>
  <c r="Q88" i="11" s="1"/>
  <c r="M33" i="11"/>
  <c r="Q33" i="11" s="1"/>
  <c r="M17" i="11"/>
  <c r="Q17" i="11" s="1"/>
  <c r="M32" i="11"/>
  <c r="Q32" i="11" s="1"/>
  <c r="M91" i="11"/>
  <c r="Q91" i="11" s="1"/>
  <c r="M67" i="11"/>
  <c r="Q67" i="11" s="1"/>
  <c r="M41" i="11"/>
  <c r="Q41" i="11" s="1"/>
  <c r="M25" i="11"/>
  <c r="Q25" i="11" s="1"/>
  <c r="M60" i="11"/>
  <c r="Q60" i="11" s="1"/>
  <c r="M4" i="11"/>
  <c r="Q4" i="11" s="1"/>
  <c r="M83" i="11"/>
  <c r="Q83" i="11" s="1"/>
  <c r="M20" i="11"/>
  <c r="M31" i="11"/>
  <c r="Q31" i="11" s="1"/>
  <c r="M19" i="11"/>
  <c r="Q19" i="11" s="1"/>
  <c r="M77" i="11"/>
  <c r="Q77" i="11" s="1"/>
  <c r="M57" i="11"/>
  <c r="Q57" i="11" s="1"/>
  <c r="M69" i="11"/>
  <c r="Q69" i="11" s="1"/>
  <c r="M72" i="11"/>
  <c r="Q72" i="11" s="1"/>
  <c r="M52" i="11"/>
  <c r="Q52" i="11" s="1"/>
  <c r="M80" i="11"/>
  <c r="Q80" i="11" s="1"/>
  <c r="M37" i="11"/>
  <c r="Q37" i="11" s="1"/>
  <c r="M34" i="11"/>
  <c r="Q34" i="11" s="1"/>
  <c r="M9" i="11"/>
  <c r="Q9" i="11" s="1"/>
  <c r="M13" i="11"/>
  <c r="Q13" i="11" s="1"/>
  <c r="M59" i="11"/>
  <c r="Q59" i="11" s="1"/>
  <c r="M38" i="11"/>
  <c r="Q38" i="11" s="1"/>
  <c r="M44" i="11"/>
  <c r="Q44" i="11" s="1"/>
  <c r="M87" i="11"/>
  <c r="Q87" i="11" s="1"/>
  <c r="M40" i="11"/>
  <c r="Q40" i="11" s="1"/>
  <c r="M45" i="11"/>
  <c r="Q45" i="11" s="1"/>
  <c r="M18" i="11"/>
  <c r="Q18" i="11" s="1"/>
  <c r="M75" i="11"/>
  <c r="Q75" i="11" s="1"/>
  <c r="M46" i="11"/>
  <c r="Q46" i="11" s="1"/>
  <c r="M15" i="11"/>
  <c r="Q15" i="11" s="1"/>
  <c r="M61" i="11"/>
  <c r="Q61" i="11" s="1"/>
  <c r="M66" i="11"/>
  <c r="Q66" i="11" s="1"/>
  <c r="M85" i="11"/>
  <c r="Q85" i="11" s="1"/>
  <c r="M16" i="11"/>
  <c r="Q16" i="11" s="1"/>
  <c r="M39" i="11"/>
  <c r="Q39" i="11" s="1"/>
  <c r="M54" i="11"/>
  <c r="Q54" i="11" s="1"/>
  <c r="M5" i="11"/>
  <c r="Q5" i="11" s="1"/>
  <c r="M26" i="11"/>
  <c r="Q26" i="11" s="1"/>
  <c r="M82" i="11"/>
  <c r="Q82" i="11" s="1"/>
  <c r="M70" i="11"/>
  <c r="Q70" i="11" s="1"/>
  <c r="M10" i="11"/>
  <c r="Q10" i="11" s="1"/>
  <c r="M6" i="11"/>
  <c r="Q6" i="11" s="1"/>
  <c r="M21" i="11"/>
  <c r="Q21" i="11" s="1"/>
  <c r="M8" i="11"/>
  <c r="Q8" i="11" s="1"/>
  <c r="M11" i="11"/>
  <c r="Q11" i="11" s="1"/>
  <c r="M7" i="11"/>
  <c r="Q7" i="11" s="1"/>
  <c r="M43" i="11"/>
  <c r="Q43" i="11" s="1"/>
  <c r="M92" i="11"/>
  <c r="Q92" i="11" s="1"/>
  <c r="M58" i="11"/>
  <c r="Q58" i="11" s="1"/>
  <c r="M65" i="11"/>
  <c r="Q65" i="11" s="1"/>
  <c r="M29" i="11"/>
  <c r="Q29" i="11" s="1"/>
  <c r="M35" i="11"/>
  <c r="Q35" i="11" s="1"/>
  <c r="M49" i="11"/>
  <c r="Q49" i="11" s="1"/>
  <c r="M78" i="11"/>
  <c r="Q78" i="11" s="1"/>
  <c r="M73" i="11"/>
  <c r="Q73" i="11" s="1"/>
  <c r="M64" i="11"/>
  <c r="Q64" i="11" s="1"/>
  <c r="M90" i="11"/>
  <c r="Q90" i="11" s="1"/>
  <c r="D10" i="11"/>
  <c r="H10" i="11" s="1"/>
  <c r="D79" i="11"/>
  <c r="H79" i="11" s="1"/>
  <c r="D70" i="11"/>
  <c r="H70" i="11" s="1"/>
  <c r="D23" i="11"/>
  <c r="H23" i="11" s="1"/>
  <c r="D9" i="11"/>
  <c r="H9" i="11" s="1"/>
  <c r="D25" i="11"/>
  <c r="H25" i="11" s="1"/>
  <c r="D51" i="11"/>
  <c r="H51" i="11" s="1"/>
  <c r="D76" i="11"/>
  <c r="H76" i="11" s="1"/>
  <c r="D58" i="11"/>
  <c r="H58" i="11" s="1"/>
  <c r="D26" i="11"/>
  <c r="H26" i="11" s="1"/>
  <c r="D40" i="11"/>
  <c r="H40" i="11" s="1"/>
  <c r="D45" i="11"/>
  <c r="H45" i="11" s="1"/>
  <c r="D28" i="11"/>
  <c r="H28" i="11" s="1"/>
  <c r="D15" i="11"/>
  <c r="H15" i="11" s="1"/>
  <c r="D18" i="11"/>
  <c r="H18" i="11" s="1"/>
  <c r="D57" i="11"/>
  <c r="H57" i="11" s="1"/>
  <c r="D87" i="11"/>
  <c r="H87" i="11" s="1"/>
  <c r="D60" i="11"/>
  <c r="H60" i="11" s="1"/>
  <c r="D85" i="11"/>
  <c r="H85" i="11" s="1"/>
  <c r="D34" i="11"/>
  <c r="H34" i="11" s="1"/>
  <c r="D31" i="11"/>
  <c r="H31" i="11" s="1"/>
  <c r="D78" i="11"/>
  <c r="H78" i="11" s="1"/>
  <c r="D37" i="11"/>
  <c r="H37" i="11" s="1"/>
  <c r="D16" i="11"/>
  <c r="H16" i="11" s="1"/>
  <c r="D92" i="11"/>
  <c r="H92" i="11" s="1"/>
  <c r="D13" i="11"/>
  <c r="H13" i="11" s="1"/>
  <c r="D49" i="11"/>
  <c r="H49" i="11" s="1"/>
  <c r="D83" i="11"/>
  <c r="H83" i="11" s="1"/>
  <c r="D72" i="11"/>
  <c r="H72" i="11" s="1"/>
  <c r="D93" i="11"/>
  <c r="H93" i="11" s="1"/>
  <c r="D19" i="11"/>
  <c r="H19" i="11" s="1"/>
  <c r="D6" i="11"/>
  <c r="H6" i="11" s="1"/>
  <c r="D11" i="11"/>
  <c r="H11" i="11" s="1"/>
  <c r="D7" i="11"/>
  <c r="H7" i="11" s="1"/>
  <c r="D71" i="11"/>
  <c r="H71" i="11" s="1"/>
  <c r="D91" i="11"/>
  <c r="H91" i="11" s="1"/>
  <c r="D42" i="11"/>
  <c r="H42" i="11" s="1"/>
  <c r="D20" i="11"/>
  <c r="H20" i="11" s="1"/>
  <c r="D81" i="11"/>
  <c r="H81" i="11" s="1"/>
  <c r="D43" i="11"/>
  <c r="H43" i="11" s="1"/>
  <c r="D90" i="11"/>
  <c r="H90" i="11" s="1"/>
  <c r="D89" i="11"/>
  <c r="H89" i="11" s="1"/>
  <c r="D36" i="11"/>
  <c r="H36" i="11" s="1"/>
  <c r="D50" i="11"/>
  <c r="H50" i="11" s="1"/>
  <c r="D80" i="11"/>
  <c r="H80" i="11" s="1"/>
  <c r="D21" i="11"/>
  <c r="D75" i="11"/>
  <c r="H75" i="11" s="1"/>
  <c r="D55" i="11"/>
  <c r="H55" i="11" s="1"/>
  <c r="D63" i="11"/>
  <c r="H63" i="11" s="1"/>
  <c r="D64" i="11"/>
  <c r="H64" i="11" s="1"/>
  <c r="D82" i="11"/>
  <c r="H82" i="11" s="1"/>
  <c r="D22" i="11"/>
  <c r="H22" i="11" s="1"/>
  <c r="D88" i="11"/>
  <c r="H88" i="11" s="1"/>
  <c r="D39" i="11"/>
  <c r="H39" i="11" s="1"/>
  <c r="D56" i="11"/>
  <c r="H56" i="11" s="1"/>
  <c r="D84" i="11"/>
  <c r="H84" i="11" s="1"/>
  <c r="D48" i="11"/>
  <c r="H48" i="11" s="1"/>
  <c r="D47" i="11"/>
  <c r="H47" i="11" s="1"/>
  <c r="D35" i="11"/>
  <c r="H35" i="11" s="1"/>
  <c r="D32" i="11"/>
  <c r="H32" i="11" s="1"/>
  <c r="D65" i="11"/>
  <c r="H65" i="11" s="1"/>
  <c r="D77" i="11"/>
  <c r="H77" i="11" s="1"/>
  <c r="D86" i="11"/>
  <c r="H86" i="11" s="1"/>
  <c r="D69" i="11"/>
  <c r="H69" i="11" s="1"/>
  <c r="D73" i="11"/>
  <c r="H73" i="11" s="1"/>
  <c r="D17" i="11"/>
  <c r="H17" i="11" s="1"/>
  <c r="D30" i="11"/>
  <c r="H30" i="11" s="1"/>
  <c r="D74" i="11"/>
  <c r="H74" i="11" s="1"/>
  <c r="D66" i="11"/>
  <c r="H66" i="11" s="1"/>
  <c r="D5" i="11"/>
  <c r="H5" i="11" s="1"/>
  <c r="D61" i="11"/>
  <c r="H61" i="11" s="1"/>
  <c r="D46" i="11"/>
  <c r="H46" i="11" s="1"/>
  <c r="D41" i="11"/>
  <c r="H41" i="11" s="1"/>
  <c r="D68" i="11"/>
  <c r="H68" i="11" s="1"/>
  <c r="D62" i="11"/>
  <c r="H62" i="11" s="1"/>
  <c r="D8" i="11"/>
  <c r="H8" i="11" s="1"/>
  <c r="D12" i="11"/>
  <c r="H12" i="11" s="1"/>
  <c r="D4" i="11"/>
  <c r="H4" i="11" s="1"/>
  <c r="D44" i="11"/>
  <c r="H44" i="11" s="1"/>
  <c r="D52" i="11"/>
  <c r="H52" i="11" s="1"/>
  <c r="D59" i="11"/>
  <c r="H59" i="11" s="1"/>
  <c r="D29" i="11"/>
  <c r="H29" i="11" s="1"/>
  <c r="D33" i="11"/>
  <c r="H33" i="11" s="1"/>
  <c r="D67" i="11"/>
  <c r="H67" i="11" s="1"/>
  <c r="D38" i="11"/>
  <c r="H38" i="11" s="1"/>
  <c r="D24" i="11"/>
  <c r="H24" i="11" s="1"/>
  <c r="D27" i="11"/>
  <c r="H27" i="11" s="1"/>
  <c r="D53" i="11"/>
  <c r="H53" i="11" s="1"/>
  <c r="D14" i="11"/>
  <c r="H14" i="11" s="1"/>
  <c r="D54" i="11"/>
  <c r="H54" i="11" s="1"/>
  <c r="P49" i="27"/>
  <c r="R49" i="27" s="1"/>
  <c r="O50" i="27"/>
  <c r="AH6" i="27"/>
  <c r="N20" i="11"/>
  <c r="E21" i="11"/>
  <c r="M12" i="10" l="1"/>
  <c r="Q12" i="10" s="1"/>
  <c r="M40" i="10"/>
  <c r="Q40" i="10" s="1"/>
  <c r="M39" i="10"/>
  <c r="Q39" i="10" s="1"/>
  <c r="M26" i="10"/>
  <c r="Q26" i="10" s="1"/>
  <c r="M92" i="10"/>
  <c r="Q92" i="10" s="1"/>
  <c r="M81" i="10"/>
  <c r="Q81" i="10" s="1"/>
  <c r="M88" i="10"/>
  <c r="Q88" i="10" s="1"/>
  <c r="M77" i="10"/>
  <c r="Q77" i="10" s="1"/>
  <c r="M42" i="10"/>
  <c r="Q42" i="10" s="1"/>
  <c r="M90" i="10"/>
  <c r="Q90" i="10" s="1"/>
  <c r="M50" i="10"/>
  <c r="Q50" i="10" s="1"/>
  <c r="M10" i="10"/>
  <c r="Q10" i="10" s="1"/>
  <c r="M53" i="10"/>
  <c r="Q53" i="10" s="1"/>
  <c r="M55" i="10"/>
  <c r="Q55" i="10" s="1"/>
  <c r="M4" i="10"/>
  <c r="Q4" i="10" s="1"/>
  <c r="M25" i="10"/>
  <c r="Q25" i="10" s="1"/>
  <c r="M78" i="10"/>
  <c r="Q78" i="10" s="1"/>
  <c r="M66" i="10"/>
  <c r="Q66" i="10" s="1"/>
  <c r="M57" i="10"/>
  <c r="Q57" i="10" s="1"/>
  <c r="M21" i="10"/>
  <c r="Q21" i="10" s="1"/>
  <c r="M15" i="10"/>
  <c r="Q15" i="10" s="1"/>
  <c r="M19" i="10"/>
  <c r="Q19" i="10" s="1"/>
  <c r="M46" i="10"/>
  <c r="Q46" i="10" s="1"/>
  <c r="M63" i="10"/>
  <c r="Q63" i="10" s="1"/>
  <c r="M41" i="10"/>
  <c r="Q41" i="10" s="1"/>
  <c r="M91" i="10"/>
  <c r="Q91" i="10" s="1"/>
  <c r="M33" i="10"/>
  <c r="Q33" i="10" s="1"/>
  <c r="M54" i="10"/>
  <c r="Q54" i="10" s="1"/>
  <c r="M7" i="10"/>
  <c r="Q7" i="10" s="1"/>
  <c r="M28" i="10"/>
  <c r="Q28" i="10" s="1"/>
  <c r="M68" i="10"/>
  <c r="Q68" i="10" s="1"/>
  <c r="M18" i="10"/>
  <c r="Q18" i="10" s="1"/>
  <c r="M79" i="10"/>
  <c r="Q79" i="10" s="1"/>
  <c r="M67" i="10"/>
  <c r="Q67" i="10" s="1"/>
  <c r="M56" i="10"/>
  <c r="Q56" i="10" s="1"/>
  <c r="M82" i="10"/>
  <c r="Q82" i="10" s="1"/>
  <c r="M23" i="10"/>
  <c r="Q23" i="10" s="1"/>
  <c r="M16" i="10"/>
  <c r="Q16" i="10" s="1"/>
  <c r="M27" i="10"/>
  <c r="Q27" i="10" s="1"/>
  <c r="M85" i="10"/>
  <c r="Q85" i="10" s="1"/>
  <c r="M60" i="10"/>
  <c r="Q60" i="10" s="1"/>
  <c r="M5" i="10"/>
  <c r="Q5" i="10" s="1"/>
  <c r="M49" i="10"/>
  <c r="Q49" i="10" s="1"/>
  <c r="M35" i="10"/>
  <c r="Q35" i="10" s="1"/>
  <c r="M34" i="10"/>
  <c r="Q34" i="10" s="1"/>
  <c r="M14" i="10"/>
  <c r="Q14" i="10" s="1"/>
  <c r="M72" i="10"/>
  <c r="Q72" i="10" s="1"/>
  <c r="M22" i="10"/>
  <c r="Q22" i="10" s="1"/>
  <c r="M17" i="10"/>
  <c r="Q17" i="10" s="1"/>
  <c r="M51" i="10"/>
  <c r="Q51" i="10" s="1"/>
  <c r="M43" i="10"/>
  <c r="Q43" i="10" s="1"/>
  <c r="M65" i="10"/>
  <c r="Q65" i="10" s="1"/>
  <c r="M8" i="10"/>
  <c r="Q8" i="10" s="1"/>
  <c r="M64" i="10"/>
  <c r="Q64" i="10" s="1"/>
  <c r="M13" i="10"/>
  <c r="Q13" i="10" s="1"/>
  <c r="M76" i="10"/>
  <c r="Q76" i="10" s="1"/>
  <c r="M36" i="10"/>
  <c r="Q36" i="10" s="1"/>
  <c r="M62" i="10"/>
  <c r="Q62" i="10" s="1"/>
  <c r="M37" i="10"/>
  <c r="Q37" i="10" s="1"/>
  <c r="M83" i="10"/>
  <c r="Q83" i="10" s="1"/>
  <c r="M45" i="10"/>
  <c r="Q45" i="10" s="1"/>
  <c r="M93" i="10"/>
  <c r="Q93" i="10" s="1"/>
  <c r="M59" i="10"/>
  <c r="Q59" i="10" s="1"/>
  <c r="M11" i="10"/>
  <c r="Q11" i="10" s="1"/>
  <c r="M74" i="10"/>
  <c r="Q74" i="10" s="1"/>
  <c r="M52" i="10"/>
  <c r="Q52" i="10" s="1"/>
  <c r="M71" i="10"/>
  <c r="Q71" i="10" s="1"/>
  <c r="M75" i="10"/>
  <c r="Q75" i="10" s="1"/>
  <c r="M38" i="10"/>
  <c r="Q38" i="10" s="1"/>
  <c r="M32" i="10"/>
  <c r="Q32" i="10" s="1"/>
  <c r="M44" i="10"/>
  <c r="Q44" i="10" s="1"/>
  <c r="M84" i="10"/>
  <c r="Q84" i="10" s="1"/>
  <c r="M70" i="10"/>
  <c r="Q70" i="10" s="1"/>
  <c r="M69" i="10"/>
  <c r="Q69" i="10" s="1"/>
  <c r="M89" i="10"/>
  <c r="Q89" i="10" s="1"/>
  <c r="M29" i="10"/>
  <c r="Q29" i="10" s="1"/>
  <c r="M48" i="10"/>
  <c r="Q48" i="10" s="1"/>
  <c r="M30" i="10"/>
  <c r="Q30" i="10" s="1"/>
  <c r="M9" i="10"/>
  <c r="Q9" i="10" s="1"/>
  <c r="M31" i="10"/>
  <c r="Q31" i="10" s="1"/>
  <c r="M86" i="10"/>
  <c r="Q86" i="10" s="1"/>
  <c r="M6" i="10"/>
  <c r="Q6" i="10" s="1"/>
  <c r="M58" i="10"/>
  <c r="Q58" i="10" s="1"/>
  <c r="M87" i="10"/>
  <c r="Q87" i="10" s="1"/>
  <c r="M47" i="10"/>
  <c r="Q47" i="10" s="1"/>
  <c r="M73" i="10"/>
  <c r="Q73" i="10" s="1"/>
  <c r="M61" i="10"/>
  <c r="Q61" i="10" s="1"/>
  <c r="M24" i="10"/>
  <c r="Q24" i="10" s="1"/>
  <c r="M20" i="10"/>
  <c r="Q20" i="10" s="1"/>
  <c r="M80" i="10"/>
  <c r="Q80" i="10" s="1"/>
  <c r="I21" i="11"/>
  <c r="R20" i="11"/>
  <c r="H21" i="11"/>
  <c r="C14" i="11" s="1"/>
  <c r="Q20" i="11"/>
  <c r="L14" i="11" s="1"/>
  <c r="O51" i="27"/>
  <c r="P50" i="27"/>
  <c r="R50" i="27" s="1"/>
  <c r="C14" i="10"/>
  <c r="L14" i="10" l="1"/>
  <c r="P51" i="27"/>
  <c r="R51" i="27" s="1"/>
  <c r="O52" i="27"/>
  <c r="AH12" i="27"/>
  <c r="P52" i="27" l="1"/>
  <c r="R52" i="27" s="1"/>
  <c r="O53" i="27"/>
  <c r="P53" i="27" l="1"/>
  <c r="R53" i="27" s="1"/>
  <c r="O54" i="27"/>
  <c r="S23" i="27" l="1"/>
  <c r="P54" i="27"/>
  <c r="R54" i="27" s="1"/>
  <c r="O55" i="27"/>
  <c r="O56" i="27" l="1"/>
  <c r="P55" i="27"/>
  <c r="R55" i="27" s="1"/>
  <c r="P56" i="27" l="1"/>
  <c r="R56" i="27" s="1"/>
  <c r="O57" i="27"/>
  <c r="P57" i="27" l="1"/>
  <c r="R57" i="27" s="1"/>
  <c r="O58" i="27"/>
  <c r="P58" i="27" l="1"/>
  <c r="R58" i="27" s="1"/>
  <c r="O59" i="27"/>
  <c r="P59" i="27" l="1"/>
  <c r="R59" i="27" s="1"/>
  <c r="O60" i="27"/>
  <c r="P60" i="27" l="1"/>
  <c r="R60" i="27" s="1"/>
  <c r="O61" i="27"/>
  <c r="P61" i="27" l="1"/>
  <c r="R61" i="27" s="1"/>
  <c r="O62" i="27"/>
  <c r="P62" i="27" l="1"/>
  <c r="R62" i="27" s="1"/>
  <c r="O63" i="27"/>
  <c r="P63" i="27" l="1"/>
  <c r="R63" i="27" s="1"/>
  <c r="O64" i="27"/>
  <c r="I52" i="27"/>
  <c r="L52" i="27" s="1"/>
  <c r="S53" i="27" s="1"/>
  <c r="I60" i="27"/>
  <c r="L60" i="27" s="1"/>
  <c r="S61" i="27" s="1"/>
  <c r="I68" i="27"/>
  <c r="L68" i="27" s="1"/>
  <c r="I53" i="27"/>
  <c r="L53" i="27" s="1"/>
  <c r="I61" i="27"/>
  <c r="L61" i="27" s="1"/>
  <c r="S62" i="27" s="1"/>
  <c r="I69" i="27"/>
  <c r="L69" i="27" s="1"/>
  <c r="I48" i="27"/>
  <c r="L48" i="27" s="1"/>
  <c r="I64" i="27"/>
  <c r="L64" i="27" s="1"/>
  <c r="I57" i="27"/>
  <c r="L57" i="27" s="1"/>
  <c r="S58" i="27" s="1"/>
  <c r="I73" i="27"/>
  <c r="L73" i="27" s="1"/>
  <c r="I58" i="27"/>
  <c r="L58" i="27" s="1"/>
  <c r="S59" i="27" s="1"/>
  <c r="I66" i="27"/>
  <c r="L66" i="27" s="1"/>
  <c r="I74" i="27"/>
  <c r="L74" i="27" s="1"/>
  <c r="I51" i="27"/>
  <c r="L51" i="27" s="1"/>
  <c r="S52" i="27" s="1"/>
  <c r="I59" i="27"/>
  <c r="L59" i="27" s="1"/>
  <c r="S60" i="27" s="1"/>
  <c r="I67" i="27"/>
  <c r="L67" i="27" s="1"/>
  <c r="I75" i="27"/>
  <c r="L75" i="27" s="1"/>
  <c r="I46" i="27"/>
  <c r="L46" i="27" s="1"/>
  <c r="I54" i="27"/>
  <c r="L54" i="27" s="1"/>
  <c r="I62" i="27"/>
  <c r="L62" i="27" s="1"/>
  <c r="I70" i="27"/>
  <c r="L70" i="27" s="1"/>
  <c r="I56" i="27"/>
  <c r="L56" i="27" s="1"/>
  <c r="I49" i="27"/>
  <c r="L49" i="27" s="1"/>
  <c r="S50" i="27" s="1"/>
  <c r="I65" i="27"/>
  <c r="L65" i="27" s="1"/>
  <c r="I50" i="27"/>
  <c r="L50" i="27" s="1"/>
  <c r="S51" i="27" s="1"/>
  <c r="I47" i="27"/>
  <c r="L47" i="27" s="1"/>
  <c r="S48" i="27" s="1"/>
  <c r="I55" i="27"/>
  <c r="L55" i="27" s="1"/>
  <c r="I63" i="27"/>
  <c r="L63" i="27" s="1"/>
  <c r="I71" i="27"/>
  <c r="L71" i="27" s="1"/>
  <c r="I72" i="27"/>
  <c r="L72" i="27" s="1"/>
  <c r="S47" i="27" l="1"/>
  <c r="S49" i="27"/>
  <c r="S54" i="27"/>
  <c r="S55" i="27"/>
  <c r="S57" i="27"/>
  <c r="S56" i="27"/>
  <c r="S63" i="27"/>
  <c r="P64" i="27"/>
  <c r="R64" i="27" s="1"/>
  <c r="O65" i="27"/>
  <c r="R58" i="11" l="1"/>
  <c r="I88" i="11"/>
  <c r="I54" i="11"/>
  <c r="I87" i="11"/>
  <c r="R78" i="11"/>
  <c r="I93" i="11"/>
  <c r="I77" i="11"/>
  <c r="I36" i="11"/>
  <c r="I4" i="11"/>
  <c r="I92" i="11"/>
  <c r="I58" i="11"/>
  <c r="R92" i="11"/>
  <c r="R40" i="11"/>
  <c r="R62" i="11"/>
  <c r="R63" i="11"/>
  <c r="R51" i="11"/>
  <c r="I78" i="11"/>
  <c r="R19" i="11"/>
  <c r="R13" i="11"/>
  <c r="I7" i="11"/>
  <c r="R45" i="11"/>
  <c r="R60" i="11"/>
  <c r="I64" i="11"/>
  <c r="I45" i="11"/>
  <c r="R11" i="11"/>
  <c r="R65" i="11"/>
  <c r="R29" i="11"/>
  <c r="I30" i="11"/>
  <c r="I13" i="11"/>
  <c r="I22" i="11"/>
  <c r="R27" i="11"/>
  <c r="I79" i="11"/>
  <c r="R71" i="11"/>
  <c r="R41" i="11"/>
  <c r="I14" i="11"/>
  <c r="I26" i="11"/>
  <c r="R67" i="11"/>
  <c r="I34" i="11"/>
  <c r="R17" i="11"/>
  <c r="I89" i="11"/>
  <c r="R44" i="11"/>
  <c r="R61" i="11"/>
  <c r="I60" i="11"/>
  <c r="I90" i="11"/>
  <c r="R39" i="11"/>
  <c r="I35" i="11"/>
  <c r="I72" i="11"/>
  <c r="R35" i="11"/>
  <c r="I20" i="11"/>
  <c r="I25" i="11"/>
  <c r="R76" i="11"/>
  <c r="R10" i="11"/>
  <c r="I15" i="11"/>
  <c r="R55" i="11"/>
  <c r="I38" i="11"/>
  <c r="R73" i="11"/>
  <c r="R46" i="11"/>
  <c r="R31" i="11"/>
  <c r="I55" i="11"/>
  <c r="I74" i="11"/>
  <c r="R5" i="11"/>
  <c r="R32" i="11"/>
  <c r="R42" i="11"/>
  <c r="I83" i="11"/>
  <c r="I12" i="11"/>
  <c r="I17" i="11"/>
  <c r="I69" i="11"/>
  <c r="I44" i="11"/>
  <c r="R91" i="11"/>
  <c r="R79" i="11"/>
  <c r="I41" i="11"/>
  <c r="I33" i="11"/>
  <c r="R57" i="11"/>
  <c r="I75" i="11"/>
  <c r="I82" i="11"/>
  <c r="R52" i="11"/>
  <c r="I31" i="11"/>
  <c r="R16" i="11"/>
  <c r="I23" i="11"/>
  <c r="R33" i="11"/>
  <c r="I8" i="11"/>
  <c r="I52" i="11"/>
  <c r="R54" i="11"/>
  <c r="I84" i="11"/>
  <c r="I37" i="11"/>
  <c r="R86" i="11"/>
  <c r="I40" i="11"/>
  <c r="R82" i="11"/>
  <c r="I65" i="11"/>
  <c r="I46" i="11"/>
  <c r="I68" i="11"/>
  <c r="I47" i="11"/>
  <c r="R14" i="11"/>
  <c r="R9" i="11"/>
  <c r="R59" i="11"/>
  <c r="I49" i="11"/>
  <c r="R72" i="11"/>
  <c r="I71" i="11"/>
  <c r="I85" i="11"/>
  <c r="I67" i="11"/>
  <c r="R85" i="11"/>
  <c r="I16" i="11"/>
  <c r="R8" i="11"/>
  <c r="R87" i="11"/>
  <c r="R88" i="11"/>
  <c r="R30" i="11"/>
  <c r="I76" i="11"/>
  <c r="R22" i="11"/>
  <c r="I91" i="11"/>
  <c r="I42" i="11"/>
  <c r="R80" i="11"/>
  <c r="R64" i="11"/>
  <c r="I43" i="11"/>
  <c r="R26" i="11"/>
  <c r="I48" i="11"/>
  <c r="R15" i="11"/>
  <c r="I6" i="11"/>
  <c r="R75" i="11"/>
  <c r="I57" i="11"/>
  <c r="I73" i="11"/>
  <c r="R38" i="11"/>
  <c r="I80" i="11"/>
  <c r="R68" i="11"/>
  <c r="I70" i="11"/>
  <c r="I56" i="11"/>
  <c r="R53" i="11"/>
  <c r="I63" i="11"/>
  <c r="R81" i="11"/>
  <c r="R23" i="11"/>
  <c r="R24" i="11"/>
  <c r="R34" i="11"/>
  <c r="R48" i="11"/>
  <c r="R56" i="11"/>
  <c r="R70" i="11"/>
  <c r="I24" i="11"/>
  <c r="R21" i="11"/>
  <c r="I28" i="11"/>
  <c r="I18" i="11"/>
  <c r="I5" i="11"/>
  <c r="I50" i="11"/>
  <c r="I32" i="11"/>
  <c r="I59" i="11"/>
  <c r="R43" i="11"/>
  <c r="R7" i="11"/>
  <c r="I62" i="11"/>
  <c r="I27" i="11"/>
  <c r="R74" i="11"/>
  <c r="R93" i="11"/>
  <c r="I19" i="11"/>
  <c r="R66" i="11"/>
  <c r="R6" i="11"/>
  <c r="R18" i="11"/>
  <c r="R90" i="11"/>
  <c r="I51" i="11"/>
  <c r="I39" i="11"/>
  <c r="R28" i="11"/>
  <c r="R37" i="11"/>
  <c r="R77" i="11"/>
  <c r="I86" i="11"/>
  <c r="I61" i="11"/>
  <c r="R69" i="11"/>
  <c r="I66" i="11"/>
  <c r="I81" i="11"/>
  <c r="I29" i="11"/>
  <c r="R83" i="11"/>
  <c r="R12" i="11"/>
  <c r="R89" i="11"/>
  <c r="R84" i="11"/>
  <c r="I9" i="11"/>
  <c r="R49" i="11"/>
  <c r="R50" i="11"/>
  <c r="R36" i="11"/>
  <c r="I53" i="11"/>
  <c r="I10" i="11"/>
  <c r="I11" i="11"/>
  <c r="R25" i="11"/>
  <c r="R47" i="11"/>
  <c r="R4" i="11"/>
  <c r="P65" i="27"/>
  <c r="O66" i="27"/>
  <c r="S64" i="27"/>
  <c r="N27" i="11"/>
  <c r="E19" i="10"/>
  <c r="N11" i="10"/>
  <c r="E91" i="11"/>
  <c r="E24" i="10"/>
  <c r="E81" i="10"/>
  <c r="E28" i="11"/>
  <c r="E42" i="10"/>
  <c r="E53" i="10"/>
  <c r="N7" i="11"/>
  <c r="N86" i="10"/>
  <c r="E33" i="10"/>
  <c r="E73" i="11"/>
  <c r="E54" i="11"/>
  <c r="N60" i="11"/>
  <c r="N45" i="11"/>
  <c r="N72" i="10"/>
  <c r="N17" i="11"/>
  <c r="N23" i="10"/>
  <c r="E75" i="10"/>
  <c r="N18" i="11"/>
  <c r="E37" i="11"/>
  <c r="N85" i="11"/>
  <c r="E78" i="11"/>
  <c r="E4" i="10"/>
  <c r="N10" i="11"/>
  <c r="E70" i="10"/>
  <c r="N21" i="11"/>
  <c r="N7" i="10"/>
  <c r="E79" i="11"/>
  <c r="E11" i="10"/>
  <c r="N53" i="11"/>
  <c r="E7" i="11"/>
  <c r="E81" i="11"/>
  <c r="N50" i="11"/>
  <c r="E70" i="11"/>
  <c r="N55" i="11"/>
  <c r="N87" i="10"/>
  <c r="E29" i="11"/>
  <c r="N68" i="11"/>
  <c r="N70" i="10"/>
  <c r="N54" i="11"/>
  <c r="E16" i="10"/>
  <c r="N37" i="10"/>
  <c r="N91" i="11"/>
  <c r="E24" i="11"/>
  <c r="E73" i="10"/>
  <c r="N78" i="10"/>
  <c r="N44" i="11"/>
  <c r="E77" i="11"/>
  <c r="E61" i="11"/>
  <c r="E10" i="11"/>
  <c r="E38" i="11"/>
  <c r="E47" i="11"/>
  <c r="N38" i="11"/>
  <c r="N15" i="10"/>
  <c r="E59" i="10"/>
  <c r="N76" i="11"/>
  <c r="E64" i="11"/>
  <c r="N46" i="11"/>
  <c r="E40" i="10"/>
  <c r="E12" i="10"/>
  <c r="E85" i="11"/>
  <c r="E65" i="10"/>
  <c r="N42" i="10"/>
  <c r="N12" i="10"/>
  <c r="N51" i="10"/>
  <c r="E50" i="11"/>
  <c r="E64" i="10"/>
  <c r="E76" i="11"/>
  <c r="N72" i="11"/>
  <c r="E16" i="11"/>
  <c r="E35" i="11"/>
  <c r="N47" i="11"/>
  <c r="E38" i="10"/>
  <c r="N62" i="10"/>
  <c r="N89" i="11"/>
  <c r="N12" i="11"/>
  <c r="E66" i="10"/>
  <c r="E48" i="11"/>
  <c r="E89" i="11"/>
  <c r="E56" i="11"/>
  <c r="N59" i="10"/>
  <c r="N6" i="11"/>
  <c r="E41" i="11"/>
  <c r="E32" i="11"/>
  <c r="N57" i="10"/>
  <c r="N75" i="11"/>
  <c r="N53" i="10"/>
  <c r="N91" i="10"/>
  <c r="E92" i="11"/>
  <c r="E66" i="11"/>
  <c r="E9" i="10"/>
  <c r="N24" i="11"/>
  <c r="N57" i="11"/>
  <c r="E8" i="10"/>
  <c r="N90" i="10"/>
  <c r="E34" i="10"/>
  <c r="N65" i="10"/>
  <c r="N5" i="11"/>
  <c r="E39" i="10"/>
  <c r="N79" i="11"/>
  <c r="N8" i="10"/>
  <c r="N71" i="11"/>
  <c r="N66" i="11"/>
  <c r="E83" i="11"/>
  <c r="N52" i="10"/>
  <c r="E5" i="11"/>
  <c r="E37" i="10"/>
  <c r="N24" i="10"/>
  <c r="N80" i="11"/>
  <c r="E87" i="11"/>
  <c r="E33" i="11"/>
  <c r="N71" i="10"/>
  <c r="N77" i="11"/>
  <c r="E53" i="11"/>
  <c r="E30" i="10"/>
  <c r="N82" i="11"/>
  <c r="E47" i="10"/>
  <c r="N31" i="11"/>
  <c r="N13" i="11"/>
  <c r="N21" i="10"/>
  <c r="E62" i="11"/>
  <c r="E20" i="11"/>
  <c r="E45" i="11"/>
  <c r="N84" i="10"/>
  <c r="E45" i="10"/>
  <c r="N93" i="11"/>
  <c r="N34" i="11"/>
  <c r="E40" i="11"/>
  <c r="E60" i="11"/>
  <c r="N38" i="10"/>
  <c r="N56" i="10"/>
  <c r="N88" i="11"/>
  <c r="E26" i="10"/>
  <c r="N67" i="11"/>
  <c r="N10" i="10"/>
  <c r="E6" i="11"/>
  <c r="N63" i="10"/>
  <c r="N4" i="10"/>
  <c r="E23" i="11"/>
  <c r="N83" i="11"/>
  <c r="N52" i="11"/>
  <c r="N18" i="10"/>
  <c r="N22" i="10"/>
  <c r="E44" i="10"/>
  <c r="E27" i="10"/>
  <c r="N26" i="10"/>
  <c r="N32" i="10"/>
  <c r="E18" i="11"/>
  <c r="E57" i="10"/>
  <c r="E31" i="11"/>
  <c r="E58" i="10"/>
  <c r="N40" i="11"/>
  <c r="N14" i="11"/>
  <c r="N5" i="10"/>
  <c r="N22" i="11"/>
  <c r="N85" i="10"/>
  <c r="N39" i="10"/>
  <c r="E50" i="10"/>
  <c r="E6" i="10"/>
  <c r="E75" i="11"/>
  <c r="E15" i="11"/>
  <c r="E63" i="11"/>
  <c r="N49" i="10"/>
  <c r="N41" i="10"/>
  <c r="N90" i="11"/>
  <c r="E93" i="11"/>
  <c r="E22" i="11"/>
  <c r="N64" i="11"/>
  <c r="E23" i="10"/>
  <c r="E83" i="10"/>
  <c r="N78" i="11"/>
  <c r="E14" i="11"/>
  <c r="E74" i="11"/>
  <c r="E85" i="10"/>
  <c r="N13" i="10"/>
  <c r="N75" i="10"/>
  <c r="N29" i="11"/>
  <c r="E77" i="10"/>
  <c r="N33" i="10"/>
  <c r="E13" i="11"/>
  <c r="N11" i="11"/>
  <c r="N93" i="10"/>
  <c r="N23" i="11"/>
  <c r="N64" i="10"/>
  <c r="E76" i="10"/>
  <c r="E80" i="11"/>
  <c r="E59" i="11"/>
  <c r="N58" i="11"/>
  <c r="N19" i="10"/>
  <c r="N62" i="11"/>
  <c r="E49" i="10"/>
  <c r="N59" i="11"/>
  <c r="E65" i="11"/>
  <c r="N77" i="10"/>
  <c r="N70" i="11"/>
  <c r="E46" i="11"/>
  <c r="E78" i="10"/>
  <c r="N68" i="10"/>
  <c r="E48" i="10"/>
  <c r="N92" i="10"/>
  <c r="E10" i="10"/>
  <c r="E67" i="11"/>
  <c r="E68" i="11"/>
  <c r="N65" i="11"/>
  <c r="N25" i="11"/>
  <c r="E18" i="10"/>
  <c r="L15" i="11"/>
  <c r="E71" i="11"/>
  <c r="E72" i="10"/>
  <c r="E22" i="10"/>
  <c r="N73" i="10"/>
  <c r="N36" i="10"/>
  <c r="N35" i="10"/>
  <c r="E5" i="10"/>
  <c r="N82" i="10"/>
  <c r="E84" i="11"/>
  <c r="N79" i="10"/>
  <c r="N81" i="10"/>
  <c r="E42" i="11"/>
  <c r="E51" i="11"/>
  <c r="E87" i="10"/>
  <c r="E82" i="10"/>
  <c r="E21" i="10"/>
  <c r="E74" i="10"/>
  <c r="N28" i="11"/>
  <c r="N36" i="11"/>
  <c r="N37" i="11"/>
  <c r="N35" i="11"/>
  <c r="E69" i="10"/>
  <c r="E54" i="10"/>
  <c r="E41" i="10"/>
  <c r="N43" i="10"/>
  <c r="N27" i="10"/>
  <c r="E11" i="11"/>
  <c r="E36" i="10"/>
  <c r="E93" i="10"/>
  <c r="N50" i="10"/>
  <c r="N20" i="10"/>
  <c r="N47" i="10"/>
  <c r="N58" i="10"/>
  <c r="E67" i="10"/>
  <c r="N42" i="11"/>
  <c r="E43" i="10"/>
  <c r="N45" i="10"/>
  <c r="E55" i="11"/>
  <c r="N81" i="11"/>
  <c r="E31" i="10"/>
  <c r="E20" i="10"/>
  <c r="N29" i="10"/>
  <c r="N6" i="10"/>
  <c r="N69" i="11"/>
  <c r="N32" i="11"/>
  <c r="N51" i="11"/>
  <c r="N56" i="11"/>
  <c r="N66" i="10"/>
  <c r="N61" i="11"/>
  <c r="N9" i="11"/>
  <c r="E57" i="11"/>
  <c r="N80" i="10"/>
  <c r="N76" i="10"/>
  <c r="E92" i="10"/>
  <c r="N46" i="10"/>
  <c r="E44" i="11"/>
  <c r="E51" i="10"/>
  <c r="N88" i="10"/>
  <c r="N49" i="11"/>
  <c r="N83" i="10"/>
  <c r="E35" i="10"/>
  <c r="E36" i="11"/>
  <c r="E72" i="11"/>
  <c r="N14" i="10"/>
  <c r="N61" i="10"/>
  <c r="E60" i="10"/>
  <c r="E28" i="10"/>
  <c r="E71" i="10"/>
  <c r="E8" i="11"/>
  <c r="E52" i="11"/>
  <c r="N16" i="10"/>
  <c r="E55" i="10"/>
  <c r="E13" i="10"/>
  <c r="N86" i="11"/>
  <c r="N60" i="10"/>
  <c r="N17" i="10"/>
  <c r="N55" i="10"/>
  <c r="E90" i="11"/>
  <c r="E15" i="10"/>
  <c r="E7" i="10"/>
  <c r="N34" i="10"/>
  <c r="E88" i="11"/>
  <c r="N4" i="11"/>
  <c r="E25" i="10"/>
  <c r="N74" i="11"/>
  <c r="E46" i="10"/>
  <c r="E58" i="11"/>
  <c r="N9" i="10"/>
  <c r="N87" i="11"/>
  <c r="N31" i="10"/>
  <c r="E79" i="10"/>
  <c r="N48" i="11"/>
  <c r="N69" i="10"/>
  <c r="N19" i="11"/>
  <c r="N92" i="11"/>
  <c r="E49" i="11"/>
  <c r="N33" i="11"/>
  <c r="N26" i="11"/>
  <c r="E43" i="11"/>
  <c r="E29" i="10"/>
  <c r="N54" i="10"/>
  <c r="E4" i="11"/>
  <c r="E82" i="11"/>
  <c r="N40" i="10"/>
  <c r="N63" i="11"/>
  <c r="E86" i="11"/>
  <c r="E17" i="10"/>
  <c r="E12" i="11"/>
  <c r="E39" i="11"/>
  <c r="N28" i="10"/>
  <c r="N89" i="10"/>
  <c r="E80" i="10"/>
  <c r="N25" i="10"/>
  <c r="E26" i="11"/>
  <c r="E19" i="11"/>
  <c r="E14" i="10"/>
  <c r="E30" i="11"/>
  <c r="N67" i="10"/>
  <c r="E27" i="11"/>
  <c r="E86" i="10"/>
  <c r="E89" i="10"/>
  <c r="E90" i="10"/>
  <c r="N43" i="11"/>
  <c r="E88" i="10"/>
  <c r="N48" i="10"/>
  <c r="E61" i="10"/>
  <c r="N30" i="11"/>
  <c r="E34" i="11"/>
  <c r="N74" i="10"/>
  <c r="N41" i="11"/>
  <c r="E69" i="11"/>
  <c r="E62" i="10"/>
  <c r="E56" i="10"/>
  <c r="E9" i="11"/>
  <c r="E25" i="11"/>
  <c r="E32" i="10"/>
  <c r="N73" i="11"/>
  <c r="E52" i="10"/>
  <c r="E84" i="10"/>
  <c r="N44" i="10"/>
  <c r="N30" i="10"/>
  <c r="E91" i="10"/>
  <c r="C15" i="11"/>
  <c r="N39" i="11"/>
  <c r="E17" i="11"/>
  <c r="N15" i="11"/>
  <c r="N8" i="11"/>
  <c r="E68" i="10"/>
  <c r="N84" i="11"/>
  <c r="N16" i="11"/>
  <c r="E63" i="10"/>
  <c r="R78" i="10" l="1"/>
  <c r="R61" i="10"/>
  <c r="R34" i="10"/>
  <c r="I23" i="10"/>
  <c r="I26" i="10"/>
  <c r="R83" i="10"/>
  <c r="I27" i="10"/>
  <c r="I57" i="10"/>
  <c r="I64" i="10"/>
  <c r="I77" i="10"/>
  <c r="R80" i="10"/>
  <c r="I86" i="10"/>
  <c r="I80" i="10"/>
  <c r="R58" i="10"/>
  <c r="I79" i="10"/>
  <c r="R68" i="10"/>
  <c r="R91" i="10"/>
  <c r="I81" i="10"/>
  <c r="I10" i="10"/>
  <c r="R17" i="10"/>
  <c r="R13" i="10"/>
  <c r="R55" i="10"/>
  <c r="I75" i="10"/>
  <c r="I31" i="10"/>
  <c r="R15" i="10"/>
  <c r="I72" i="10"/>
  <c r="I18" i="10"/>
  <c r="I87" i="10"/>
  <c r="I39" i="10"/>
  <c r="I62" i="10"/>
  <c r="I85" i="10"/>
  <c r="I54" i="10"/>
  <c r="R71" i="10"/>
  <c r="I59" i="10"/>
  <c r="R41" i="10"/>
  <c r="I20" i="10"/>
  <c r="R90" i="10"/>
  <c r="I28" i="10"/>
  <c r="R32" i="10"/>
  <c r="I76" i="10"/>
  <c r="R63" i="10"/>
  <c r="I63" i="10"/>
  <c r="I22" i="10"/>
  <c r="I46" i="10"/>
  <c r="R7" i="10"/>
  <c r="I29" i="10"/>
  <c r="I71" i="10"/>
  <c r="I19" i="10"/>
  <c r="I25" i="10"/>
  <c r="R66" i="10"/>
  <c r="R69" i="10"/>
  <c r="I73" i="10"/>
  <c r="I84" i="10"/>
  <c r="I82" i="10"/>
  <c r="I4" i="10"/>
  <c r="R56" i="10"/>
  <c r="R21" i="10"/>
  <c r="R30" i="10"/>
  <c r="I69" i="10"/>
  <c r="R76" i="10"/>
  <c r="R45" i="10"/>
  <c r="I12" i="10"/>
  <c r="I21" i="10"/>
  <c r="R22" i="10"/>
  <c r="I53" i="10"/>
  <c r="R42" i="10"/>
  <c r="I5" i="10"/>
  <c r="R60" i="10"/>
  <c r="R36" i="10"/>
  <c r="R9" i="10"/>
  <c r="R19" i="10"/>
  <c r="R59" i="10"/>
  <c r="I49" i="10"/>
  <c r="I41" i="10"/>
  <c r="I13" i="10"/>
  <c r="R82" i="10"/>
  <c r="I33" i="10"/>
  <c r="R53" i="10"/>
  <c r="R44" i="10"/>
  <c r="R75" i="10"/>
  <c r="I7" i="10"/>
  <c r="I48" i="10"/>
  <c r="R25" i="10"/>
  <c r="I42" i="10"/>
  <c r="I6" i="10"/>
  <c r="R88" i="10"/>
  <c r="R50" i="10"/>
  <c r="R29" i="10"/>
  <c r="R39" i="10"/>
  <c r="I11" i="10"/>
  <c r="I51" i="10"/>
  <c r="R64" i="10"/>
  <c r="R49" i="10"/>
  <c r="I45" i="10"/>
  <c r="I83" i="10"/>
  <c r="R79" i="10"/>
  <c r="I14" i="10"/>
  <c r="R6" i="10"/>
  <c r="R73" i="10"/>
  <c r="R10" i="10"/>
  <c r="I47" i="10"/>
  <c r="R86" i="10"/>
  <c r="R54" i="10"/>
  <c r="R4" i="10"/>
  <c r="I50" i="10"/>
  <c r="I8" i="10"/>
  <c r="R52" i="10"/>
  <c r="I60" i="10"/>
  <c r="I61" i="10"/>
  <c r="R48" i="10"/>
  <c r="I66" i="10"/>
  <c r="I9" i="10"/>
  <c r="I92" i="10"/>
  <c r="R81" i="10"/>
  <c r="I93" i="10"/>
  <c r="I24" i="10"/>
  <c r="I38" i="10"/>
  <c r="R62" i="10"/>
  <c r="I74" i="10"/>
  <c r="I37" i="10"/>
  <c r="I78" i="10"/>
  <c r="I56" i="10"/>
  <c r="R70" i="10"/>
  <c r="R33" i="10"/>
  <c r="I58" i="10"/>
  <c r="I34" i="10"/>
  <c r="R43" i="10"/>
  <c r="R65" i="10"/>
  <c r="I43" i="10"/>
  <c r="I89" i="10"/>
  <c r="I55" i="10"/>
  <c r="R47" i="10"/>
  <c r="I90" i="10"/>
  <c r="R37" i="10"/>
  <c r="R84" i="10"/>
  <c r="R31" i="10"/>
  <c r="R18" i="10"/>
  <c r="R92" i="10"/>
  <c r="I17" i="10"/>
  <c r="I15" i="10"/>
  <c r="R11" i="10"/>
  <c r="R20" i="10"/>
  <c r="I35" i="10"/>
  <c r="R16" i="10"/>
  <c r="R28" i="10"/>
  <c r="R12" i="10"/>
  <c r="R38" i="10"/>
  <c r="R72" i="10"/>
  <c r="I52" i="10"/>
  <c r="R5" i="10"/>
  <c r="R8" i="10"/>
  <c r="R46" i="10"/>
  <c r="R23" i="10"/>
  <c r="R57" i="10"/>
  <c r="R27" i="10"/>
  <c r="I36" i="10"/>
  <c r="I88" i="10"/>
  <c r="I65" i="10"/>
  <c r="R24" i="10"/>
  <c r="R40" i="10"/>
  <c r="R89" i="10"/>
  <c r="I16" i="10"/>
  <c r="I91" i="10"/>
  <c r="I67" i="10"/>
  <c r="I44" i="10"/>
  <c r="R87" i="10"/>
  <c r="I70" i="10"/>
  <c r="I32" i="10"/>
  <c r="R35" i="10"/>
  <c r="R77" i="10"/>
  <c r="R51" i="10"/>
  <c r="I68" i="10"/>
  <c r="R67" i="10"/>
  <c r="R74" i="10"/>
  <c r="R26" i="10"/>
  <c r="R14" i="10"/>
  <c r="R93" i="10"/>
  <c r="I40" i="10"/>
  <c r="I30" i="10"/>
  <c r="R85" i="10"/>
  <c r="P66" i="27"/>
  <c r="O67" i="27"/>
  <c r="R65" i="27"/>
  <c r="S65" i="27"/>
  <c r="L15" i="10"/>
  <c r="C15" i="10"/>
  <c r="P67" i="27" l="1"/>
  <c r="O68" i="27"/>
  <c r="R66" i="27"/>
  <c r="S66" i="27"/>
  <c r="R67" i="27" l="1"/>
  <c r="S67" i="27"/>
  <c r="P68" i="27"/>
  <c r="O69" i="27"/>
  <c r="O70" i="27" l="1"/>
  <c r="P69" i="27"/>
  <c r="R68" i="27"/>
  <c r="S68" i="27"/>
  <c r="R69" i="27" l="1"/>
  <c r="S69" i="27"/>
  <c r="P70" i="27"/>
  <c r="O71" i="27"/>
  <c r="O72" i="27" l="1"/>
  <c r="P71" i="27"/>
  <c r="R70" i="27"/>
  <c r="S70" i="27"/>
  <c r="O73" i="27" l="1"/>
  <c r="P72" i="27"/>
  <c r="S71" i="27"/>
  <c r="R71" i="27"/>
  <c r="P73" i="27" l="1"/>
  <c r="O74" i="27"/>
  <c r="S72" i="27"/>
  <c r="R72" i="27"/>
  <c r="R73" i="27" l="1"/>
  <c r="S73" i="27"/>
  <c r="P74" i="27"/>
  <c r="O75" i="27"/>
  <c r="O76" i="27" l="1"/>
  <c r="P75" i="27"/>
  <c r="S74" i="27"/>
  <c r="R74" i="27"/>
  <c r="R75" i="27" l="1"/>
  <c r="S75" i="27"/>
  <c r="P76" i="27"/>
  <c r="O77" i="27"/>
  <c r="P77" i="27" l="1"/>
  <c r="O78" i="27"/>
  <c r="R76" i="27"/>
  <c r="S76" i="27"/>
  <c r="P78" i="27" l="1"/>
  <c r="O79" i="27"/>
  <c r="R77" i="27"/>
  <c r="S77" i="27"/>
  <c r="P79" i="27" l="1"/>
  <c r="O80" i="27"/>
  <c r="R78" i="27"/>
  <c r="S78" i="27"/>
  <c r="R79" i="27" l="1"/>
  <c r="S79" i="27"/>
  <c r="P80" i="27"/>
  <c r="O81" i="27"/>
  <c r="P81" i="27" l="1"/>
  <c r="O82" i="27"/>
  <c r="S80" i="27"/>
  <c r="R80" i="27"/>
  <c r="S81" i="27" l="1"/>
  <c r="R81" i="27"/>
  <c r="P82" i="27"/>
  <c r="O83" i="27"/>
  <c r="P83" i="27" l="1"/>
  <c r="O84" i="27"/>
  <c r="R82" i="27"/>
  <c r="S82" i="27"/>
  <c r="R83" i="27" l="1"/>
  <c r="S83" i="27"/>
  <c r="P84" i="27"/>
  <c r="O85" i="27"/>
  <c r="R84" i="27" l="1"/>
  <c r="S84" i="27"/>
  <c r="P85" i="27"/>
  <c r="O86" i="27"/>
  <c r="P86" i="27" l="1"/>
  <c r="O87" i="27"/>
  <c r="S85" i="27"/>
  <c r="R85" i="27"/>
  <c r="R86" i="27" l="1"/>
  <c r="S86" i="27"/>
  <c r="P87" i="27"/>
  <c r="O88" i="27"/>
  <c r="P88" i="27" s="1"/>
  <c r="S88" i="27" l="1"/>
  <c r="R88" i="27"/>
  <c r="S87" i="27"/>
  <c r="R87" i="27"/>
  <c r="AH7" i="27" a="1"/>
  <c r="AH8" i="27" l="1"/>
  <c r="AH7" i="27"/>
  <c r="AH9" i="27"/>
  <c r="L34" i="27" l="1"/>
  <c r="S33" i="27" s="1"/>
  <c r="L20" i="27" l="1"/>
  <c r="S19" i="27" s="1"/>
  <c r="L36" i="27"/>
  <c r="S35" i="27" s="1"/>
  <c r="L29" i="27"/>
  <c r="S28" i="27" s="1"/>
  <c r="L14" i="27"/>
  <c r="L28" i="27"/>
  <c r="S27" i="27" s="1"/>
  <c r="L16" i="27"/>
  <c r="S15" i="27" s="1"/>
  <c r="L31" i="27"/>
  <c r="S30" i="27" s="1"/>
  <c r="L11" i="27"/>
  <c r="L30" i="27"/>
  <c r="S29" i="27" s="1"/>
  <c r="L24" i="27"/>
  <c r="L23" i="27"/>
  <c r="S22" i="27" s="1"/>
  <c r="L9" i="27"/>
  <c r="L12" i="27"/>
  <c r="L15" i="27"/>
  <c r="L37" i="27"/>
  <c r="S36" i="27" s="1"/>
  <c r="L26" i="27"/>
  <c r="S25" i="27" s="1"/>
  <c r="L33" i="27"/>
  <c r="S32" i="27" s="1"/>
  <c r="L35" i="27"/>
  <c r="S34" i="27" s="1"/>
  <c r="L18" i="27"/>
  <c r="L32" i="27"/>
  <c r="S31" i="27" s="1"/>
  <c r="L21" i="27"/>
  <c r="S20" i="27" s="1"/>
  <c r="L27" i="27"/>
  <c r="S26" i="27" s="1"/>
  <c r="L19" i="27"/>
  <c r="S18" i="27" s="1"/>
  <c r="L13" i="27"/>
  <c r="L17" i="27"/>
  <c r="L38" i="27"/>
  <c r="S37" i="27" s="1"/>
  <c r="L22" i="27"/>
  <c r="S21" i="27" s="1"/>
  <c r="L10" i="27"/>
  <c r="L25" i="27"/>
  <c r="S24" i="27" s="1"/>
  <c r="AH13" i="27"/>
  <c r="S14" i="27" l="1"/>
  <c r="S17" i="27"/>
  <c r="S12" i="27"/>
  <c r="S11" i="27"/>
  <c r="S9" i="27"/>
  <c r="S13" i="27"/>
  <c r="S10" i="27"/>
  <c r="S16" i="27"/>
  <c r="S8" i="27"/>
  <c r="AH15" i="27"/>
  <c r="AH14" i="27"/>
  <c r="AH16" i="27"/>
  <c r="AH18" i="27"/>
  <c r="AH17" i="27"/>
  <c r="J6" i="27" l="1" a="1"/>
  <c r="J7" i="27" l="1"/>
  <c r="L7" i="27" s="1"/>
  <c r="S7" i="27" s="1"/>
  <c r="J6" i="27"/>
  <c r="L6" i="27" s="1"/>
  <c r="S6" i="27" s="1"/>
  <c r="U3" i="27" a="1"/>
  <c r="U29" i="27" l="1"/>
  <c r="V27" i="27"/>
  <c r="V53" i="27"/>
  <c r="U27" i="27"/>
  <c r="V39" i="27"/>
  <c r="V32" i="27"/>
  <c r="V33" i="27"/>
  <c r="V64" i="27"/>
  <c r="U35" i="27"/>
  <c r="V63" i="27"/>
  <c r="V11" i="27"/>
  <c r="U11" i="27"/>
  <c r="U77" i="27"/>
  <c r="U7" i="27"/>
  <c r="V13" i="27"/>
  <c r="U46" i="27"/>
  <c r="V12" i="27"/>
  <c r="V41" i="27"/>
  <c r="V36" i="27"/>
  <c r="U50" i="27"/>
  <c r="V14" i="27"/>
  <c r="V23" i="27"/>
  <c r="U76" i="27"/>
  <c r="U44" i="27"/>
  <c r="V38" i="27"/>
  <c r="V5" i="27"/>
  <c r="V60" i="27"/>
  <c r="U56" i="27"/>
  <c r="U9" i="27"/>
  <c r="V45" i="27"/>
  <c r="V17" i="27"/>
  <c r="U34" i="27"/>
  <c r="V77" i="27"/>
  <c r="V78" i="27"/>
  <c r="U47" i="27"/>
  <c r="V43" i="27"/>
  <c r="V62" i="27"/>
  <c r="U18" i="27"/>
  <c r="V71" i="27"/>
  <c r="V51" i="27"/>
  <c r="V66" i="27"/>
  <c r="V74" i="27"/>
  <c r="V54" i="27"/>
  <c r="V8" i="27"/>
  <c r="U16" i="27"/>
  <c r="V47" i="27"/>
  <c r="V42" i="27"/>
  <c r="U15" i="27"/>
  <c r="V34" i="27"/>
  <c r="U61" i="27"/>
  <c r="V25" i="27"/>
  <c r="V79" i="27"/>
  <c r="U78" i="27"/>
  <c r="U51" i="27"/>
  <c r="U13" i="27"/>
  <c r="V76" i="27"/>
  <c r="U65" i="27"/>
  <c r="V35" i="27"/>
  <c r="V28" i="27"/>
  <c r="V22" i="27"/>
  <c r="V67" i="27"/>
  <c r="V21" i="27"/>
  <c r="V3" i="27"/>
  <c r="U21" i="27"/>
  <c r="U42" i="27"/>
  <c r="V48" i="27"/>
  <c r="V72" i="27"/>
  <c r="U14" i="27"/>
  <c r="U49" i="27"/>
  <c r="U19" i="27"/>
  <c r="U45" i="27"/>
  <c r="V40" i="27"/>
  <c r="V24" i="27"/>
  <c r="U53" i="27"/>
  <c r="U17" i="27"/>
  <c r="V37" i="27"/>
  <c r="V56" i="27"/>
  <c r="U36" i="27"/>
  <c r="V9" i="27"/>
  <c r="U40" i="27"/>
  <c r="V68" i="27"/>
  <c r="U43" i="27"/>
  <c r="U4" i="27"/>
  <c r="V55" i="27"/>
  <c r="V69" i="27"/>
  <c r="U37" i="27"/>
  <c r="V26" i="27"/>
  <c r="V18" i="27"/>
  <c r="U3" i="27"/>
  <c r="V52" i="27"/>
  <c r="V10" i="27"/>
  <c r="V29" i="27"/>
  <c r="U48" i="27"/>
  <c r="V49" i="27"/>
  <c r="U31" i="27"/>
  <c r="V57" i="27"/>
  <c r="U71" i="27"/>
  <c r="V61" i="27"/>
  <c r="V46" i="27"/>
  <c r="V75" i="27"/>
  <c r="U55" i="27"/>
  <c r="U28" i="27"/>
  <c r="U12" i="27"/>
  <c r="V19" i="27"/>
  <c r="V6" i="27"/>
  <c r="U8" i="27"/>
  <c r="U10" i="27"/>
  <c r="U57" i="27"/>
  <c r="V30" i="27"/>
  <c r="U73" i="27"/>
  <c r="V65" i="27"/>
  <c r="U67" i="27"/>
  <c r="V44" i="27"/>
  <c r="U39" i="27"/>
  <c r="V73" i="27"/>
  <c r="V16" i="27"/>
  <c r="U70" i="27"/>
  <c r="V50" i="27"/>
  <c r="U32" i="27"/>
  <c r="U54" i="27"/>
  <c r="V20" i="27"/>
  <c r="V70" i="27"/>
  <c r="U58" i="27"/>
  <c r="U41" i="27"/>
  <c r="U62" i="27"/>
  <c r="U75" i="27"/>
  <c r="V58" i="27"/>
  <c r="U30" i="27"/>
  <c r="U6" i="27"/>
  <c r="U64" i="27"/>
  <c r="V7" i="27"/>
  <c r="U38" i="27"/>
  <c r="U52" i="27"/>
  <c r="V59" i="27"/>
  <c r="U66" i="27"/>
  <c r="U5" i="27"/>
  <c r="U72" i="27"/>
  <c r="U22" i="27"/>
  <c r="U74" i="27"/>
  <c r="V31" i="27"/>
  <c r="U79" i="27"/>
  <c r="V15" i="27"/>
  <c r="U60" i="27"/>
  <c r="U69" i="27"/>
  <c r="U59" i="27"/>
  <c r="U24" i="27"/>
  <c r="U68" i="27"/>
  <c r="U20" i="27"/>
  <c r="V4" i="27"/>
  <c r="U63" i="27"/>
  <c r="U26" i="27"/>
  <c r="U33" i="27"/>
  <c r="U25" i="27"/>
  <c r="U23" i="27"/>
</calcChain>
</file>

<file path=xl/comments1.xml><?xml version="1.0" encoding="utf-8"?>
<comments xmlns="http://schemas.openxmlformats.org/spreadsheetml/2006/main">
  <authors>
    <author>BERTOCCHI NICHOLAS</author>
  </authors>
  <commentList>
    <comment ref="C3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ricorda che in MX sono configurati con partenza a t+3 per pb (storico) di gestione del first fixing</t>
        </r>
      </text>
    </comment>
  </commentList>
</comments>
</file>

<file path=xl/sharedStrings.xml><?xml version="1.0" encoding="utf-8"?>
<sst xmlns="http://schemas.openxmlformats.org/spreadsheetml/2006/main" count="499" uniqueCount="247">
  <si>
    <t>Triggers</t>
  </si>
  <si>
    <t>Manual Trigger</t>
  </si>
  <si>
    <t>EvaluationDate</t>
  </si>
  <si>
    <t>Objects Trigger</t>
  </si>
  <si>
    <t>Currency</t>
  </si>
  <si>
    <t>LiborName</t>
  </si>
  <si>
    <t>InterpType</t>
  </si>
  <si>
    <t>InterpOn</t>
  </si>
  <si>
    <t>Comp</t>
  </si>
  <si>
    <t>DayCount</t>
  </si>
  <si>
    <t>QL Curve Name</t>
  </si>
  <si>
    <t>kruger</t>
  </si>
  <si>
    <t>rt</t>
  </si>
  <si>
    <t>cont</t>
  </si>
  <si>
    <t>Dates</t>
  </si>
  <si>
    <t>Discounts</t>
  </si>
  <si>
    <t>QL Curve Handle</t>
  </si>
  <si>
    <t>Count</t>
  </si>
  <si>
    <t>ShmPush</t>
  </si>
  <si>
    <t>adjusted</t>
  </si>
  <si>
    <t>standard</t>
  </si>
  <si>
    <t>dvFutEndDate</t>
  </si>
  <si>
    <t>Zero Rates</t>
  </si>
  <si>
    <t>off</t>
  </si>
  <si>
    <t>on</t>
  </si>
  <si>
    <t>dvOutputType</t>
  </si>
  <si>
    <t>dvMatCons</t>
  </si>
  <si>
    <t>dates</t>
  </si>
  <si>
    <t>stub</t>
  </si>
  <si>
    <t>months</t>
  </si>
  <si>
    <t>end</t>
  </si>
  <si>
    <t>years</t>
  </si>
  <si>
    <t>start</t>
  </si>
  <si>
    <t>dvSwapMatType</t>
  </si>
  <si>
    <t>dvFutCons</t>
  </si>
  <si>
    <t>ModFollowing</t>
  </si>
  <si>
    <t>simple</t>
  </si>
  <si>
    <t>Forward</t>
  </si>
  <si>
    <t>annual</t>
  </si>
  <si>
    <t>Backward</t>
  </si>
  <si>
    <t>NoAdjust</t>
  </si>
  <si>
    <t>dvCompounding</t>
  </si>
  <si>
    <t>dvFraFutAdjust</t>
  </si>
  <si>
    <t>d</t>
  </si>
  <si>
    <t>One/One</t>
  </si>
  <si>
    <t>30/360</t>
  </si>
  <si>
    <t>r</t>
  </si>
  <si>
    <t>Act/Act</t>
  </si>
  <si>
    <t>dvInterpOn</t>
  </si>
  <si>
    <t>365/365</t>
  </si>
  <si>
    <t>Act/365</t>
  </si>
  <si>
    <t>spline</t>
  </si>
  <si>
    <t>Act/360</t>
  </si>
  <si>
    <t>const</t>
  </si>
  <si>
    <t>30E+360</t>
  </si>
  <si>
    <t>360/360</t>
  </si>
  <si>
    <t>quadra</t>
  </si>
  <si>
    <t>30E/360</t>
  </si>
  <si>
    <t>linear</t>
  </si>
  <si>
    <t>Act/Act AFB</t>
  </si>
  <si>
    <t>dvBool</t>
  </si>
  <si>
    <t>dvInterpType</t>
  </si>
  <si>
    <t>dvDayCount</t>
  </si>
  <si>
    <t>Suffix</t>
  </si>
  <si>
    <t>CustomValue</t>
  </si>
  <si>
    <t>CustomField</t>
  </si>
  <si>
    <t>Prefix</t>
  </si>
  <si>
    <t>IDN</t>
  </si>
  <si>
    <t>Source</t>
  </si>
  <si>
    <t>Interp DayCount</t>
  </si>
  <si>
    <t>ASK</t>
  </si>
  <si>
    <t>BID</t>
  </si>
  <si>
    <t>Swaps</t>
  </si>
  <si>
    <t>Used</t>
  </si>
  <si>
    <t>Spread</t>
  </si>
  <si>
    <t>Override</t>
  </si>
  <si>
    <t>Real Time</t>
  </si>
  <si>
    <t>Enabled</t>
  </si>
  <si>
    <t>Maty Consistency</t>
  </si>
  <si>
    <t>Block Order</t>
  </si>
  <si>
    <t>Optional Parameters</t>
  </si>
  <si>
    <t>m</t>
  </si>
  <si>
    <t>Deposits</t>
  </si>
  <si>
    <t>Output Type</t>
  </si>
  <si>
    <t>Compounding</t>
  </si>
  <si>
    <t>S</t>
  </si>
  <si>
    <t>w</t>
  </si>
  <si>
    <t>Interp On</t>
  </si>
  <si>
    <t>Interp Type</t>
  </si>
  <si>
    <t>SN</t>
  </si>
  <si>
    <t>sn</t>
  </si>
  <si>
    <t>Curve Name</t>
  </si>
  <si>
    <t>TN</t>
  </si>
  <si>
    <t>tn</t>
  </si>
  <si>
    <t>ON</t>
  </si>
  <si>
    <t>Today</t>
  </si>
  <si>
    <t>Maty</t>
  </si>
  <si>
    <t>Parameters</t>
  </si>
  <si>
    <t>Domestic Currency</t>
  </si>
  <si>
    <t>Foreign Currency</t>
  </si>
  <si>
    <t>EUR</t>
  </si>
  <si>
    <t>Trigger</t>
  </si>
  <si>
    <t>DTSIMI1</t>
  </si>
  <si>
    <t>=</t>
  </si>
  <si>
    <t>FX</t>
  </si>
  <si>
    <t>Domestic Disc Curve</t>
  </si>
  <si>
    <t>Domestic Fwd Curve</t>
  </si>
  <si>
    <t>Foreign Fwd Curve</t>
  </si>
  <si>
    <t>Depo Value Days</t>
  </si>
  <si>
    <t>Domestic Notional</t>
  </si>
  <si>
    <t>Foreign Notional</t>
  </si>
  <si>
    <t>MtM Currency</t>
  </si>
  <si>
    <t>CCS Maturity Type</t>
  </si>
  <si>
    <t>CCS Domestic Freq</t>
  </si>
  <si>
    <t>CCS Domestic Daycnt</t>
  </si>
  <si>
    <t>CCS Domestic Multiplier</t>
  </si>
  <si>
    <t>CCS Domestic 1st rate</t>
  </si>
  <si>
    <t>CCS Foreign Freq</t>
  </si>
  <si>
    <t>CCS Foreign Daycnt</t>
  </si>
  <si>
    <t>CCS Foreign Multiplier</t>
  </si>
  <si>
    <t>CCS Foreign 1st rate</t>
  </si>
  <si>
    <t>CCS Spread Currency</t>
  </si>
  <si>
    <t>Interp CCS Quotes</t>
  </si>
  <si>
    <t>t+1</t>
  </si>
  <si>
    <t>t+2</t>
  </si>
  <si>
    <t>t+2+1w</t>
  </si>
  <si>
    <t>[0,1W] Zero rate spread</t>
  </si>
  <si>
    <t>Factor</t>
  </si>
  <si>
    <t>QL Object Class</t>
  </si>
  <si>
    <t>DateChooser</t>
  </si>
  <si>
    <t>EUR3M</t>
  </si>
  <si>
    <t>EURON</t>
  </si>
  <si>
    <t>CCSDom1stRateFixed</t>
  </si>
  <si>
    <t>CCSFor1stRateFixed</t>
  </si>
  <si>
    <t>RTData Trigger</t>
  </si>
  <si>
    <t>QuantLib</t>
  </si>
  <si>
    <t>InUse</t>
  </si>
  <si>
    <t>EURON_</t>
  </si>
  <si>
    <t>EUR3M_</t>
  </si>
  <si>
    <t>ManualEvalDate</t>
  </si>
  <si>
    <t>QLEvaluationDate</t>
  </si>
  <si>
    <t>semiannual</t>
  </si>
  <si>
    <t>quarterly</t>
  </si>
  <si>
    <t>monthly</t>
  </si>
  <si>
    <t>dvPayFreqType</t>
  </si>
  <si>
    <t>D=CKCC</t>
  </si>
  <si>
    <t>ON/TN DEPO SPREADS TO MATCH MX DISCOUNTS</t>
  </si>
  <si>
    <t>USDON</t>
  </si>
  <si>
    <t>USD3M</t>
  </si>
  <si>
    <t>USD</t>
  </si>
  <si>
    <t>USD3M_</t>
  </si>
  <si>
    <t>Disc@t+1, USDON</t>
  </si>
  <si>
    <t>Disc@t+2, USDON</t>
  </si>
  <si>
    <t>Disc@t+2+1w, USDON</t>
  </si>
  <si>
    <t>USD Yrf Code</t>
  </si>
  <si>
    <t>Disc@t+1, MX-USDBasis</t>
  </si>
  <si>
    <t>Disc@t+2, MX-USDBasis</t>
  </si>
  <si>
    <t>Disc@t+2+1w, MX-USDBasis</t>
  </si>
  <si>
    <t>MX-USDBasis simple rate t,t+1</t>
  </si>
  <si>
    <t>MX-USDBasis simple rate t+1,t+2</t>
  </si>
  <si>
    <t>MX ccs curve built as spread curve over</t>
  </si>
  <si>
    <t>USDON_</t>
  </si>
  <si>
    <t>1Y</t>
  </si>
  <si>
    <t>=ICAP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</si>
  <si>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</si>
  <si>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</si>
  <si>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</si>
  <si>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</si>
  <si>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</si>
  <si>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</si>
  <si>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</si>
  <si>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</si>
  <si>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</si>
  <si>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CCSUSDEUR</t>
  </si>
  <si>
    <t>M=</t>
  </si>
  <si>
    <t>W=</t>
  </si>
  <si>
    <t>Linear Yrf 1W Depo</t>
  </si>
  <si>
    <t>Zero Rate Yrf Code</t>
  </si>
  <si>
    <t>IsBootstrapSheet</t>
  </si>
  <si>
    <t>EURCBS</t>
  </si>
  <si>
    <t>Maturity</t>
  </si>
  <si>
    <t>6Y</t>
  </si>
  <si>
    <t>8Y</t>
  </si>
  <si>
    <t>9Y</t>
  </si>
  <si>
    <t>12Y</t>
  </si>
  <si>
    <t>25Y</t>
  </si>
  <si>
    <t>USDBASIS.EURON.CCS</t>
  </si>
  <si>
    <t>Start date</t>
  </si>
  <si>
    <t>Calendar</t>
  </si>
  <si>
    <t>1W</t>
  </si>
  <si>
    <t>2W</t>
  </si>
  <si>
    <t>3W</t>
  </si>
  <si>
    <t>1M</t>
  </si>
  <si>
    <t>2M</t>
  </si>
  <si>
    <t>3M</t>
  </si>
  <si>
    <t>40Y</t>
  </si>
  <si>
    <t>50Y</t>
  </si>
  <si>
    <t>4M</t>
  </si>
  <si>
    <t>5M</t>
  </si>
  <si>
    <t>6M</t>
  </si>
  <si>
    <t>7M</t>
  </si>
  <si>
    <t>8M</t>
  </si>
  <si>
    <t>9M</t>
  </si>
  <si>
    <t>18M</t>
  </si>
  <si>
    <t>Tp</t>
  </si>
  <si>
    <t>Generator</t>
  </si>
  <si>
    <t>ds.factor.sprd</t>
  </si>
  <si>
    <t>ds.rate.sprd</t>
  </si>
  <si>
    <t>Market quote</t>
  </si>
  <si>
    <t>Dp</t>
  </si>
  <si>
    <t>CCS EUR/USD_DEP</t>
  </si>
  <si>
    <t>Bs</t>
  </si>
  <si>
    <t>CCS_EUR/USD_C</t>
  </si>
  <si>
    <t>ds.factor</t>
  </si>
  <si>
    <t>ds.rate</t>
  </si>
  <si>
    <t>global newton</t>
  </si>
  <si>
    <t>calibration</t>
  </si>
  <si>
    <t>tolerance</t>
  </si>
  <si>
    <t>maxiteration</t>
  </si>
  <si>
    <t>NO SPREAD</t>
  </si>
  <si>
    <t>BackBone Curve</t>
  </si>
  <si>
    <t>rs</t>
  </si>
  <si>
    <t>rts</t>
  </si>
  <si>
    <t>ds</t>
  </si>
  <si>
    <t>SPREAD</t>
  </si>
  <si>
    <t xml:space="preserve">CCS Value Days </t>
  </si>
  <si>
    <t>today</t>
  </si>
  <si>
    <t>DIFF</t>
  </si>
  <si>
    <t>build as spread</t>
  </si>
  <si>
    <t>newton by pillar</t>
  </si>
  <si>
    <t>le curve a spread con interpolazione "rs" cioè</t>
  </si>
  <si>
    <t>su zero-coupon rate spread, NON necessitano</t>
  </si>
  <si>
    <t>della costruzione posticcia del t+1 e t+2 per</t>
  </si>
  <si>
    <t xml:space="preserve">essere consistenti con MX che ha quasi tutte le </t>
  </si>
  <si>
    <t>curve basis configurate come "flat before first pillar"</t>
  </si>
  <si>
    <t>CURVA A SPREAd "rs" funziona bene!</t>
  </si>
  <si>
    <t>includendo synth depo</t>
  </si>
  <si>
    <t>no synth depo</t>
  </si>
  <si>
    <t>curva MX style = ZR spread.</t>
  </si>
  <si>
    <t>interpol kruger oppure linear</t>
  </si>
  <si>
    <t>plottare shape curva (inst. fwd)</t>
  </si>
  <si>
    <t>shape FX fwd</t>
  </si>
  <si>
    <t>shape CCS impl cadenza attuale</t>
  </si>
  <si>
    <t>D(oggi,T)/D(oggi,t+2) |euro diviso la stessa cosa in USD</t>
  </si>
  <si>
    <t>grafico eur basis fwd ist</t>
  </si>
  <si>
    <t>grafico fx fwd usdff e eur basis</t>
  </si>
  <si>
    <t>shape ccs da 10y a 30y annuali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</si>
</sst>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ddd\,\ d\-mmm\-yyyy"/>
    <numFmt numFmtId="166" formatCode="d\ mmm\ yy"/>
    <numFmt numFmtId="167" formatCode="#,##0.00000000"/>
    <numFmt numFmtId="168" formatCode="_-[$€]\ * #,##0.00_-;\-[$€]\ * #,##0.00_-;_-[$€]\ * &quot;-&quot;??_-;_-@_-"/>
    <numFmt numFmtId="169" formatCode="0.0000"/>
    <numFmt numFmtId="170" formatCode="0.000000000"/>
    <numFmt numFmtId="171" formatCode="dd\ mmm\ yy"/>
    <numFmt numFmtId="172" formatCode="0.000%"/>
    <numFmt numFmtId="173" formatCode="mmm\ yy"/>
    <numFmt numFmtId="174" formatCode="0&quot;M&quot;"/>
    <numFmt numFmtId="175" formatCode="0&quot;W&quot;"/>
    <numFmt numFmtId="176" formatCode="#,##0.0;#,##0.0"/>
    <numFmt numFmtId="177" formatCode="ddd\,\ dd/mm/yyyy"/>
    <numFmt numFmtId="178" formatCode="0.000"/>
    <numFmt numFmtId="179" formatCode="0.0000000000"/>
  </numFmts>
  <fonts count="4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sz val="8"/>
      <color indexed="23"/>
      <name val="Arial"/>
      <family val="2"/>
    </font>
    <font>
      <b/>
      <i/>
      <sz val="8"/>
      <name val="Arial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8"/>
      <color indexed="62"/>
      <name val="Cambria"/>
      <family val="2"/>
    </font>
    <font>
      <i/>
      <sz val="8"/>
      <color theme="0" tint="-0.14999847407452621"/>
      <name val="Arial"/>
      <family val="2"/>
    </font>
    <font>
      <b/>
      <i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8"/>
      <color theme="0" tint="-0.34998626667073579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bgColor rgb="FFFFCCFF"/>
      </patternFill>
    </fill>
    <fill>
      <patternFill patternType="gray125"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4">
    <xf numFmtId="0" fontId="0" fillId="0" borderId="0"/>
    <xf numFmtId="0" fontId="4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21" applyNumberFormat="0" applyAlignment="0" applyProtection="0"/>
    <xf numFmtId="0" fontId="9" fillId="0" borderId="22" applyNumberFormat="0" applyFill="0" applyAlignment="0" applyProtection="0"/>
    <xf numFmtId="0" fontId="10" fillId="19" borderId="23" applyNumberFormat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168" fontId="11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3" fillId="24" borderId="0" applyNumberFormat="0" applyBorder="0" applyAlignment="0" applyProtection="0"/>
    <xf numFmtId="0" fontId="11" fillId="25" borderId="24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5" applyNumberFormat="0" applyFill="0" applyAlignment="0" applyProtection="0"/>
    <xf numFmtId="0" fontId="3" fillId="3" borderId="17" applyNumberFormat="0" applyFont="0" applyAlignment="0">
      <protection locked="0"/>
    </xf>
    <xf numFmtId="0" fontId="11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29" fillId="5" borderId="0" applyNumberFormat="0" applyBorder="0" applyAlignment="0" applyProtection="0"/>
    <xf numFmtId="0" fontId="8" fillId="18" borderId="29" applyNumberFormat="0" applyAlignment="0" applyProtection="0"/>
    <xf numFmtId="0" fontId="8" fillId="18" borderId="29" applyNumberFormat="0" applyAlignment="0" applyProtection="0"/>
    <xf numFmtId="0" fontId="10" fillId="19" borderId="23" applyNumberFormat="0" applyAlignment="0" applyProtection="0"/>
    <xf numFmtId="0" fontId="15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17" fillId="0" borderId="25" applyNumberFormat="0" applyFill="0" applyAlignment="0" applyProtection="0"/>
    <xf numFmtId="0" fontId="26" fillId="0" borderId="30" applyNumberFormat="0" applyFill="0" applyAlignment="0" applyProtection="0"/>
    <xf numFmtId="0" fontId="27" fillId="0" borderId="31" applyNumberFormat="0" applyFill="0" applyAlignment="0" applyProtection="0"/>
    <xf numFmtId="0" fontId="27" fillId="0" borderId="0" applyNumberFormat="0" applyFill="0" applyBorder="0" applyAlignment="0" applyProtection="0"/>
    <xf numFmtId="0" fontId="22" fillId="9" borderId="29" applyNumberFormat="0" applyAlignment="0" applyProtection="0"/>
    <xf numFmtId="0" fontId="9" fillId="0" borderId="22" applyNumberFormat="0" applyFill="0" applyAlignment="0" applyProtection="0"/>
    <xf numFmtId="40" fontId="23" fillId="0" borderId="0" applyFont="0" applyFill="0" applyBorder="0" applyAlignment="0" applyProtection="0"/>
    <xf numFmtId="0" fontId="13" fillId="24" borderId="0" applyNumberFormat="0" applyBorder="0" applyAlignment="0" applyProtection="0"/>
    <xf numFmtId="0" fontId="11" fillId="0" borderId="0"/>
    <xf numFmtId="0" fontId="23" fillId="0" borderId="0"/>
    <xf numFmtId="0" fontId="11" fillId="25" borderId="32" applyNumberFormat="0" applyFont="0" applyAlignment="0" applyProtection="0"/>
    <xf numFmtId="0" fontId="3" fillId="25" borderId="32" applyNumberFormat="0" applyFont="0" applyAlignment="0" applyProtection="0"/>
    <xf numFmtId="0" fontId="24" fillId="18" borderId="33" applyNumberFormat="0" applyAlignment="0" applyProtection="0"/>
    <xf numFmtId="9" fontId="11" fillId="0" borderId="0" applyFont="0" applyFill="0" applyBorder="0" applyAlignment="0" applyProtection="0"/>
    <xf numFmtId="176" fontId="25" fillId="38" borderId="0">
      <alignment horizontal="center" vertical="center"/>
    </xf>
    <xf numFmtId="0" fontId="16" fillId="0" borderId="0" applyNumberFormat="0" applyFill="0" applyBorder="0" applyAlignment="0" applyProtection="0"/>
    <xf numFmtId="0" fontId="26" fillId="0" borderId="30" applyNumberFormat="0" applyFill="0" applyAlignment="0" applyProtection="0"/>
    <xf numFmtId="0" fontId="27" fillId="0" borderId="31" applyNumberFormat="0" applyFill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0" borderId="34" applyNumberFormat="0" applyFill="0" applyAlignment="0" applyProtection="0"/>
    <xf numFmtId="0" fontId="28" fillId="0" borderId="34" applyNumberFormat="0" applyFill="0" applyAlignment="0" applyProtection="0"/>
    <xf numFmtId="0" fontId="29" fillId="5" borderId="0" applyNumberFormat="0" applyBorder="0" applyAlignment="0" applyProtection="0"/>
    <xf numFmtId="0" fontId="30" fillId="6" borderId="0" applyNumberFormat="0" applyBorder="0" applyAlignment="0" applyProtection="0"/>
    <xf numFmtId="42" fontId="12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8" fillId="18" borderId="37" applyNumberFormat="0" applyAlignment="0" applyProtection="0"/>
    <xf numFmtId="0" fontId="8" fillId="18" borderId="37" applyNumberFormat="0" applyAlignment="0" applyProtection="0"/>
    <xf numFmtId="0" fontId="8" fillId="18" borderId="37" applyNumberFormat="0" applyAlignment="0" applyProtection="0"/>
    <xf numFmtId="0" fontId="8" fillId="18" borderId="37" applyNumberFormat="0" applyAlignment="0" applyProtection="0"/>
    <xf numFmtId="0" fontId="8" fillId="18" borderId="37" applyNumberFormat="0" applyAlignment="0" applyProtection="0"/>
    <xf numFmtId="0" fontId="8" fillId="18" borderId="37" applyNumberFormat="0" applyAlignment="0" applyProtection="0"/>
    <xf numFmtId="0" fontId="22" fillId="9" borderId="37" applyNumberFormat="0" applyAlignment="0" applyProtection="0"/>
    <xf numFmtId="0" fontId="22" fillId="9" borderId="37" applyNumberFormat="0" applyAlignment="0" applyProtection="0"/>
    <xf numFmtId="0" fontId="11" fillId="25" borderId="38" applyNumberFormat="0" applyFont="0" applyAlignment="0" applyProtection="0"/>
    <xf numFmtId="0" fontId="11" fillId="25" borderId="38" applyNumberFormat="0" applyFont="0" applyAlignment="0" applyProtection="0"/>
    <xf numFmtId="0" fontId="11" fillId="25" borderId="38" applyNumberFormat="0" applyFont="0" applyAlignment="0" applyProtection="0"/>
    <xf numFmtId="0" fontId="11" fillId="25" borderId="38" applyNumberFormat="0" applyFont="0" applyAlignment="0" applyProtection="0"/>
    <xf numFmtId="0" fontId="3" fillId="25" borderId="38" applyNumberFormat="0" applyFont="0" applyAlignment="0" applyProtection="0"/>
    <xf numFmtId="0" fontId="3" fillId="25" borderId="38" applyNumberFormat="0" applyFont="0" applyAlignment="0" applyProtection="0"/>
    <xf numFmtId="0" fontId="24" fillId="18" borderId="39" applyNumberFormat="0" applyAlignment="0" applyProtection="0"/>
    <xf numFmtId="0" fontId="24" fillId="18" borderId="39" applyNumberFormat="0" applyAlignment="0" applyProtection="0"/>
    <xf numFmtId="0" fontId="28" fillId="0" borderId="40" applyNumberFormat="0" applyFill="0" applyAlignment="0" applyProtection="0"/>
    <xf numFmtId="0" fontId="28" fillId="0" borderId="40" applyNumberFormat="0" applyFill="0" applyAlignment="0" applyProtection="0"/>
    <xf numFmtId="0" fontId="28" fillId="0" borderId="40" applyNumberFormat="0" applyFill="0" applyAlignment="0" applyProtection="0"/>
    <xf numFmtId="0" fontId="28" fillId="0" borderId="40" applyNumberFormat="0" applyFill="0" applyAlignment="0" applyProtection="0"/>
    <xf numFmtId="0" fontId="3" fillId="3" borderId="35" applyNumberFormat="0" applyFont="0" applyAlignment="0">
      <protection locked="0"/>
    </xf>
    <xf numFmtId="0" fontId="3" fillId="3" borderId="35" applyNumberFormat="0" applyFont="0" applyAlignment="0">
      <protection locked="0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04">
    <xf numFmtId="0" fontId="0" fillId="0" borderId="0" xfId="0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4" fontId="3" fillId="3" borderId="8" xfId="0" applyNumberFormat="1" applyFont="1" applyFill="1" applyBorder="1" applyAlignment="1" applyProtection="1">
      <alignment horizontal="center"/>
      <protection locked="0"/>
    </xf>
    <xf numFmtId="0" fontId="3" fillId="2" borderId="9" xfId="0" applyFont="1" applyFill="1" applyBorder="1"/>
    <xf numFmtId="165" fontId="3" fillId="2" borderId="11" xfId="0" applyNumberFormat="1" applyFont="1" applyFill="1" applyBorder="1" applyAlignment="1" applyProtection="1">
      <alignment horizontal="center"/>
      <protection locked="0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166" fontId="0" fillId="0" borderId="20" xfId="0" applyNumberFormat="1" applyBorder="1"/>
    <xf numFmtId="167" fontId="0" fillId="0" borderId="20" xfId="0" applyNumberFormat="1" applyBorder="1"/>
    <xf numFmtId="166" fontId="0" fillId="0" borderId="19" xfId="0" applyNumberFormat="1" applyBorder="1"/>
    <xf numFmtId="167" fontId="0" fillId="0" borderId="19" xfId="0" applyNumberFormat="1" applyBorder="1"/>
    <xf numFmtId="0" fontId="4" fillId="0" borderId="0" xfId="1"/>
    <xf numFmtId="0" fontId="4" fillId="0" borderId="19" xfId="1" applyBorder="1" applyAlignment="1">
      <alignment horizontal="center"/>
    </xf>
    <xf numFmtId="0" fontId="4" fillId="0" borderId="18" xfId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4" fillId="0" borderId="20" xfId="1" applyBorder="1" applyAlignment="1">
      <alignment horizontal="center"/>
    </xf>
    <xf numFmtId="0" fontId="4" fillId="0" borderId="0" xfId="1" applyBorder="1" applyAlignment="1">
      <alignment horizontal="center"/>
    </xf>
    <xf numFmtId="11" fontId="4" fillId="0" borderId="20" xfId="1" applyNumberFormat="1" applyBorder="1" applyAlignment="1">
      <alignment horizontal="center"/>
    </xf>
    <xf numFmtId="166" fontId="0" fillId="0" borderId="36" xfId="0" applyNumberFormat="1" applyBorder="1"/>
    <xf numFmtId="0" fontId="3" fillId="2" borderId="13" xfId="0" applyNumberFormat="1" applyFont="1" applyFill="1" applyBorder="1" applyAlignment="1" applyProtection="1">
      <alignment horizontal="center"/>
      <protection locked="0"/>
    </xf>
    <xf numFmtId="21" fontId="3" fillId="2" borderId="11" xfId="0" applyNumberFormat="1" applyFont="1" applyFill="1" applyBorder="1" applyAlignment="1" applyProtection="1">
      <alignment horizontal="center"/>
      <protection locked="0"/>
    </xf>
    <xf numFmtId="167" fontId="0" fillId="31" borderId="36" xfId="0" applyNumberFormat="1" applyFill="1" applyBorder="1"/>
    <xf numFmtId="167" fontId="0" fillId="31" borderId="20" xfId="0" applyNumberFormat="1" applyFill="1" applyBorder="1"/>
    <xf numFmtId="167" fontId="0" fillId="39" borderId="36" xfId="0" applyNumberFormat="1" applyFill="1" applyBorder="1"/>
    <xf numFmtId="167" fontId="0" fillId="39" borderId="20" xfId="0" applyNumberFormat="1" applyFill="1" applyBorder="1"/>
    <xf numFmtId="0" fontId="21" fillId="35" borderId="36" xfId="0" applyFont="1" applyFill="1" applyBorder="1" applyAlignment="1">
      <alignment horizontal="right"/>
    </xf>
    <xf numFmtId="0" fontId="21" fillId="35" borderId="20" xfId="0" applyFont="1" applyFill="1" applyBorder="1" applyAlignment="1">
      <alignment horizontal="right"/>
    </xf>
    <xf numFmtId="0" fontId="21" fillId="35" borderId="19" xfId="0" applyFont="1" applyFill="1" applyBorder="1" applyAlignment="1">
      <alignment horizontal="right"/>
    </xf>
    <xf numFmtId="0" fontId="21" fillId="35" borderId="35" xfId="0" applyFont="1" applyFill="1" applyBorder="1" applyAlignment="1">
      <alignment horizontal="center"/>
    </xf>
    <xf numFmtId="0" fontId="0" fillId="31" borderId="26" xfId="0" applyFill="1" applyBorder="1" applyAlignment="1">
      <alignment horizontal="center"/>
    </xf>
    <xf numFmtId="0" fontId="0" fillId="31" borderId="6" xfId="0" applyFill="1" applyBorder="1" applyAlignment="1">
      <alignment horizontal="center"/>
    </xf>
    <xf numFmtId="0" fontId="0" fillId="31" borderId="14" xfId="0" applyFill="1" applyBorder="1" applyAlignment="1">
      <alignment horizontal="center"/>
    </xf>
    <xf numFmtId="166" fontId="0" fillId="31" borderId="36" xfId="0" applyNumberFormat="1" applyFill="1" applyBorder="1"/>
    <xf numFmtId="166" fontId="0" fillId="31" borderId="20" xfId="0" applyNumberFormat="1" applyFill="1" applyBorder="1"/>
    <xf numFmtId="166" fontId="0" fillId="31" borderId="19" xfId="0" applyNumberFormat="1" applyFill="1" applyBorder="1"/>
    <xf numFmtId="167" fontId="0" fillId="31" borderId="19" xfId="0" applyNumberFormat="1" applyFill="1" applyBorder="1"/>
    <xf numFmtId="166" fontId="0" fillId="40" borderId="36" xfId="0" applyNumberFormat="1" applyFill="1" applyBorder="1"/>
    <xf numFmtId="167" fontId="0" fillId="40" borderId="36" xfId="0" applyNumberFormat="1" applyFill="1" applyBorder="1"/>
    <xf numFmtId="166" fontId="0" fillId="40" borderId="20" xfId="0" applyNumberFormat="1" applyFill="1" applyBorder="1"/>
    <xf numFmtId="167" fontId="0" fillId="40" borderId="20" xfId="0" applyNumberFormat="1" applyFill="1" applyBorder="1"/>
    <xf numFmtId="166" fontId="0" fillId="40" borderId="19" xfId="0" applyNumberFormat="1" applyFill="1" applyBorder="1"/>
    <xf numFmtId="167" fontId="0" fillId="40" borderId="19" xfId="0" applyNumberFormat="1" applyFill="1" applyBorder="1"/>
    <xf numFmtId="0" fontId="32" fillId="2" borderId="9" xfId="0" applyFont="1" applyFill="1" applyBorder="1"/>
    <xf numFmtId="0" fontId="2" fillId="35" borderId="7" xfId="0" applyFont="1" applyFill="1" applyBorder="1" applyAlignment="1">
      <alignment horizontal="right"/>
    </xf>
    <xf numFmtId="0" fontId="2" fillId="35" borderId="10" xfId="0" applyFont="1" applyFill="1" applyBorder="1" applyAlignment="1">
      <alignment horizontal="right"/>
    </xf>
    <xf numFmtId="0" fontId="2" fillId="35" borderId="12" xfId="0" applyFont="1" applyFill="1" applyBorder="1" applyAlignment="1">
      <alignment horizontal="right"/>
    </xf>
    <xf numFmtId="165" fontId="3" fillId="31" borderId="11" xfId="0" applyNumberFormat="1" applyFont="1" applyFill="1" applyBorder="1" applyAlignment="1" applyProtection="1">
      <alignment horizontal="center"/>
      <protection locked="0"/>
    </xf>
    <xf numFmtId="0" fontId="3" fillId="0" borderId="26" xfId="1" applyFont="1" applyBorder="1"/>
    <xf numFmtId="0" fontId="3" fillId="0" borderId="6" xfId="1" applyFont="1" applyBorder="1"/>
    <xf numFmtId="0" fontId="3" fillId="0" borderId="14" xfId="1" applyFont="1" applyBorder="1"/>
    <xf numFmtId="0" fontId="4" fillId="0" borderId="41" xfId="1" applyBorder="1"/>
    <xf numFmtId="0" fontId="4" fillId="0" borderId="20" xfId="1" applyBorder="1"/>
    <xf numFmtId="0" fontId="4" fillId="0" borderId="19" xfId="1" applyBorder="1"/>
    <xf numFmtId="14" fontId="0" fillId="0" borderId="0" xfId="0" applyNumberFormat="1"/>
    <xf numFmtId="169" fontId="0" fillId="0" borderId="0" xfId="0" applyNumberFormat="1"/>
    <xf numFmtId="0" fontId="3" fillId="0" borderId="0" xfId="121" applyProtection="1"/>
    <xf numFmtId="0" fontId="3" fillId="0" borderId="0" xfId="121"/>
    <xf numFmtId="0" fontId="3" fillId="0" borderId="0" xfId="121" applyBorder="1" applyProtection="1"/>
    <xf numFmtId="170" fontId="3" fillId="30" borderId="19" xfId="121" applyNumberFormat="1" applyFont="1" applyFill="1" applyBorder="1" applyProtection="1"/>
    <xf numFmtId="171" fontId="3" fillId="30" borderId="19" xfId="121" applyNumberFormat="1" applyFont="1" applyFill="1" applyBorder="1" applyAlignment="1" applyProtection="1">
      <alignment horizontal="center"/>
    </xf>
    <xf numFmtId="170" fontId="3" fillId="30" borderId="20" xfId="121" applyNumberFormat="1" applyFont="1" applyFill="1" applyBorder="1" applyProtection="1"/>
    <xf numFmtId="171" fontId="3" fillId="30" borderId="20" xfId="121" applyNumberFormat="1" applyFont="1" applyFill="1" applyBorder="1" applyAlignment="1" applyProtection="1">
      <alignment horizontal="center"/>
    </xf>
    <xf numFmtId="0" fontId="3" fillId="0" borderId="42" xfId="121" applyBorder="1" applyAlignment="1" applyProtection="1">
      <alignment horizontal="center"/>
    </xf>
    <xf numFmtId="0" fontId="3" fillId="0" borderId="15" xfId="121" applyBorder="1" applyAlignment="1" applyProtection="1">
      <alignment horizontal="center"/>
    </xf>
    <xf numFmtId="0" fontId="3" fillId="0" borderId="14" xfId="121" applyBorder="1" applyAlignment="1" applyProtection="1">
      <alignment horizontal="center"/>
    </xf>
    <xf numFmtId="0" fontId="3" fillId="0" borderId="16" xfId="121" applyBorder="1" applyAlignment="1" applyProtection="1">
      <alignment horizontal="center"/>
    </xf>
    <xf numFmtId="1" fontId="3" fillId="0" borderId="19" xfId="121" applyNumberFormat="1" applyBorder="1" applyAlignment="1" applyProtection="1">
      <alignment horizontal="center"/>
    </xf>
    <xf numFmtId="0" fontId="3" fillId="0" borderId="9" xfId="121" applyBorder="1" applyAlignment="1" applyProtection="1">
      <alignment horizontal="center"/>
    </xf>
    <xf numFmtId="0" fontId="3" fillId="0" borderId="0" xfId="121" applyBorder="1" applyAlignment="1" applyProtection="1">
      <alignment horizontal="center"/>
    </xf>
    <xf numFmtId="0" fontId="3" fillId="0" borderId="6" xfId="121" applyBorder="1" applyAlignment="1" applyProtection="1">
      <alignment horizontal="center"/>
    </xf>
    <xf numFmtId="1" fontId="3" fillId="0" borderId="20" xfId="121" applyNumberFormat="1" applyBorder="1" applyAlignment="1" applyProtection="1">
      <alignment horizontal="center"/>
    </xf>
    <xf numFmtId="0" fontId="3" fillId="39" borderId="19" xfId="121" applyFill="1" applyBorder="1" applyAlignment="1">
      <alignment horizontal="center"/>
    </xf>
    <xf numFmtId="0" fontId="3" fillId="39" borderId="19" xfId="121" applyFill="1" applyBorder="1"/>
    <xf numFmtId="169" fontId="3" fillId="39" borderId="20" xfId="121" applyNumberFormat="1" applyFill="1" applyBorder="1" applyAlignment="1">
      <alignment horizontal="center"/>
    </xf>
    <xf numFmtId="0" fontId="3" fillId="39" borderId="20" xfId="121" applyFill="1" applyBorder="1"/>
    <xf numFmtId="169" fontId="3" fillId="0" borderId="16" xfId="121" applyNumberFormat="1" applyFill="1" applyBorder="1" applyAlignment="1" applyProtection="1">
      <alignment horizontal="center"/>
    </xf>
    <xf numFmtId="0" fontId="3" fillId="0" borderId="14" xfId="121" applyFill="1" applyBorder="1" applyAlignment="1" applyProtection="1">
      <alignment horizontal="center"/>
    </xf>
    <xf numFmtId="169" fontId="3" fillId="0" borderId="19" xfId="121" applyNumberFormat="1" applyFill="1" applyBorder="1" applyAlignment="1" applyProtection="1">
      <alignment horizontal="center"/>
    </xf>
    <xf numFmtId="169" fontId="3" fillId="26" borderId="19" xfId="121" applyNumberFormat="1" applyFill="1" applyBorder="1" applyAlignment="1" applyProtection="1">
      <alignment horizontal="center"/>
    </xf>
    <xf numFmtId="169" fontId="3" fillId="27" borderId="19" xfId="121" applyNumberFormat="1" applyFill="1" applyBorder="1" applyAlignment="1" applyProtection="1">
      <alignment horizontal="center"/>
    </xf>
    <xf numFmtId="0" fontId="3" fillId="29" borderId="19" xfId="121" applyFill="1" applyBorder="1" applyProtection="1"/>
    <xf numFmtId="0" fontId="3" fillId="39" borderId="20" xfId="121" applyNumberFormat="1" applyFill="1" applyBorder="1" applyAlignment="1">
      <alignment horizontal="center"/>
    </xf>
    <xf numFmtId="169" fontId="3" fillId="0" borderId="9" xfId="121" applyNumberFormat="1" applyFill="1" applyBorder="1" applyAlignment="1" applyProtection="1">
      <alignment horizontal="center"/>
    </xf>
    <xf numFmtId="0" fontId="3" fillId="0" borderId="6" xfId="121" applyFill="1" applyBorder="1" applyAlignment="1" applyProtection="1">
      <alignment horizontal="center"/>
    </xf>
    <xf numFmtId="169" fontId="3" fillId="0" borderId="20" xfId="121" applyNumberFormat="1" applyFill="1" applyBorder="1" applyAlignment="1" applyProtection="1">
      <alignment horizontal="center"/>
    </xf>
    <xf numFmtId="169" fontId="3" fillId="26" borderId="20" xfId="121" applyNumberFormat="1" applyFill="1" applyBorder="1" applyAlignment="1" applyProtection="1">
      <alignment horizontal="center"/>
    </xf>
    <xf numFmtId="169" fontId="3" fillId="27" borderId="20" xfId="121" applyNumberFormat="1" applyFill="1" applyBorder="1" applyAlignment="1" applyProtection="1">
      <alignment horizontal="center"/>
    </xf>
    <xf numFmtId="0" fontId="3" fillId="29" borderId="20" xfId="121" applyFill="1" applyBorder="1" applyProtection="1"/>
    <xf numFmtId="0" fontId="3" fillId="39" borderId="20" xfId="121" applyFill="1" applyBorder="1" applyAlignment="1">
      <alignment horizontal="center"/>
    </xf>
    <xf numFmtId="0" fontId="3" fillId="39" borderId="41" xfId="121" applyNumberFormat="1" applyFill="1" applyBorder="1" applyAlignment="1">
      <alignment horizontal="center"/>
    </xf>
    <xf numFmtId="0" fontId="3" fillId="39" borderId="41" xfId="121" applyFill="1" applyBorder="1"/>
    <xf numFmtId="0" fontId="3" fillId="0" borderId="0" xfId="121" applyBorder="1"/>
    <xf numFmtId="0" fontId="3" fillId="0" borderId="42" xfId="121" applyBorder="1" applyAlignment="1">
      <alignment horizontal="center"/>
    </xf>
    <xf numFmtId="0" fontId="5" fillId="0" borderId="42" xfId="121" applyFont="1" applyBorder="1"/>
    <xf numFmtId="0" fontId="3" fillId="31" borderId="42" xfId="121" applyFont="1" applyFill="1" applyBorder="1" applyAlignment="1" applyProtection="1">
      <alignment horizontal="center"/>
    </xf>
    <xf numFmtId="0" fontId="3" fillId="27" borderId="19" xfId="121" applyFont="1" applyFill="1" applyBorder="1" applyProtection="1"/>
    <xf numFmtId="169" fontId="3" fillId="31" borderId="19" xfId="121" applyNumberFormat="1" applyFill="1" applyBorder="1" applyAlignment="1">
      <alignment horizontal="center"/>
    </xf>
    <xf numFmtId="0" fontId="3" fillId="32" borderId="19" xfId="121" applyFill="1" applyBorder="1" applyProtection="1"/>
    <xf numFmtId="0" fontId="3" fillId="31" borderId="20" xfId="121" applyFill="1" applyBorder="1" applyAlignment="1">
      <alignment horizontal="center"/>
    </xf>
    <xf numFmtId="0" fontId="3" fillId="32" borderId="20" xfId="121" applyFill="1" applyBorder="1" applyProtection="1"/>
    <xf numFmtId="169" fontId="3" fillId="31" borderId="20" xfId="121" applyNumberFormat="1" applyFont="1" applyFill="1" applyBorder="1" applyAlignment="1" applyProtection="1">
      <alignment horizontal="center"/>
    </xf>
    <xf numFmtId="0" fontId="3" fillId="32" borderId="20" xfId="121" applyFont="1" applyFill="1" applyBorder="1" applyProtection="1"/>
    <xf numFmtId="0" fontId="3" fillId="0" borderId="16" xfId="121" applyFont="1" applyBorder="1" applyProtection="1"/>
    <xf numFmtId="0" fontId="3" fillId="0" borderId="14" xfId="121" applyBorder="1" applyProtection="1"/>
    <xf numFmtId="0" fontId="3" fillId="31" borderId="20" xfId="121" applyFont="1" applyFill="1" applyBorder="1" applyAlignment="1" applyProtection="1">
      <alignment horizontal="center"/>
    </xf>
    <xf numFmtId="0" fontId="3" fillId="0" borderId="9" xfId="121" applyFont="1" applyBorder="1" applyProtection="1"/>
    <xf numFmtId="0" fontId="3" fillId="0" borderId="6" xfId="121" applyBorder="1" applyProtection="1"/>
    <xf numFmtId="0" fontId="3" fillId="0" borderId="0" xfId="121" applyFont="1" applyProtection="1"/>
    <xf numFmtId="0" fontId="3" fillId="0" borderId="5" xfId="121" applyFont="1" applyBorder="1" applyProtection="1"/>
    <xf numFmtId="0" fontId="3" fillId="0" borderId="26" xfId="121" applyBorder="1" applyProtection="1"/>
    <xf numFmtId="0" fontId="3" fillId="31" borderId="20" xfId="121" applyFill="1" applyBorder="1" applyAlignment="1" applyProtection="1">
      <alignment horizontal="center"/>
    </xf>
    <xf numFmtId="0" fontId="3" fillId="0" borderId="5" xfId="121" applyBorder="1" applyAlignment="1" applyProtection="1">
      <alignment horizontal="center"/>
    </xf>
    <xf numFmtId="0" fontId="3" fillId="0" borderId="45" xfId="121" applyBorder="1" applyAlignment="1" applyProtection="1">
      <alignment horizontal="center"/>
    </xf>
    <xf numFmtId="0" fontId="3" fillId="0" borderId="26" xfId="121" applyBorder="1" applyAlignment="1" applyProtection="1">
      <alignment horizontal="center"/>
    </xf>
    <xf numFmtId="1" fontId="3" fillId="0" borderId="41" xfId="121" applyNumberFormat="1" applyBorder="1" applyAlignment="1" applyProtection="1">
      <alignment horizontal="center"/>
    </xf>
    <xf numFmtId="0" fontId="3" fillId="31" borderId="41" xfId="121" applyFill="1" applyBorder="1" applyAlignment="1" applyProtection="1">
      <alignment horizontal="center"/>
    </xf>
    <xf numFmtId="0" fontId="3" fillId="32" borderId="41" xfId="121" applyFont="1" applyFill="1" applyBorder="1" applyProtection="1"/>
    <xf numFmtId="0" fontId="18" fillId="0" borderId="42" xfId="121" applyFont="1" applyBorder="1" applyAlignment="1" applyProtection="1">
      <alignment horizontal="center"/>
    </xf>
    <xf numFmtId="0" fontId="2" fillId="0" borderId="5" xfId="121" applyFont="1" applyBorder="1" applyAlignment="1" applyProtection="1">
      <alignment horizontal="center"/>
    </xf>
    <xf numFmtId="0" fontId="2" fillId="0" borderId="26" xfId="121" applyFont="1" applyBorder="1" applyAlignment="1" applyProtection="1">
      <alignment horizontal="center"/>
    </xf>
    <xf numFmtId="0" fontId="3" fillId="31" borderId="19" xfId="121" applyFont="1" applyFill="1" applyBorder="1" applyAlignment="1" applyProtection="1">
      <alignment horizontal="center"/>
    </xf>
    <xf numFmtId="0" fontId="3" fillId="35" borderId="19" xfId="121" applyFont="1" applyFill="1" applyBorder="1" applyProtection="1"/>
    <xf numFmtId="0" fontId="3" fillId="0" borderId="0" xfId="121" applyAlignment="1" applyProtection="1">
      <alignment horizontal="center"/>
    </xf>
    <xf numFmtId="0" fontId="3" fillId="31" borderId="20" xfId="121" applyFont="1" applyFill="1" applyBorder="1" applyAlignment="1">
      <alignment horizontal="center"/>
    </xf>
    <xf numFmtId="0" fontId="3" fillId="35" borderId="20" xfId="121" applyFont="1" applyFill="1" applyBorder="1"/>
    <xf numFmtId="0" fontId="3" fillId="31" borderId="41" xfId="121" applyFill="1" applyBorder="1" applyAlignment="1">
      <alignment horizontal="center"/>
    </xf>
    <xf numFmtId="0" fontId="3" fillId="35" borderId="41" xfId="121" applyFont="1" applyFill="1" applyBorder="1"/>
    <xf numFmtId="0" fontId="3" fillId="0" borderId="0" xfId="121" applyFont="1" applyBorder="1" applyProtection="1"/>
    <xf numFmtId="0" fontId="3" fillId="0" borderId="44" xfId="121" applyBorder="1" applyAlignment="1" applyProtection="1">
      <alignment horizontal="center"/>
    </xf>
    <xf numFmtId="0" fontId="3" fillId="0" borderId="43" xfId="121" applyBorder="1" applyAlignment="1" applyProtection="1">
      <alignment horizontal="center"/>
    </xf>
    <xf numFmtId="0" fontId="3" fillId="0" borderId="43" xfId="121" applyFont="1" applyBorder="1" applyAlignment="1" applyProtection="1">
      <alignment horizontal="center"/>
    </xf>
    <xf numFmtId="0" fontId="3" fillId="34" borderId="19" xfId="121" applyFont="1" applyFill="1" applyBorder="1" applyProtection="1"/>
    <xf numFmtId="0" fontId="2" fillId="0" borderId="44" xfId="121" applyFont="1" applyBorder="1" applyAlignment="1" applyProtection="1">
      <alignment horizontal="center"/>
    </xf>
    <xf numFmtId="0" fontId="2" fillId="0" borderId="43" xfId="121" applyFont="1" applyBorder="1" applyAlignment="1" applyProtection="1">
      <alignment horizontal="center"/>
    </xf>
    <xf numFmtId="169" fontId="3" fillId="0" borderId="5" xfId="121" applyNumberFormat="1" applyFill="1" applyBorder="1" applyAlignment="1" applyProtection="1">
      <alignment horizontal="center"/>
    </xf>
    <xf numFmtId="0" fontId="3" fillId="0" borderId="26" xfId="121" applyFill="1" applyBorder="1" applyAlignment="1" applyProtection="1">
      <alignment horizontal="center"/>
    </xf>
    <xf numFmtId="169" fontId="3" fillId="0" borderId="41" xfId="121" applyNumberFormat="1" applyFill="1" applyBorder="1" applyAlignment="1" applyProtection="1">
      <alignment horizontal="center"/>
    </xf>
    <xf numFmtId="169" fontId="3" fillId="26" borderId="41" xfId="121" applyNumberFormat="1" applyFill="1" applyBorder="1" applyAlignment="1" applyProtection="1">
      <alignment horizontal="center"/>
    </xf>
    <xf numFmtId="169" fontId="3" fillId="27" borderId="41" xfId="121" applyNumberFormat="1" applyFill="1" applyBorder="1" applyAlignment="1" applyProtection="1">
      <alignment horizontal="center"/>
    </xf>
    <xf numFmtId="0" fontId="3" fillId="36" borderId="19" xfId="121" applyFont="1" applyFill="1" applyBorder="1" applyProtection="1"/>
    <xf numFmtId="172" fontId="19" fillId="33" borderId="42" xfId="121" applyNumberFormat="1" applyFont="1" applyFill="1" applyBorder="1" applyAlignment="1" applyProtection="1">
      <alignment horizontal="center"/>
    </xf>
    <xf numFmtId="0" fontId="3" fillId="31" borderId="41" xfId="121" applyFont="1" applyFill="1" applyBorder="1" applyAlignment="1" applyProtection="1">
      <alignment horizontal="center"/>
    </xf>
    <xf numFmtId="0" fontId="3" fillId="36" borderId="41" xfId="121" applyFont="1" applyFill="1" applyBorder="1" applyProtection="1"/>
    <xf numFmtId="0" fontId="3" fillId="0" borderId="16" xfId="121" applyFill="1" applyBorder="1" applyAlignment="1" applyProtection="1">
      <alignment horizontal="center"/>
    </xf>
    <xf numFmtId="169" fontId="3" fillId="0" borderId="42" xfId="121" applyNumberFormat="1" applyFill="1" applyBorder="1" applyAlignment="1" applyProtection="1">
      <alignment horizontal="center"/>
    </xf>
    <xf numFmtId="169" fontId="3" fillId="26" borderId="42" xfId="121" applyNumberFormat="1" applyFill="1" applyBorder="1" applyAlignment="1" applyProtection="1">
      <alignment horizontal="center"/>
    </xf>
    <xf numFmtId="169" fontId="3" fillId="27" borderId="42" xfId="121" applyNumberFormat="1" applyFill="1" applyBorder="1" applyAlignment="1" applyProtection="1">
      <alignment horizontal="center"/>
    </xf>
    <xf numFmtId="173" fontId="3" fillId="28" borderId="42" xfId="121" applyNumberFormat="1" applyFill="1" applyBorder="1" applyAlignment="1" applyProtection="1">
      <alignment horizontal="center"/>
    </xf>
    <xf numFmtId="0" fontId="3" fillId="29" borderId="42" xfId="121" applyFill="1" applyBorder="1" applyProtection="1"/>
    <xf numFmtId="169" fontId="20" fillId="26" borderId="19" xfId="121" applyNumberFormat="1" applyFont="1" applyFill="1" applyBorder="1" applyAlignment="1" applyProtection="1">
      <alignment horizontal="center"/>
    </xf>
    <xf numFmtId="174" fontId="3" fillId="28" borderId="19" xfId="121" applyNumberFormat="1" applyFill="1" applyBorder="1" applyAlignment="1" applyProtection="1">
      <alignment horizontal="center"/>
    </xf>
    <xf numFmtId="174" fontId="3" fillId="28" borderId="20" xfId="121" applyNumberFormat="1" applyFill="1" applyBorder="1" applyAlignment="1" applyProtection="1">
      <alignment horizontal="center"/>
    </xf>
    <xf numFmtId="21" fontId="3" fillId="31" borderId="42" xfId="121" applyNumberFormat="1" applyFill="1" applyBorder="1" applyAlignment="1">
      <alignment horizontal="center"/>
    </xf>
    <xf numFmtId="0" fontId="3" fillId="37" borderId="42" xfId="121" applyFont="1" applyFill="1" applyBorder="1"/>
    <xf numFmtId="0" fontId="5" fillId="0" borderId="0" xfId="121" applyFont="1" applyBorder="1" applyAlignment="1" applyProtection="1">
      <alignment horizontal="center"/>
    </xf>
    <xf numFmtId="0" fontId="3" fillId="36" borderId="20" xfId="121" applyFont="1" applyFill="1" applyBorder="1" applyProtection="1"/>
    <xf numFmtId="0" fontId="3" fillId="35" borderId="19" xfId="121" applyFont="1" applyFill="1" applyBorder="1"/>
    <xf numFmtId="0" fontId="3" fillId="0" borderId="26" xfId="121" applyFont="1" applyBorder="1" applyAlignment="1" applyProtection="1">
      <alignment horizontal="center"/>
    </xf>
    <xf numFmtId="175" fontId="3" fillId="28" borderId="19" xfId="121" applyNumberFormat="1" applyFill="1" applyBorder="1" applyAlignment="1" applyProtection="1">
      <alignment horizontal="center"/>
    </xf>
    <xf numFmtId="175" fontId="3" fillId="28" borderId="20" xfId="121" applyNumberFormat="1" applyFill="1" applyBorder="1" applyAlignment="1" applyProtection="1">
      <alignment horizontal="center"/>
    </xf>
    <xf numFmtId="175" fontId="3" fillId="28" borderId="41" xfId="121" applyNumberFormat="1" applyFill="1" applyBorder="1" applyAlignment="1" applyProtection="1">
      <alignment horizontal="center"/>
    </xf>
    <xf numFmtId="0" fontId="3" fillId="29" borderId="41" xfId="121" applyFill="1" applyBorder="1" applyProtection="1"/>
    <xf numFmtId="0" fontId="3" fillId="34" borderId="20" xfId="121" applyFont="1" applyFill="1" applyBorder="1" applyProtection="1"/>
    <xf numFmtId="1" fontId="3" fillId="28" borderId="19" xfId="121" applyNumberFormat="1" applyFill="1" applyBorder="1" applyAlignment="1" applyProtection="1">
      <alignment horizontal="center"/>
    </xf>
    <xf numFmtId="170" fontId="3" fillId="30" borderId="41" xfId="121" applyNumberFormat="1" applyFont="1" applyFill="1" applyBorder="1" applyProtection="1"/>
    <xf numFmtId="171" fontId="3" fillId="30" borderId="41" xfId="121" applyNumberFormat="1" applyFont="1" applyFill="1" applyBorder="1" applyAlignment="1" applyProtection="1">
      <alignment horizontal="center"/>
    </xf>
    <xf numFmtId="0" fontId="19" fillId="33" borderId="42" xfId="121" applyNumberFormat="1" applyFont="1" applyFill="1" applyBorder="1" applyAlignment="1" applyProtection="1">
      <alignment horizontal="center"/>
    </xf>
    <xf numFmtId="171" fontId="3" fillId="0" borderId="0" xfId="121" applyNumberFormat="1" applyBorder="1" applyProtection="1"/>
    <xf numFmtId="0" fontId="3" fillId="29" borderId="41" xfId="121" applyFont="1" applyFill="1" applyBorder="1" applyProtection="1"/>
    <xf numFmtId="1" fontId="3" fillId="28" borderId="41" xfId="121" applyNumberFormat="1" applyFont="1" applyFill="1" applyBorder="1" applyAlignment="1" applyProtection="1">
      <alignment horizontal="center"/>
    </xf>
    <xf numFmtId="0" fontId="3" fillId="0" borderId="5" xfId="121" applyFont="1" applyBorder="1" applyAlignment="1" applyProtection="1">
      <alignment horizontal="center"/>
    </xf>
    <xf numFmtId="169" fontId="3" fillId="0" borderId="41" xfId="121" applyNumberFormat="1" applyFont="1" applyFill="1" applyBorder="1" applyAlignment="1" applyProtection="1">
      <alignment horizontal="center"/>
    </xf>
    <xf numFmtId="169" fontId="3" fillId="26" borderId="41" xfId="121" applyNumberFormat="1" applyFont="1" applyFill="1" applyBorder="1" applyAlignment="1" applyProtection="1">
      <alignment horizontal="center"/>
    </xf>
    <xf numFmtId="0" fontId="3" fillId="29" borderId="19" xfId="121" applyFont="1" applyFill="1" applyBorder="1" applyProtection="1"/>
    <xf numFmtId="1" fontId="3" fillId="28" borderId="19" xfId="121" applyNumberFormat="1" applyFont="1" applyFill="1" applyBorder="1" applyAlignment="1" applyProtection="1">
      <alignment horizontal="center"/>
    </xf>
    <xf numFmtId="0" fontId="3" fillId="0" borderId="14" xfId="121" applyFont="1" applyBorder="1" applyAlignment="1" applyProtection="1">
      <alignment horizontal="center"/>
    </xf>
    <xf numFmtId="0" fontId="3" fillId="0" borderId="16" xfId="121" applyFont="1" applyBorder="1" applyAlignment="1" applyProtection="1">
      <alignment horizontal="center"/>
    </xf>
    <xf numFmtId="169" fontId="3" fillId="0" borderId="19" xfId="121" applyNumberFormat="1" applyFont="1" applyFill="1" applyBorder="1" applyAlignment="1" applyProtection="1">
      <alignment horizontal="center"/>
    </xf>
    <xf numFmtId="169" fontId="3" fillId="26" borderId="19" xfId="121" applyNumberFormat="1" applyFont="1" applyFill="1" applyBorder="1" applyAlignment="1" applyProtection="1">
      <alignment horizontal="center"/>
    </xf>
    <xf numFmtId="0" fontId="3" fillId="0" borderId="16" xfId="121" quotePrefix="1" applyFont="1" applyBorder="1" applyProtection="1"/>
    <xf numFmtId="174" fontId="3" fillId="28" borderId="41" xfId="121" applyNumberFormat="1" applyFill="1" applyBorder="1" applyAlignment="1" applyProtection="1">
      <alignment horizontal="center"/>
    </xf>
    <xf numFmtId="0" fontId="33" fillId="41" borderId="42" xfId="121" applyFont="1" applyFill="1" applyBorder="1" applyAlignment="1">
      <alignment horizontal="center"/>
    </xf>
    <xf numFmtId="0" fontId="34" fillId="42" borderId="42" xfId="121" applyFont="1" applyFill="1" applyBorder="1"/>
    <xf numFmtId="0" fontId="35" fillId="0" borderId="46" xfId="0" applyFont="1" applyBorder="1"/>
    <xf numFmtId="0" fontId="35" fillId="0" borderId="46" xfId="121" applyFont="1" applyBorder="1"/>
    <xf numFmtId="169" fontId="5" fillId="43" borderId="41" xfId="121" applyNumberFormat="1" applyFont="1" applyFill="1" applyBorder="1" applyAlignment="1" applyProtection="1">
      <alignment horizontal="center"/>
    </xf>
    <xf numFmtId="169" fontId="5" fillId="43" borderId="19" xfId="121" applyNumberFormat="1" applyFont="1" applyFill="1" applyBorder="1" applyAlignment="1" applyProtection="1">
      <alignment horizontal="center"/>
    </xf>
    <xf numFmtId="178" fontId="0" fillId="0" borderId="0" xfId="0" applyNumberFormat="1"/>
    <xf numFmtId="170" fontId="3" fillId="0" borderId="0" xfId="121" applyNumberFormat="1" applyBorder="1" applyProtection="1"/>
    <xf numFmtId="169" fontId="3" fillId="39" borderId="41" xfId="121" applyNumberFormat="1" applyFont="1" applyFill="1" applyBorder="1" applyAlignment="1" applyProtection="1">
      <alignment horizontal="center"/>
    </xf>
    <xf numFmtId="169" fontId="3" fillId="39" borderId="19" xfId="121" applyNumberFormat="1" applyFont="1" applyFill="1" applyBorder="1" applyAlignment="1" applyProtection="1">
      <alignment horizontal="center"/>
    </xf>
    <xf numFmtId="169" fontId="3" fillId="39" borderId="19" xfId="121" applyNumberFormat="1" applyFill="1" applyBorder="1" applyAlignment="1" applyProtection="1">
      <alignment horizontal="center"/>
    </xf>
    <xf numFmtId="169" fontId="3" fillId="39" borderId="41" xfId="121" applyNumberFormat="1" applyFill="1" applyBorder="1" applyAlignment="1" applyProtection="1">
      <alignment horizontal="center"/>
    </xf>
    <xf numFmtId="169" fontId="3" fillId="39" borderId="20" xfId="121" applyNumberFormat="1" applyFill="1" applyBorder="1" applyAlignment="1" applyProtection="1">
      <alignment horizontal="center"/>
    </xf>
    <xf numFmtId="0" fontId="3" fillId="44" borderId="47" xfId="121" applyFill="1" applyBorder="1" applyProtection="1"/>
    <xf numFmtId="0" fontId="0" fillId="39" borderId="6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36" xfId="0" applyNumberFormat="1" applyFill="1" applyBorder="1" applyAlignment="1">
      <alignment horizontal="center"/>
    </xf>
    <xf numFmtId="21" fontId="0" fillId="39" borderId="19" xfId="0" applyNumberFormat="1" applyFill="1" applyBorder="1" applyAlignment="1">
      <alignment horizontal="center"/>
    </xf>
    <xf numFmtId="17" fontId="0" fillId="0" borderId="0" xfId="0" applyNumberFormat="1"/>
    <xf numFmtId="14" fontId="3" fillId="0" borderId="0" xfId="121" applyNumberFormat="1" applyProtection="1"/>
    <xf numFmtId="11" fontId="3" fillId="0" borderId="0" xfId="121" applyNumberFormat="1" applyProtection="1"/>
    <xf numFmtId="179" fontId="3" fillId="0" borderId="0" xfId="121" applyNumberFormat="1" applyProtection="1"/>
    <xf numFmtId="0" fontId="5" fillId="0" borderId="47" xfId="121" applyFont="1" applyFill="1" applyBorder="1" applyAlignment="1">
      <alignment horizontal="center"/>
    </xf>
    <xf numFmtId="0" fontId="37" fillId="45" borderId="6" xfId="121" applyFont="1" applyFill="1" applyBorder="1"/>
    <xf numFmtId="0" fontId="3" fillId="39" borderId="6" xfId="121" applyFill="1" applyBorder="1"/>
    <xf numFmtId="0" fontId="3" fillId="39" borderId="6" xfId="121" applyFont="1" applyFill="1" applyBorder="1"/>
    <xf numFmtId="0" fontId="3" fillId="39" borderId="14" xfId="121" applyFill="1" applyBorder="1"/>
    <xf numFmtId="0" fontId="3" fillId="39" borderId="50" xfId="121" applyFill="1" applyBorder="1" applyAlignment="1">
      <alignment horizontal="center"/>
    </xf>
    <xf numFmtId="0" fontId="37" fillId="45" borderId="20" xfId="121" applyFont="1" applyFill="1" applyBorder="1"/>
    <xf numFmtId="0" fontId="3" fillId="0" borderId="20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37" fillId="0" borderId="0" xfId="121" applyFont="1"/>
    <xf numFmtId="0" fontId="2" fillId="40" borderId="47" xfId="121" applyFont="1" applyFill="1" applyBorder="1" applyProtection="1"/>
    <xf numFmtId="0" fontId="3" fillId="40" borderId="19" xfId="121" applyFill="1" applyBorder="1" applyProtection="1"/>
    <xf numFmtId="170" fontId="3" fillId="40" borderId="50" xfId="121" applyNumberFormat="1" applyFont="1" applyFill="1" applyBorder="1" applyProtection="1"/>
    <xf numFmtId="170" fontId="3" fillId="40" borderId="20" xfId="121" applyNumberFormat="1" applyFont="1" applyFill="1" applyBorder="1" applyProtection="1"/>
    <xf numFmtId="170" fontId="3" fillId="40" borderId="19" xfId="121" applyNumberFormat="1" applyFont="1" applyFill="1" applyBorder="1" applyProtection="1"/>
    <xf numFmtId="0" fontId="3" fillId="40" borderId="50" xfId="121" applyFill="1" applyBorder="1" applyAlignment="1" applyProtection="1">
      <alignment horizontal="right"/>
    </xf>
    <xf numFmtId="174" fontId="3" fillId="40" borderId="20" xfId="121" applyNumberFormat="1" applyFill="1" applyBorder="1" applyAlignment="1" applyProtection="1">
      <alignment horizontal="right"/>
    </xf>
    <xf numFmtId="174" fontId="3" fillId="40" borderId="19" xfId="121" applyNumberFormat="1" applyFill="1" applyBorder="1" applyAlignment="1" applyProtection="1">
      <alignment horizontal="right"/>
    </xf>
    <xf numFmtId="0" fontId="3" fillId="40" borderId="47" xfId="121" applyFill="1" applyBorder="1" applyProtection="1"/>
    <xf numFmtId="11" fontId="3" fillId="40" borderId="50" xfId="121" applyNumberFormat="1" applyFill="1" applyBorder="1" applyProtection="1"/>
    <xf numFmtId="11" fontId="3" fillId="40" borderId="20" xfId="121" applyNumberFormat="1" applyFill="1" applyBorder="1" applyProtection="1"/>
    <xf numFmtId="11" fontId="3" fillId="40" borderId="19" xfId="121" applyNumberFormat="1" applyFill="1" applyBorder="1" applyProtection="1"/>
    <xf numFmtId="170" fontId="3" fillId="40" borderId="47" xfId="121" applyNumberFormat="1" applyFont="1" applyFill="1" applyBorder="1" applyProtection="1"/>
    <xf numFmtId="11" fontId="3" fillId="40" borderId="47" xfId="121" applyNumberFormat="1" applyFill="1" applyBorder="1" applyProtection="1"/>
    <xf numFmtId="0" fontId="36" fillId="45" borderId="27" xfId="121" applyFont="1" applyFill="1" applyBorder="1"/>
    <xf numFmtId="0" fontId="36" fillId="45" borderId="28" xfId="121" applyFont="1" applyFill="1" applyBorder="1"/>
    <xf numFmtId="170" fontId="3" fillId="40" borderId="20" xfId="121" applyNumberFormat="1" applyFill="1" applyBorder="1" applyProtection="1"/>
    <xf numFmtId="170" fontId="3" fillId="40" borderId="19" xfId="121" applyNumberFormat="1" applyFill="1" applyBorder="1" applyProtection="1"/>
    <xf numFmtId="170" fontId="3" fillId="40" borderId="50" xfId="121" applyNumberFormat="1" applyFill="1" applyBorder="1" applyProtection="1"/>
    <xf numFmtId="0" fontId="3" fillId="40" borderId="19" xfId="121" applyFill="1" applyBorder="1" applyAlignment="1" applyProtection="1">
      <alignment horizontal="right"/>
    </xf>
    <xf numFmtId="175" fontId="3" fillId="40" borderId="50" xfId="121" applyNumberFormat="1" applyFill="1" applyBorder="1" applyAlignment="1" applyProtection="1">
      <alignment horizontal="right"/>
    </xf>
    <xf numFmtId="175" fontId="3" fillId="40" borderId="20" xfId="121" applyNumberFormat="1" applyFill="1" applyBorder="1" applyAlignment="1" applyProtection="1">
      <alignment horizontal="right"/>
    </xf>
    <xf numFmtId="175" fontId="3" fillId="40" borderId="19" xfId="121" applyNumberFormat="1" applyFill="1" applyBorder="1" applyAlignment="1" applyProtection="1">
      <alignment horizontal="right"/>
    </xf>
    <xf numFmtId="0" fontId="3" fillId="45" borderId="48" xfId="121" applyFill="1" applyBorder="1" applyProtection="1"/>
    <xf numFmtId="0" fontId="3" fillId="45" borderId="51" xfId="121" applyFill="1" applyBorder="1" applyProtection="1"/>
    <xf numFmtId="0" fontId="3" fillId="45" borderId="49" xfId="121" applyFill="1" applyBorder="1" applyProtection="1"/>
    <xf numFmtId="0" fontId="3" fillId="45" borderId="6" xfId="121" applyFill="1" applyBorder="1" applyProtection="1"/>
    <xf numFmtId="0" fontId="3" fillId="45" borderId="0" xfId="121" applyFill="1" applyBorder="1" applyProtection="1"/>
    <xf numFmtId="0" fontId="3" fillId="45" borderId="9" xfId="121" applyFill="1" applyBorder="1" applyProtection="1"/>
    <xf numFmtId="0" fontId="3" fillId="45" borderId="14" xfId="121" applyFill="1" applyBorder="1" applyProtection="1"/>
    <xf numFmtId="0" fontId="3" fillId="45" borderId="15" xfId="121" applyFill="1" applyBorder="1" applyProtection="1"/>
    <xf numFmtId="0" fontId="3" fillId="45" borderId="16" xfId="121" applyFill="1" applyBorder="1" applyProtection="1"/>
    <xf numFmtId="0" fontId="3" fillId="40" borderId="48" xfId="121" applyFill="1" applyBorder="1" applyProtection="1"/>
    <xf numFmtId="0" fontId="3" fillId="40" borderId="49" xfId="121" applyFill="1" applyBorder="1" applyProtection="1"/>
    <xf numFmtId="0" fontId="3" fillId="40" borderId="6" xfId="121" applyFill="1" applyBorder="1" applyProtection="1"/>
    <xf numFmtId="0" fontId="3" fillId="40" borderId="9" xfId="121" applyFill="1" applyBorder="1" applyProtection="1"/>
    <xf numFmtId="0" fontId="3" fillId="40" borderId="14" xfId="121" applyFill="1" applyBorder="1" applyProtection="1"/>
    <xf numFmtId="0" fontId="3" fillId="40" borderId="16" xfId="121" applyFill="1" applyBorder="1" applyProtection="1"/>
    <xf numFmtId="0" fontId="2" fillId="39" borderId="26" xfId="121" applyFont="1" applyFill="1" applyBorder="1" applyProtection="1"/>
    <xf numFmtId="0" fontId="2" fillId="39" borderId="45" xfId="121" applyFont="1" applyFill="1" applyBorder="1" applyProtection="1"/>
    <xf numFmtId="0" fontId="2" fillId="39" borderId="5" xfId="121" applyFont="1" applyFill="1" applyBorder="1" applyProtection="1"/>
    <xf numFmtId="0" fontId="2" fillId="39" borderId="6" xfId="121" applyFont="1" applyFill="1" applyBorder="1" applyProtection="1"/>
    <xf numFmtId="0" fontId="2" fillId="39" borderId="0" xfId="121" applyFont="1" applyFill="1" applyBorder="1" applyProtection="1"/>
    <xf numFmtId="0" fontId="2" fillId="39" borderId="42" xfId="121" applyFont="1" applyFill="1" applyBorder="1" applyAlignment="1" applyProtection="1">
      <alignment horizontal="center"/>
    </xf>
    <xf numFmtId="0" fontId="3" fillId="39" borderId="26" xfId="121" applyFill="1" applyBorder="1" applyProtection="1"/>
    <xf numFmtId="0" fontId="3" fillId="39" borderId="45" xfId="121" applyFill="1" applyBorder="1" applyProtection="1"/>
    <xf numFmtId="177" fontId="3" fillId="39" borderId="5" xfId="121" applyNumberFormat="1" applyFill="1" applyBorder="1" applyProtection="1"/>
    <xf numFmtId="0" fontId="3" fillId="39" borderId="6" xfId="121" applyFill="1" applyBorder="1" applyProtection="1"/>
    <xf numFmtId="0" fontId="3" fillId="39" borderId="0" xfId="121" applyFill="1" applyBorder="1" applyProtection="1"/>
    <xf numFmtId="177" fontId="3" fillId="39" borderId="9" xfId="121" applyNumberFormat="1" applyFill="1" applyBorder="1" applyProtection="1"/>
    <xf numFmtId="0" fontId="3" fillId="39" borderId="14" xfId="121" applyFill="1" applyBorder="1" applyProtection="1"/>
    <xf numFmtId="0" fontId="3" fillId="39" borderId="15" xfId="121" applyFill="1" applyBorder="1" applyProtection="1"/>
    <xf numFmtId="177" fontId="3" fillId="39" borderId="16" xfId="121" applyNumberFormat="1" applyFill="1" applyBorder="1" applyProtection="1"/>
    <xf numFmtId="170" fontId="3" fillId="39" borderId="5" xfId="121" applyNumberFormat="1" applyFill="1" applyBorder="1" applyProtection="1"/>
    <xf numFmtId="0" fontId="0" fillId="39" borderId="6" xfId="0" applyFill="1" applyBorder="1"/>
    <xf numFmtId="170" fontId="3" fillId="39" borderId="9" xfId="121" applyNumberFormat="1" applyFill="1" applyBorder="1" applyProtection="1"/>
    <xf numFmtId="0" fontId="0" fillId="39" borderId="14" xfId="0" applyFill="1" applyBorder="1"/>
    <xf numFmtId="170" fontId="3" fillId="39" borderId="16" xfId="121" applyNumberFormat="1" applyFill="1" applyBorder="1" applyProtection="1"/>
    <xf numFmtId="0" fontId="3" fillId="39" borderId="26" xfId="121" applyFont="1" applyFill="1" applyBorder="1" applyProtection="1"/>
    <xf numFmtId="0" fontId="3" fillId="39" borderId="5" xfId="121" applyFill="1" applyBorder="1" applyProtection="1"/>
    <xf numFmtId="0" fontId="3" fillId="39" borderId="16" xfId="121" applyFill="1" applyBorder="1" applyProtection="1"/>
    <xf numFmtId="0" fontId="3" fillId="39" borderId="14" xfId="121" applyFont="1" applyFill="1" applyBorder="1" applyProtection="1"/>
    <xf numFmtId="0" fontId="0" fillId="39" borderId="26" xfId="0" applyFill="1" applyBorder="1"/>
    <xf numFmtId="0" fontId="2" fillId="35" borderId="1" xfId="0" applyFont="1" applyFill="1" applyBorder="1" applyAlignment="1">
      <alignment horizontal="center"/>
    </xf>
    <xf numFmtId="0" fontId="2" fillId="35" borderId="2" xfId="0" applyFont="1" applyFill="1" applyBorder="1" applyAlignment="1">
      <alignment horizontal="center"/>
    </xf>
    <xf numFmtId="0" fontId="2" fillId="35" borderId="3" xfId="0" applyFont="1" applyFill="1" applyBorder="1" applyAlignment="1">
      <alignment horizontal="center"/>
    </xf>
    <xf numFmtId="172" fontId="2" fillId="35" borderId="27" xfId="1" applyNumberFormat="1" applyFont="1" applyFill="1" applyBorder="1" applyAlignment="1" applyProtection="1">
      <alignment horizontal="center"/>
    </xf>
    <xf numFmtId="172" fontId="2" fillId="35" borderId="28" xfId="1" applyNumberFormat="1" applyFont="1" applyFill="1" applyBorder="1" applyAlignment="1" applyProtection="1">
      <alignment horizontal="center"/>
    </xf>
    <xf numFmtId="172" fontId="19" fillId="33" borderId="26" xfId="121" applyNumberFormat="1" applyFont="1" applyFill="1" applyBorder="1" applyAlignment="1" applyProtection="1">
      <alignment horizontal="center"/>
    </xf>
    <xf numFmtId="172" fontId="19" fillId="33" borderId="5" xfId="121" applyNumberFormat="1" applyFont="1" applyFill="1" applyBorder="1" applyAlignment="1" applyProtection="1">
      <alignment horizontal="center"/>
    </xf>
    <xf numFmtId="0" fontId="3" fillId="46" borderId="27" xfId="121" applyFill="1" applyBorder="1" applyAlignment="1" applyProtection="1">
      <alignment horizontal="center"/>
    </xf>
    <xf numFmtId="0" fontId="3" fillId="46" borderId="52" xfId="121" applyFill="1" applyBorder="1" applyAlignment="1" applyProtection="1">
      <alignment horizontal="center"/>
    </xf>
    <xf numFmtId="0" fontId="3" fillId="46" borderId="28" xfId="121" applyFill="1" applyBorder="1" applyAlignment="1" applyProtection="1">
      <alignment horizontal="center"/>
    </xf>
    <xf numFmtId="0" fontId="5" fillId="0" borderId="1" xfId="1" applyFont="1" applyBorder="1" applyAlignment="1">
      <alignment horizontal="center"/>
    </xf>
    <xf numFmtId="0" fontId="4" fillId="0" borderId="3" xfId="1" applyBorder="1" applyAlignment="1"/>
    <xf numFmtId="172" fontId="19" fillId="33" borderId="48" xfId="121" applyNumberFormat="1" applyFont="1" applyFill="1" applyBorder="1" applyAlignment="1" applyProtection="1">
      <alignment horizontal="center"/>
    </xf>
    <xf numFmtId="172" fontId="19" fillId="33" borderId="49" xfId="121" applyNumberFormat="1" applyFont="1" applyFill="1" applyBorder="1" applyAlignment="1" applyProtection="1">
      <alignment horizontal="center"/>
    </xf>
    <xf numFmtId="14" fontId="3" fillId="30" borderId="48" xfId="121" applyNumberFormat="1" applyFont="1" applyFill="1" applyBorder="1" applyProtection="1"/>
    <xf numFmtId="14" fontId="3" fillId="30" borderId="6" xfId="121" applyNumberFormat="1" applyFont="1" applyFill="1" applyBorder="1" applyProtection="1"/>
    <xf numFmtId="14" fontId="3" fillId="30" borderId="14" xfId="121" applyNumberFormat="1" applyFont="1" applyFill="1" applyBorder="1" applyProtection="1"/>
    <xf numFmtId="166" fontId="3" fillId="31" borderId="50" xfId="121" applyNumberFormat="1" applyFont="1" applyFill="1" applyBorder="1" applyAlignment="1" applyProtection="1">
      <alignment horizontal="center"/>
    </xf>
    <xf numFmtId="166" fontId="3" fillId="31" borderId="20" xfId="121" applyNumberFormat="1" applyFont="1" applyFill="1" applyBorder="1" applyAlignment="1" applyProtection="1">
      <alignment horizontal="center"/>
    </xf>
    <xf numFmtId="166" fontId="3" fillId="31" borderId="19" xfId="121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24">
    <cellStyle name="20% - Accent1 2" xfId="39"/>
    <cellStyle name="20% - Accent2 2" xfId="40"/>
    <cellStyle name="20% - Accent3 2" xfId="41"/>
    <cellStyle name="20% - Accent4 2" xfId="42"/>
    <cellStyle name="20% - Accent5 2" xfId="43"/>
    <cellStyle name="20% - Accent6 2" xfId="44"/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Accent1 2" xfId="51"/>
    <cellStyle name="60% - Accent2 2" xfId="52"/>
    <cellStyle name="60% - Accent3 2" xfId="53"/>
    <cellStyle name="60% - Accent4 2" xfId="54"/>
    <cellStyle name="60% - Accent5 2" xfId="55"/>
    <cellStyle name="60% - Accent6 2" xfId="56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ccent1 2" xfId="57"/>
    <cellStyle name="Accent2 2" xfId="58"/>
    <cellStyle name="Accent3 2" xfId="59"/>
    <cellStyle name="Accent4 2" xfId="60"/>
    <cellStyle name="Accent5 2" xfId="61"/>
    <cellStyle name="Accent6 2" xfId="62"/>
    <cellStyle name="Bad 2" xfId="63"/>
    <cellStyle name="Calcolo" xfId="20"/>
    <cellStyle name="Calcolo 2" xfId="64"/>
    <cellStyle name="Calcolo 2 2" xfId="99"/>
    <cellStyle name="Calcolo 2 3" xfId="100"/>
    <cellStyle name="Calcolo 3" xfId="101"/>
    <cellStyle name="Calcolo 4" xfId="102"/>
    <cellStyle name="Calculation 2" xfId="65"/>
    <cellStyle name="Calculation 2 2" xfId="103"/>
    <cellStyle name="Calculation 2 3" xfId="104"/>
    <cellStyle name="Cella collegata" xfId="21"/>
    <cellStyle name="Cella da controllare" xfId="22"/>
    <cellStyle name="Check Cell 2" xfId="66"/>
    <cellStyle name="Colore 1" xfId="23"/>
    <cellStyle name="Colore 2" xfId="24"/>
    <cellStyle name="Colore 3" xfId="25"/>
    <cellStyle name="Colore 4" xfId="26"/>
    <cellStyle name="Colore 5" xfId="27"/>
    <cellStyle name="Colore 6" xfId="28"/>
    <cellStyle name="Comma 2" xfId="123"/>
    <cellStyle name="Euro" xfId="29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put 2" xfId="73"/>
    <cellStyle name="Input 2 2" xfId="105"/>
    <cellStyle name="Input 2 3" xfId="106"/>
    <cellStyle name="Linked Cell 2" xfId="74"/>
    <cellStyle name="Migliaia (0)_Anagrafiche Mutui" xfId="30"/>
    <cellStyle name="Migliaia_BENCH2" xfId="75"/>
    <cellStyle name="Neutral 2" xfId="76"/>
    <cellStyle name="Neutrale" xfId="31"/>
    <cellStyle name="Normal" xfId="0" builtinId="0"/>
    <cellStyle name="Normal 2" xfId="1"/>
    <cellStyle name="Normal 2 2" xfId="77"/>
    <cellStyle name="Normal 2 3" xfId="121"/>
    <cellStyle name="Normal 3" xfId="38"/>
    <cellStyle name="Normal 4" xfId="96"/>
    <cellStyle name="Normal 5" xfId="98"/>
    <cellStyle name="Normal 6" xfId="122"/>
    <cellStyle name="Normal 9" xfId="97"/>
    <cellStyle name="Normale_BENCH2" xfId="78"/>
    <cellStyle name="Nota" xfId="32"/>
    <cellStyle name="Nota 2" xfId="79"/>
    <cellStyle name="Nota 2 2" xfId="107"/>
    <cellStyle name="Nota 2 3" xfId="108"/>
    <cellStyle name="Nota 3" xfId="109"/>
    <cellStyle name="Nota 4" xfId="110"/>
    <cellStyle name="Note 2" xfId="80"/>
    <cellStyle name="Note 2 2" xfId="111"/>
    <cellStyle name="Note 2 3" xfId="112"/>
    <cellStyle name="Output 2" xfId="81"/>
    <cellStyle name="Output 2 2" xfId="113"/>
    <cellStyle name="Output 2 3" xfId="114"/>
    <cellStyle name="Percent 2" xfId="82"/>
    <cellStyle name="result" xfId="83"/>
    <cellStyle name="Testo avviso" xfId="33"/>
    <cellStyle name="Testo descrittivo" xfId="34"/>
    <cellStyle name="Title 2" xfId="84"/>
    <cellStyle name="Titolo" xfId="35"/>
    <cellStyle name="Titolo 1" xfId="36"/>
    <cellStyle name="Titolo 2" xfId="85"/>
    <cellStyle name="Titolo 3" xfId="86"/>
    <cellStyle name="Titolo 4" xfId="87"/>
    <cellStyle name="Titolo_ZCurve" xfId="88"/>
    <cellStyle name="Total 2" xfId="89"/>
    <cellStyle name="Total 2 2" xfId="115"/>
    <cellStyle name="Total 2 3" xfId="116"/>
    <cellStyle name="Totale" xfId="90"/>
    <cellStyle name="Totale 2" xfId="117"/>
    <cellStyle name="Totale 3" xfId="118"/>
    <cellStyle name="Trigger" xfId="37"/>
    <cellStyle name="Trigger 2" xfId="119"/>
    <cellStyle name="Trigger 3" xfId="120"/>
    <cellStyle name="Valore non valido" xfId="91"/>
    <cellStyle name="Valore valido" xfId="92"/>
    <cellStyle name="Valuta (0)_Anagrafiche Mutui" xfId="93"/>
    <cellStyle name="Valuta_BENCH2" xfId="94"/>
    <cellStyle name="Warning Text 2" xfId="95"/>
  </cellStyles>
  <dxfs count="10">
    <dxf>
      <font>
        <b val="0"/>
        <i/>
      </font>
      <fill>
        <patternFill>
          <bgColor rgb="FFFFFF99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b val="0"/>
        <i/>
      </font>
      <fill>
        <patternFill>
          <bgColor rgb="FFFFFF99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b val="0"/>
        <i/>
        <color auto="1"/>
      </font>
      <fill>
        <patternFill>
          <bgColor rgb="FFFFFF99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ont>
        <b val="0"/>
        <i val="0"/>
        <color auto="1"/>
      </font>
      <fill>
        <patternFill>
          <bgColor rgb="FFFFFF99"/>
        </patternFill>
      </fill>
    </dxf>
    <dxf>
      <font>
        <color theme="0" tint="-0.14996795556505021"/>
      </font>
    </dxf>
    <dxf>
      <font>
        <b val="0"/>
        <i/>
        <color theme="0" tint="-0.14996795556505021"/>
      </font>
    </dxf>
  </dxfs>
  <tableStyles count="0" defaultTableStyle="TableStyleMedium2" defaultPivotStyle="PivotStyleLight16"/>
  <colors>
    <mruColors>
      <color rgb="FFCCFFFF"/>
      <color rgb="FFFFCCFF"/>
      <color rgb="FF00CC99"/>
      <color rgb="FF5BF374"/>
      <color rgb="FF99CCFF"/>
      <color rgb="FFCCFFCC"/>
      <color rgb="FFFF66FF"/>
      <color rgb="FFF9A9AB"/>
      <color rgb="FFFF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nowrtdserver">
      <tp>
        <v>0.68070601851650281</v>
        <stp/>
        <stp>D8</stp>
        <stp>90</stp>
        <tr r="D8" s="8"/>
      </tp>
      <tp>
        <v>0.68070601851650281</v>
        <stp/>
        <stp>C16</stp>
        <stp>90</stp>
        <tr r="C16" s="27"/>
      </tp>
    </main>
    <main first="pldatasource.rtgetrtdserver">
      <tp>
        <v>-27.75</v>
        <stp/>
        <stp>_x000D_EURCBS8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27"/>
      </tp>
      <tp>
        <v>-27.25</v>
        <stp/>
        <stp>_x000D_EURCBS9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27"/>
      </tp>
      <tp>
        <v>-29.125</v>
        <stp/>
        <stp>_x000D_EURCBS6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27"/>
      </tp>
      <tp>
        <v>-28.5</v>
        <stp/>
        <stp>_x000D_EURCBS7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27"/>
      </tp>
      <tp>
        <v>-29.375</v>
        <stp/>
        <stp>_x000D_EURCBS4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27"/>
      </tp>
      <tp>
        <v>-29.625</v>
        <stp/>
        <stp>_x000D_EURCBS5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27"/>
      </tp>
      <tp>
        <v>-27.625</v>
        <stp/>
        <stp>_x000D_EURCBS2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27"/>
      </tp>
      <tp>
        <v>-28.625</v>
        <stp/>
        <stp>_x000D_EURCBS3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27"/>
      </tp>
      <tp>
        <v>-26.5</v>
        <stp/>
        <stp>_x000D_EURCBS1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27"/>
      </tp>
      <tp>
        <v>-32.25</v>
        <stp/>
        <stp>_x000D_EURCBS9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27"/>
      </tp>
      <tp>
        <v>-32.75</v>
        <stp/>
        <stp>_x000D_EURCBS8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27"/>
      </tp>
      <tp>
        <v>-34.625</v>
        <stp/>
        <stp>_x000D_EURCBS5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27"/>
      </tp>
      <tp>
        <v>-34.375</v>
        <stp/>
        <stp>_x000D_EURCBS4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27"/>
      </tp>
      <tp>
        <v>-33.5</v>
        <stp/>
        <stp>_x000D_EURCBS7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27"/>
      </tp>
      <tp>
        <v>-34.125</v>
        <stp/>
        <stp>_x000D_EURCBS6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27"/>
      </tp>
      <tp>
        <v>-31.5</v>
        <stp/>
        <stp>_x000D_EURCBS1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27"/>
      </tp>
      <tp>
        <v>-33.625</v>
        <stp/>
        <stp>_x000D_EURCBS3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27"/>
      </tp>
      <tp>
        <v>-32.625</v>
        <stp/>
        <stp>_x000D_EURCBS2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27"/>
      </tp>
      <tp>
        <v>1.0629</v>
        <stp/>
        <stp>_x0004_EUR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27"/>
      </tp>
      <tp>
        <v>-30.25</v>
        <stp/>
        <stp>_x000E_EURCBS12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27"/>
      </tp>
      <tp>
        <v>-11.125</v>
        <stp/>
        <stp>_x000E_EURCBS30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27"/>
      </tp>
      <tp>
        <v>-17.625</v>
        <stp/>
        <stp>_x000E_EURCBS20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27"/>
      </tp>
      <tp>
        <v>-26.875</v>
        <stp/>
        <stp>_x000E_EURCBS10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27"/>
      </tp>
      <tp>
        <v>-16.125</v>
        <stp/>
        <stp>_x000E_EURCBS30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5" s="27"/>
      </tp>
      <tp>
        <v>-22.625</v>
        <stp/>
        <stp>_x000E_EURCBS20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27"/>
      </tp>
      <tp>
        <v>-31.875</v>
        <stp/>
        <stp>_x000E_EURCBS10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27"/>
      </tp>
      <tp>
        <v>-25.25</v>
        <stp/>
        <stp>_x000E_EURCBS12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27"/>
      </tp>
      <tp>
        <v>-13.625</v>
        <stp/>
        <stp>_x000E_EURCBS25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27"/>
      </tp>
      <tp>
        <v>-21.875</v>
        <stp/>
        <stp>_x000E_EURCBS15Y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27"/>
      </tp>
      <tp>
        <v>1.0628</v>
        <stp/>
        <stp>_x0004_EUR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27"/>
      </tp>
      <tp>
        <v>-18.625</v>
        <stp/>
        <stp>_x000E_EURCBS25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4" s="27"/>
      </tp>
      <tp>
        <v>-26.875</v>
        <stp/>
        <stp>_x000E_EURCBS15Y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27"/>
      </tp>
      <tp t="s">
        <v>#N/A RIC Not Found</v>
        <stp/>
        <stp>_x000D_CCSUSDEUR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27"/>
      </tp>
      <tp t="s">
        <v>#N/A RIC Not Found</v>
        <stp/>
        <stp>_x000D_CCSUSDEUR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27"/>
      </tp>
      <tp t="s">
        <v>#N/A RIC Not Found</v>
        <stp/>
        <stp>_x000D_CCSUSDEUR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27"/>
      </tp>
      <tp>
        <v>1.2132259620000001</v>
        <stp/>
        <stp>_x000C_CCSUSDEUR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7"/>
      </tp>
      <tp>
        <v>1.5059112810000002</v>
        <stp/>
        <stp>_x000C_CCSUSDEUR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27"/>
      </tp>
      <tp>
        <v>1.5695381890000002</v>
        <stp/>
        <stp>_x000C_CCSUSDEUR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27"/>
      </tp>
      <tp>
        <v>1.4700365870000001</v>
        <stp/>
        <stp>_x000C_CCSUSDEUR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27"/>
      </tp>
      <tp>
        <v>1.4944319860000002</v>
        <stp/>
        <stp>_x000C_CCSUSDEUR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27"/>
      </tp>
      <tp>
        <v>1.409238263</v>
        <stp/>
        <stp>_x000C_CCSUSDEUR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27"/>
      </tp>
      <tp>
        <v>1.4303761880000001</v>
        <stp/>
        <stp>_x000C_CCSUSDEUR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27"/>
      </tp>
      <tp>
        <v>1.2922161430000001</v>
        <stp/>
        <stp>_x000C_CCSUSDEUR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27"/>
      </tp>
      <tp>
        <v>1.236099703</v>
        <stp/>
        <stp>_x000C_CCSUSDEUR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7"/>
      </tp>
      <tp>
        <v>1.384706593</v>
        <stp/>
        <stp>_x000C_CCSUSDEUR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27"/>
      </tp>
      <tp>
        <v>1.2767088240000002</v>
        <stp/>
        <stp>_x000C_CCSUSDEUR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7"/>
      </tp>
      <tp>
        <v>1.2779827640000001</v>
        <stp/>
        <stp>_x000C_CCSUSDEUR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27"/>
      </tp>
      <tp>
        <v>1.2132259620000001</v>
        <stp/>
        <stp>_x000C_CCSUSDEUR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7"/>
      </tp>
      <tp>
        <v>1.5695381890000002</v>
        <stp/>
        <stp>_x000C_CCSUSDEUR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27"/>
      </tp>
      <tp>
        <v>1.5059112810000002</v>
        <stp/>
        <stp>_x000C_CCSUSDEUR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27"/>
      </tp>
      <tp>
        <v>1.4303761880000001</v>
        <stp/>
        <stp>_x000C_CCSUSDEUR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27"/>
      </tp>
      <tp>
        <v>1.409238263</v>
        <stp/>
        <stp>_x000C_CCSUSDEUR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27"/>
      </tp>
      <tp>
        <v>1.4944319860000002</v>
        <stp/>
        <stp>_x000C_CCSUSDEUR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27"/>
      </tp>
      <tp>
        <v>1.4700365870000001</v>
        <stp/>
        <stp>_x000C_CCSUSDEUR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27"/>
      </tp>
      <tp>
        <v>1.2779827640000001</v>
        <stp/>
        <stp>_x000C_CCSUSDEUR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27"/>
      </tp>
      <tp>
        <v>1.2767088240000002</v>
        <stp/>
        <stp>_x000C_CCSUSDEUR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7"/>
      </tp>
      <tp>
        <v>1.384706593</v>
        <stp/>
        <stp>_x000C_CCSUSDEUR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27"/>
      </tp>
      <tp>
        <v>1.236099703</v>
        <stp/>
        <stp>_x000C_CCSUSDEUR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7"/>
      </tp>
      <tp>
        <v>1.2922161430000001</v>
        <stp/>
        <stp>_x000C_CCSUSDEUR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27"/>
      </tp>
      <tp t="s">
        <v>#N/A RIC Not Found</v>
        <stp/>
        <stp>_x000D_CCSUSDEUR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4" s="27"/>
      </tp>
      <tp t="s">
        <v>#N/A RIC Not Found</v>
        <stp/>
        <stp>_x000D_CCSUSDEUR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27"/>
      </tp>
      <tp t="s">
        <v>#N/A RIC Not Found</v>
        <stp/>
        <stp>_x000D_CCSUSDEUR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27"/>
      </tp>
      <tp>
        <v>1.1400000000000001</v>
        <stp/>
        <stp>_x000B_USDSND=CKCC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" s="27"/>
      </tp>
      <tp>
        <v>1.04</v>
        <stp/>
        <stp>_x000B_USDSND=CKCC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" s="27"/>
      </tp>
      <tp>
        <v>1.17</v>
        <stp/>
        <stp>_x000B_USDTND=CKCC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" s="27"/>
      </tp>
      <tp>
        <v>1.07</v>
        <stp/>
        <stp>_x000B_USDTND=CKCC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" s="27"/>
      </tp>
      <tp t="s">
        <v>#N/A</v>
        <stp/>
        <stp>_x000B_EURCBS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7"/>
        <tr r="Z71" s="27"/>
        <tr r="Z70" s="27"/>
        <tr r="Z69" s="27"/>
        <tr r="Z68" s="27"/>
        <tr r="Z67" s="27"/>
        <tr r="Z64" s="27"/>
        <tr r="Z65" s="27"/>
        <tr r="Z63" s="27"/>
        <tr r="Z66" s="27"/>
        <tr r="Z62" s="27"/>
        <tr r="Z60" s="27"/>
        <tr r="Z61" s="27"/>
        <tr r="Z59" s="27"/>
        <tr r="Z58" s="27"/>
        <tr r="Z57" s="27"/>
        <tr r="Z56" s="27"/>
        <tr r="Z54" s="27"/>
        <tr r="Z55" s="27"/>
        <tr r="Z53" s="27"/>
        <tr r="Z52" s="27"/>
        <tr r="Z51" s="27"/>
        <tr r="Z50" s="27"/>
        <tr r="Z49" s="27"/>
        <tr r="Z48" s="27"/>
        <tr r="Z47" s="27"/>
        <tr r="Z46" s="27"/>
      </tp>
      <tp t="s">
        <v>#N/A</v>
        <stp/>
        <stp>_x000B_EURCBS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7"/>
        <tr r="Y71" s="27"/>
        <tr r="Y70" s="27"/>
        <tr r="Y69" s="27"/>
        <tr r="Y68" s="27"/>
        <tr r="Y67" s="27"/>
        <tr r="Y66" s="27"/>
        <tr r="Y64" s="27"/>
        <tr r="Y63" s="27"/>
        <tr r="Y65" s="27"/>
        <tr r="Y62" s="27"/>
        <tr r="Y60" s="27"/>
        <tr r="Y61" s="27"/>
        <tr r="Y59" s="27"/>
        <tr r="Y58" s="27"/>
        <tr r="Y57" s="27"/>
        <tr r="Y56" s="27"/>
        <tr r="Y55" s="27"/>
        <tr r="Y54" s="27"/>
        <tr r="Y53" s="27"/>
        <tr r="Y52" s="27"/>
        <tr r="Y51" s="27"/>
        <tr r="Y49" s="27"/>
        <tr r="Y50" s="27"/>
        <tr r="Y48" s="27"/>
        <tr r="Y47" s="27"/>
        <tr r="Y46" s="27"/>
      </tp>
      <tp>
        <v>1.1000000000000001</v>
        <stp/>
        <stp>_x000B_USDOND=CKCC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" s="27"/>
      </tp>
      <tp>
        <v>1</v>
        <stp/>
        <stp>_x000B_USDOND=CKCC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" s="2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38100</xdr:rowOff>
        </xdr:from>
        <xdr:to>
          <xdr:col>12</xdr:col>
          <xdr:colOff>133350</xdr:colOff>
          <xdr:row>3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59999389629810485"/>
  </sheetPr>
  <dimension ref="B2:E15"/>
  <sheetViews>
    <sheetView workbookViewId="0">
      <selection activeCell="F25" sqref="F25"/>
    </sheetView>
  </sheetViews>
  <sheetFormatPr defaultRowHeight="11.25" x14ac:dyDescent="0.2"/>
  <cols>
    <col min="1" max="2" width="3.83203125" customWidth="1"/>
    <col min="3" max="4" width="21.83203125" customWidth="1"/>
    <col min="5" max="5" width="3.83203125" customWidth="1"/>
  </cols>
  <sheetData>
    <row r="2" spans="2:5" x14ac:dyDescent="0.2">
      <c r="B2" s="282" t="s">
        <v>0</v>
      </c>
      <c r="C2" s="283"/>
      <c r="D2" s="283"/>
      <c r="E2" s="284"/>
    </row>
    <row r="3" spans="2:5" x14ac:dyDescent="0.2">
      <c r="B3" s="1"/>
      <c r="C3" s="2"/>
      <c r="D3" s="2"/>
      <c r="E3" s="3"/>
    </row>
    <row r="4" spans="2:5" x14ac:dyDescent="0.2">
      <c r="B4" s="4"/>
      <c r="C4" s="47" t="s">
        <v>1</v>
      </c>
      <c r="D4" s="5"/>
      <c r="E4" s="6"/>
    </row>
    <row r="5" spans="2:5" x14ac:dyDescent="0.2">
      <c r="B5" s="4"/>
      <c r="C5" s="48" t="s">
        <v>2</v>
      </c>
      <c r="D5" s="7">
        <f>IF(ISBLANK(D7),D6,D7)+0*TYPE(ManualTrigger)</f>
        <v>42794</v>
      </c>
      <c r="E5" s="6"/>
    </row>
    <row r="6" spans="2:5" x14ac:dyDescent="0.2">
      <c r="B6" s="4"/>
      <c r="C6" s="48" t="s">
        <v>140</v>
      </c>
      <c r="D6" s="7">
        <f>_xll.qlSettingsEvaluationDate(ManualTrigger)</f>
        <v>42832</v>
      </c>
      <c r="E6" s="6"/>
    </row>
    <row r="7" spans="2:5" x14ac:dyDescent="0.2">
      <c r="B7" s="4"/>
      <c r="C7" s="48" t="s">
        <v>139</v>
      </c>
      <c r="D7" s="50">
        <v>42794</v>
      </c>
      <c r="E7" s="6"/>
    </row>
    <row r="8" spans="2:5" x14ac:dyDescent="0.2">
      <c r="B8" s="4"/>
      <c r="C8" s="48" t="s">
        <v>134</v>
      </c>
      <c r="D8" s="24">
        <f>_xll.RtNow("frq:"&amp;E8&amp;"s")</f>
        <v>0.68070601851650281</v>
      </c>
      <c r="E8" s="46">
        <v>90</v>
      </c>
    </row>
    <row r="9" spans="2:5" x14ac:dyDescent="0.2">
      <c r="B9" s="4"/>
      <c r="C9" s="49" t="s">
        <v>3</v>
      </c>
      <c r="D9" s="23">
        <f>_xll.ohTrigger(EvaluationDate,TYPE(ManualTrigger))</f>
        <v>0</v>
      </c>
      <c r="E9" s="6"/>
    </row>
    <row r="10" spans="2:5" x14ac:dyDescent="0.2">
      <c r="B10" s="8"/>
      <c r="C10" s="9"/>
      <c r="D10" s="9"/>
      <c r="E10" s="10"/>
    </row>
    <row r="15" spans="2:5" x14ac:dyDescent="0.2">
      <c r="C15" s="187" t="b">
        <v>0</v>
      </c>
    </row>
  </sheetData>
  <dataConsolidate/>
  <mergeCells count="1">
    <mergeCell ref="B2:E2"/>
  </mergeCells>
  <conditionalFormatting sqref="D6">
    <cfRule type="expression" dxfId="9" priority="2">
      <formula>NOT(ISBLANK($D$7))</formula>
    </cfRule>
  </conditionalFormatting>
  <conditionalFormatting sqref="D7">
    <cfRule type="expression" dxfId="8" priority="1">
      <formula>ISBLANK($D$7)</formula>
    </cfRule>
  </conditionalFormatting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59999389629810485"/>
  </sheetPr>
  <dimension ref="B2:AA93"/>
  <sheetViews>
    <sheetView tabSelected="1" workbookViewId="0">
      <selection activeCell="L34" sqref="L34"/>
    </sheetView>
  </sheetViews>
  <sheetFormatPr defaultRowHeight="11.25" outlineLevelCol="1" x14ac:dyDescent="0.2"/>
  <cols>
    <col min="1" max="1" width="3.83203125" customWidth="1"/>
    <col min="2" max="2" width="16.83203125" customWidth="1"/>
    <col min="3" max="3" width="20.83203125" customWidth="1"/>
    <col min="4" max="7" width="10.83203125" customWidth="1" outlineLevel="1"/>
    <col min="8" max="9" width="10.83203125" customWidth="1"/>
    <col min="10" max="10" width="3.83203125" customWidth="1"/>
    <col min="11" max="11" width="16.83203125" customWidth="1"/>
    <col min="12" max="12" width="20.83203125" customWidth="1"/>
    <col min="13" max="16" width="10.83203125" customWidth="1" outlineLevel="1"/>
    <col min="17" max="18" width="10.83203125" customWidth="1"/>
    <col min="23" max="24" width="16.1640625" style="302" customWidth="1"/>
    <col min="25" max="25" width="3.5" style="302" customWidth="1"/>
    <col min="26" max="27" width="16.1640625" style="302" customWidth="1"/>
  </cols>
  <sheetData>
    <row r="2" spans="2:27" x14ac:dyDescent="0.2">
      <c r="D2" s="285" t="s">
        <v>135</v>
      </c>
      <c r="E2" s="286"/>
      <c r="F2" s="285" t="s">
        <v>75</v>
      </c>
      <c r="G2" s="286"/>
      <c r="H2" s="285" t="s">
        <v>136</v>
      </c>
      <c r="I2" s="286"/>
      <c r="M2" s="285" t="s">
        <v>135</v>
      </c>
      <c r="N2" s="286"/>
      <c r="O2" s="285" t="s">
        <v>75</v>
      </c>
      <c r="P2" s="286"/>
      <c r="Q2" s="285" t="s">
        <v>136</v>
      </c>
      <c r="R2" s="286"/>
      <c r="W2" s="302" t="s">
        <v>75</v>
      </c>
      <c r="Z2" s="302" t="s">
        <v>75</v>
      </c>
    </row>
    <row r="3" spans="2:27" x14ac:dyDescent="0.2">
      <c r="D3" s="32" t="s">
        <v>14</v>
      </c>
      <c r="E3" s="32" t="s">
        <v>15</v>
      </c>
      <c r="F3" s="32" t="s">
        <v>14</v>
      </c>
      <c r="G3" s="32" t="s">
        <v>15</v>
      </c>
      <c r="H3" s="32" t="s">
        <v>14</v>
      </c>
      <c r="I3" s="32" t="s">
        <v>15</v>
      </c>
      <c r="M3" s="32" t="s">
        <v>14</v>
      </c>
      <c r="N3" s="32" t="s">
        <v>15</v>
      </c>
      <c r="O3" s="32" t="s">
        <v>14</v>
      </c>
      <c r="P3" s="32" t="s">
        <v>15</v>
      </c>
      <c r="Q3" s="32" t="s">
        <v>14</v>
      </c>
      <c r="R3" s="32" t="s">
        <v>15</v>
      </c>
      <c r="W3" s="302" t="s">
        <v>14</v>
      </c>
      <c r="X3" s="302" t="s">
        <v>15</v>
      </c>
      <c r="Z3" s="302" t="s">
        <v>14</v>
      </c>
      <c r="AA3" s="302" t="s">
        <v>15</v>
      </c>
    </row>
    <row r="4" spans="2:27" x14ac:dyDescent="0.2">
      <c r="B4" s="29" t="s">
        <v>10</v>
      </c>
      <c r="C4" s="33" t="s">
        <v>131</v>
      </c>
      <c r="D4" s="22" t="e">
        <f t="array" ref="D4:D93">CHOOSE(C7,_xll.qlPiecewiseYieldCurveDates(C5),_xll.qlInterpolatedYieldCurveDates(C5))</f>
        <v>#NUM!</v>
      </c>
      <c r="E4" s="27" t="e">
        <f>_xll.qlYieldTSDiscount(C$4,D4,,Triggers!RTDataTrigger)</f>
        <v>#NUM!</v>
      </c>
      <c r="F4" s="36"/>
      <c r="G4" s="25"/>
      <c r="H4" s="40" t="e">
        <f>IF(ISBLANK(F4),D4,F4)</f>
        <v>#NUM!</v>
      </c>
      <c r="I4" s="41" t="e">
        <f t="shared" ref="I4:I67" si="0">IF(ISBLANK(G4),E4,G4)</f>
        <v>#NUM!</v>
      </c>
      <c r="J4" s="58"/>
      <c r="K4" s="29" t="s">
        <v>10</v>
      </c>
      <c r="L4" s="33" t="s">
        <v>130</v>
      </c>
      <c r="M4" s="22" t="e">
        <f t="array" ref="M4:M93">CHOOSE(L7,_xll.qlPiecewiseYieldCurveDates(L5),_xll.qlInterpolatedYieldCurveDates(L5))</f>
        <v>#NUM!</v>
      </c>
      <c r="N4" s="27" t="e">
        <f>_xll.qlYieldTSDiscount(L$4,M4,,Triggers!RTDataTrigger)</f>
        <v>#NUM!</v>
      </c>
      <c r="O4" s="36"/>
      <c r="P4" s="25"/>
      <c r="Q4" s="40" t="e">
        <f>IF(ISBLANK(O4),M4,O4)</f>
        <v>#NUM!</v>
      </c>
      <c r="R4" s="41" t="e">
        <f t="shared" ref="R4:R67" si="1">IF(ISBLANK(P4),N4,P4)</f>
        <v>#NUM!</v>
      </c>
      <c r="W4" s="303">
        <v>42794</v>
      </c>
      <c r="X4" s="302">
        <v>1</v>
      </c>
      <c r="Z4" s="303">
        <v>42794</v>
      </c>
      <c r="AA4" s="302">
        <v>1</v>
      </c>
    </row>
    <row r="5" spans="2:27" x14ac:dyDescent="0.2">
      <c r="B5" s="30" t="s">
        <v>16</v>
      </c>
      <c r="C5" s="199" t="e">
        <f>_xll.qlHandleCurrentLink(C4,ObjectsTrigger)</f>
        <v>#NUM!</v>
      </c>
      <c r="D5" s="11" t="e">
        <v>#NUM!</v>
      </c>
      <c r="E5" s="28" t="e">
        <f>_xll.qlYieldTSDiscount(C$4,D5,,Triggers!RTDataTrigger)</f>
        <v>#NUM!</v>
      </c>
      <c r="F5" s="37"/>
      <c r="G5" s="26"/>
      <c r="H5" s="42" t="e">
        <f t="shared" ref="H5:I68" si="2">IF(ISBLANK(F5),D5,F5)</f>
        <v>#NUM!</v>
      </c>
      <c r="I5" s="43" t="e">
        <f t="shared" si="0"/>
        <v>#NUM!</v>
      </c>
      <c r="J5" s="58"/>
      <c r="K5" s="30" t="s">
        <v>16</v>
      </c>
      <c r="L5" s="199" t="e">
        <f>_xll.qlHandleCurrentLink(L4,ObjectsTrigger)</f>
        <v>#NUM!</v>
      </c>
      <c r="M5" s="11" t="e">
        <v>#NUM!</v>
      </c>
      <c r="N5" s="28" t="e">
        <f>_xll.qlYieldTSDiscount(L$4,M5,,Triggers!RTDataTrigger)</f>
        <v>#NUM!</v>
      </c>
      <c r="O5" s="37"/>
      <c r="P5" s="26"/>
      <c r="Q5" s="42" t="e">
        <f t="shared" ref="Q5:R68" si="3">IF(ISBLANK(O5),M5,O5)</f>
        <v>#NUM!</v>
      </c>
      <c r="R5" s="43" t="e">
        <f t="shared" si="1"/>
        <v>#NUM!</v>
      </c>
      <c r="W5" s="303">
        <v>42795</v>
      </c>
      <c r="X5" s="302">
        <v>1.0000102778834099</v>
      </c>
      <c r="Z5" s="303">
        <v>42797</v>
      </c>
      <c r="AA5" s="302">
        <v>1.00002874955826</v>
      </c>
    </row>
    <row r="6" spans="2:27" x14ac:dyDescent="0.2">
      <c r="B6" s="30" t="s">
        <v>128</v>
      </c>
      <c r="C6" s="200" t="e">
        <f>_xll.ohObjectClassName(C5)</f>
        <v>#NUM!</v>
      </c>
      <c r="D6" s="11" t="e">
        <v>#NUM!</v>
      </c>
      <c r="E6" s="28" t="e">
        <f>_xll.qlYieldTSDiscount(C$4,D6,,Triggers!RTDataTrigger)</f>
        <v>#NUM!</v>
      </c>
      <c r="F6" s="37"/>
      <c r="G6" s="26"/>
      <c r="H6" s="42" t="e">
        <f t="shared" si="2"/>
        <v>#NUM!</v>
      </c>
      <c r="I6" s="43" t="e">
        <f t="shared" si="0"/>
        <v>#NUM!</v>
      </c>
      <c r="J6" s="58"/>
      <c r="K6" s="30" t="s">
        <v>128</v>
      </c>
      <c r="L6" s="200" t="e">
        <f>_xll.ohObjectClassName(L5)</f>
        <v>#NUM!</v>
      </c>
      <c r="M6" s="11" t="e">
        <v>#NUM!</v>
      </c>
      <c r="N6" s="28" t="e">
        <f>_xll.qlYieldTSDiscount(L$4,M6,,Triggers!RTDataTrigger)</f>
        <v>#NUM!</v>
      </c>
      <c r="O6" s="37"/>
      <c r="P6" s="26"/>
      <c r="Q6" s="42" t="e">
        <f t="shared" si="3"/>
        <v>#NUM!</v>
      </c>
      <c r="R6" s="43" t="e">
        <f t="shared" si="1"/>
        <v>#NUM!</v>
      </c>
      <c r="W6" s="303">
        <v>42796</v>
      </c>
      <c r="X6" s="302">
        <v>1.00002055587246</v>
      </c>
      <c r="Z6" s="303">
        <v>42803</v>
      </c>
      <c r="AA6" s="302">
        <v>1.0000862511544</v>
      </c>
    </row>
    <row r="7" spans="2:27" x14ac:dyDescent="0.2">
      <c r="B7" s="31" t="s">
        <v>129</v>
      </c>
      <c r="C7" s="201" t="e">
        <f>MATCH(C6,{"qlPiecewiseYieldCurve","qlInterpolatedYieldCurve"})</f>
        <v>#NUM!</v>
      </c>
      <c r="D7" s="11" t="e">
        <v>#NUM!</v>
      </c>
      <c r="E7" s="28" t="e">
        <f>_xll.qlYieldTSDiscount(C$4,D7,,Triggers!RTDataTrigger)</f>
        <v>#NUM!</v>
      </c>
      <c r="F7" s="37"/>
      <c r="G7" s="26"/>
      <c r="H7" s="42" t="e">
        <f t="shared" si="2"/>
        <v>#NUM!</v>
      </c>
      <c r="I7" s="43" t="e">
        <f t="shared" si="0"/>
        <v>#NUM!</v>
      </c>
      <c r="J7" s="58"/>
      <c r="K7" s="31" t="s">
        <v>129</v>
      </c>
      <c r="L7" s="201" t="e">
        <f>MATCH(L6,{"qlPiecewiseYieldCurve","qlInterpolatedYieldCurve"})</f>
        <v>#NUM!</v>
      </c>
      <c r="M7" s="11" t="e">
        <v>#NUM!</v>
      </c>
      <c r="N7" s="28" t="e">
        <f>_xll.qlYieldTSDiscount(L$4,M7,,Triggers!RTDataTrigger)</f>
        <v>#NUM!</v>
      </c>
      <c r="O7" s="37"/>
      <c r="P7" s="26"/>
      <c r="Q7" s="42" t="e">
        <f t="shared" si="3"/>
        <v>#NUM!</v>
      </c>
      <c r="R7" s="43" t="e">
        <f t="shared" si="1"/>
        <v>#NUM!</v>
      </c>
      <c r="W7" s="303">
        <v>42797</v>
      </c>
      <c r="X7" s="302">
        <v>1.0000307864651901</v>
      </c>
      <c r="Z7" s="303">
        <v>42810</v>
      </c>
      <c r="AA7" s="302">
        <v>1.00015334052892</v>
      </c>
    </row>
    <row r="8" spans="2:27" x14ac:dyDescent="0.2">
      <c r="B8" s="29" t="s">
        <v>4</v>
      </c>
      <c r="C8" s="33" t="s">
        <v>100</v>
      </c>
      <c r="D8" s="11" t="e">
        <v>#NUM!</v>
      </c>
      <c r="E8" s="28" t="e">
        <f>_xll.qlYieldTSDiscount(C$4,D8,,Triggers!RTDataTrigger)</f>
        <v>#NUM!</v>
      </c>
      <c r="F8" s="37"/>
      <c r="G8" s="26"/>
      <c r="H8" s="42" t="e">
        <f t="shared" si="2"/>
        <v>#NUM!</v>
      </c>
      <c r="I8" s="43" t="e">
        <f t="shared" si="0"/>
        <v>#NUM!</v>
      </c>
      <c r="J8" s="58"/>
      <c r="K8" s="29" t="s">
        <v>4</v>
      </c>
      <c r="L8" s="33" t="s">
        <v>100</v>
      </c>
      <c r="M8" s="11" t="e">
        <v>#NUM!</v>
      </c>
      <c r="N8" s="28" t="e">
        <f>_xll.qlYieldTSDiscount(L$4,M8,,Triggers!RTDataTrigger)</f>
        <v>#NUM!</v>
      </c>
      <c r="O8" s="37"/>
      <c r="P8" s="26"/>
      <c r="Q8" s="42" t="e">
        <f t="shared" si="3"/>
        <v>#NUM!</v>
      </c>
      <c r="R8" s="43" t="e">
        <f t="shared" si="1"/>
        <v>#NUM!</v>
      </c>
      <c r="W8" s="303">
        <v>42803</v>
      </c>
      <c r="X8" s="302">
        <v>1.00008958983442</v>
      </c>
      <c r="Z8" s="303">
        <v>42817</v>
      </c>
      <c r="AA8" s="302">
        <v>1.0002204344039001</v>
      </c>
    </row>
    <row r="9" spans="2:27" x14ac:dyDescent="0.2">
      <c r="B9" s="30" t="s">
        <v>5</v>
      </c>
      <c r="C9" s="34" t="str">
        <f>C4&amp;"_"</f>
        <v>EURON_</v>
      </c>
      <c r="D9" s="11" t="e">
        <v>#NUM!</v>
      </c>
      <c r="E9" s="28" t="e">
        <f>_xll.qlYieldTSDiscount(C$4,D9,,Triggers!RTDataTrigger)</f>
        <v>#NUM!</v>
      </c>
      <c r="F9" s="37"/>
      <c r="G9" s="26"/>
      <c r="H9" s="42" t="e">
        <f t="shared" si="2"/>
        <v>#NUM!</v>
      </c>
      <c r="I9" s="43" t="e">
        <f t="shared" si="0"/>
        <v>#NUM!</v>
      </c>
      <c r="J9" s="58"/>
      <c r="K9" s="30" t="s">
        <v>5</v>
      </c>
      <c r="L9" s="34" t="str">
        <f>L4&amp;"_"</f>
        <v>EUR3M_</v>
      </c>
      <c r="M9" s="11" t="e">
        <v>#NUM!</v>
      </c>
      <c r="N9" s="28" t="e">
        <f>_xll.qlYieldTSDiscount(L$4,M9,,Triggers!RTDataTrigger)</f>
        <v>#NUM!</v>
      </c>
      <c r="O9" s="37"/>
      <c r="P9" s="26"/>
      <c r="Q9" s="42" t="e">
        <f t="shared" si="3"/>
        <v>#NUM!</v>
      </c>
      <c r="R9" s="43" t="e">
        <f t="shared" si="1"/>
        <v>#NUM!</v>
      </c>
      <c r="W9" s="303">
        <v>42810</v>
      </c>
      <c r="X9" s="302">
        <v>1.00015863332823</v>
      </c>
      <c r="Z9" s="303">
        <v>42828</v>
      </c>
      <c r="AA9" s="302">
        <v>1.00032397611057</v>
      </c>
    </row>
    <row r="10" spans="2:27" x14ac:dyDescent="0.2">
      <c r="B10" s="30" t="s">
        <v>6</v>
      </c>
      <c r="C10" s="34" t="s">
        <v>11</v>
      </c>
      <c r="D10" s="11" t="e">
        <v>#NUM!</v>
      </c>
      <c r="E10" s="28" t="e">
        <f>_xll.qlYieldTSDiscount(C$4,D10,,Triggers!RTDataTrigger)</f>
        <v>#NUM!</v>
      </c>
      <c r="F10" s="37"/>
      <c r="G10" s="26"/>
      <c r="H10" s="42" t="e">
        <f t="shared" si="2"/>
        <v>#NUM!</v>
      </c>
      <c r="I10" s="43" t="e">
        <f t="shared" si="0"/>
        <v>#NUM!</v>
      </c>
      <c r="J10" s="58"/>
      <c r="K10" s="30" t="s">
        <v>6</v>
      </c>
      <c r="L10" s="34" t="s">
        <v>11</v>
      </c>
      <c r="M10" s="11" t="e">
        <v>#NUM!</v>
      </c>
      <c r="N10" s="28" t="e">
        <f>_xll.qlYieldTSDiscount(L$4,M10,,Triggers!RTDataTrigger)</f>
        <v>#NUM!</v>
      </c>
      <c r="O10" s="37"/>
      <c r="P10" s="26"/>
      <c r="Q10" s="42" t="e">
        <f t="shared" si="3"/>
        <v>#NUM!</v>
      </c>
      <c r="R10" s="43" t="e">
        <f t="shared" si="1"/>
        <v>#NUM!</v>
      </c>
      <c r="W10" s="303">
        <v>42817</v>
      </c>
      <c r="X10" s="302">
        <v>1.0002276863558399</v>
      </c>
      <c r="Z10" s="303">
        <v>42857</v>
      </c>
      <c r="AA10" s="302">
        <v>1.00059104019226</v>
      </c>
    </row>
    <row r="11" spans="2:27" x14ac:dyDescent="0.2">
      <c r="B11" s="30" t="s">
        <v>7</v>
      </c>
      <c r="C11" s="34" t="s">
        <v>46</v>
      </c>
      <c r="D11" s="11" t="e">
        <v>#NUM!</v>
      </c>
      <c r="E11" s="28" t="e">
        <f>_xll.qlYieldTSDiscount(C$4,D11,,Triggers!RTDataTrigger)</f>
        <v>#NUM!</v>
      </c>
      <c r="F11" s="37"/>
      <c r="G11" s="26"/>
      <c r="H11" s="42" t="e">
        <f t="shared" si="2"/>
        <v>#NUM!</v>
      </c>
      <c r="I11" s="43" t="e">
        <f t="shared" si="0"/>
        <v>#NUM!</v>
      </c>
      <c r="J11" s="58"/>
      <c r="K11" s="30" t="s">
        <v>7</v>
      </c>
      <c r="L11" s="34" t="s">
        <v>46</v>
      </c>
      <c r="M11" s="11" t="e">
        <v>#NUM!</v>
      </c>
      <c r="N11" s="28" t="e">
        <f>_xll.qlYieldTSDiscount(L$4,M11,,Triggers!RTDataTrigger)</f>
        <v>#NUM!</v>
      </c>
      <c r="O11" s="37"/>
      <c r="P11" s="26"/>
      <c r="Q11" s="42" t="e">
        <f t="shared" si="3"/>
        <v>#NUM!</v>
      </c>
      <c r="R11" s="43" t="e">
        <f t="shared" si="1"/>
        <v>#NUM!</v>
      </c>
      <c r="W11" s="303">
        <v>42828</v>
      </c>
      <c r="X11" s="302">
        <v>1.00033443858963</v>
      </c>
      <c r="Z11" s="303">
        <v>42888</v>
      </c>
      <c r="AA11" s="302">
        <v>1.00087013943522</v>
      </c>
    </row>
    <row r="12" spans="2:27" x14ac:dyDescent="0.2">
      <c r="B12" s="30" t="s">
        <v>8</v>
      </c>
      <c r="C12" s="34" t="s">
        <v>13</v>
      </c>
      <c r="D12" s="11" t="e">
        <v>#NUM!</v>
      </c>
      <c r="E12" s="28" t="e">
        <f>_xll.qlYieldTSDiscount(C$4,D12,,Triggers!RTDataTrigger)</f>
        <v>#NUM!</v>
      </c>
      <c r="F12" s="37"/>
      <c r="G12" s="26"/>
      <c r="H12" s="42" t="e">
        <f t="shared" si="2"/>
        <v>#NUM!</v>
      </c>
      <c r="I12" s="43" t="e">
        <f t="shared" si="0"/>
        <v>#NUM!</v>
      </c>
      <c r="J12" s="58"/>
      <c r="K12" s="30" t="s">
        <v>8</v>
      </c>
      <c r="L12" s="34" t="s">
        <v>13</v>
      </c>
      <c r="M12" s="11" t="e">
        <v>#NUM!</v>
      </c>
      <c r="N12" s="28" t="e">
        <f>_xll.qlYieldTSDiscount(L$4,M12,,Triggers!RTDataTrigger)</f>
        <v>#NUM!</v>
      </c>
      <c r="O12" s="37"/>
      <c r="P12" s="26"/>
      <c r="Q12" s="42" t="e">
        <f t="shared" si="3"/>
        <v>#NUM!</v>
      </c>
      <c r="R12" s="43" t="e">
        <f t="shared" si="1"/>
        <v>#NUM!</v>
      </c>
      <c r="W12" s="303">
        <v>42857</v>
      </c>
      <c r="X12" s="302">
        <v>1.00061967579154</v>
      </c>
      <c r="Z12" s="303">
        <v>42919</v>
      </c>
      <c r="AA12" s="302">
        <v>1.0011489784882299</v>
      </c>
    </row>
    <row r="13" spans="2:27" x14ac:dyDescent="0.2">
      <c r="B13" s="31" t="s">
        <v>9</v>
      </c>
      <c r="C13" s="35">
        <v>5</v>
      </c>
      <c r="D13" s="11" t="e">
        <v>#NUM!</v>
      </c>
      <c r="E13" s="28" t="e">
        <f>_xll.qlYieldTSDiscount(C$4,D13,,Triggers!RTDataTrigger)</f>
        <v>#NUM!</v>
      </c>
      <c r="F13" s="37"/>
      <c r="G13" s="26"/>
      <c r="H13" s="42" t="e">
        <f t="shared" si="2"/>
        <v>#NUM!</v>
      </c>
      <c r="I13" s="43" t="e">
        <f t="shared" si="0"/>
        <v>#NUM!</v>
      </c>
      <c r="J13" s="58"/>
      <c r="K13" s="31" t="s">
        <v>9</v>
      </c>
      <c r="L13" s="35">
        <v>5</v>
      </c>
      <c r="M13" s="11" t="e">
        <v>#NUM!</v>
      </c>
      <c r="N13" s="28" t="e">
        <f>_xll.qlYieldTSDiscount(L$4,M13,,Triggers!RTDataTrigger)</f>
        <v>#NUM!</v>
      </c>
      <c r="O13" s="37"/>
      <c r="P13" s="26"/>
      <c r="Q13" s="42" t="e">
        <f t="shared" si="3"/>
        <v>#NUM!</v>
      </c>
      <c r="R13" s="43" t="e">
        <f t="shared" si="1"/>
        <v>#NUM!</v>
      </c>
      <c r="W13" s="303">
        <v>42888</v>
      </c>
      <c r="X13" s="302">
        <v>1.00092460098131</v>
      </c>
      <c r="Z13" s="303">
        <v>42949</v>
      </c>
      <c r="AA13" s="302">
        <v>1.001409971013</v>
      </c>
    </row>
    <row r="14" spans="2:27" x14ac:dyDescent="0.2">
      <c r="B14" s="30" t="s">
        <v>17</v>
      </c>
      <c r="C14" s="202">
        <f>COUNT(H4:H93)</f>
        <v>0</v>
      </c>
      <c r="D14" s="11" t="e">
        <v>#NUM!</v>
      </c>
      <c r="E14" s="28" t="e">
        <f>_xll.qlYieldTSDiscount(C$4,D14,,Triggers!RTDataTrigger)</f>
        <v>#NUM!</v>
      </c>
      <c r="F14" s="37"/>
      <c r="G14" s="26"/>
      <c r="H14" s="42" t="e">
        <f t="shared" si="2"/>
        <v>#NUM!</v>
      </c>
      <c r="I14" s="43" t="e">
        <f t="shared" si="0"/>
        <v>#NUM!</v>
      </c>
      <c r="J14" s="58"/>
      <c r="K14" s="30" t="s">
        <v>17</v>
      </c>
      <c r="L14" s="202">
        <f>COUNT(Q4:Q93)</f>
        <v>0</v>
      </c>
      <c r="M14" s="11" t="e">
        <v>#NUM!</v>
      </c>
      <c r="N14" s="28" t="e">
        <f>_xll.qlYieldTSDiscount(L$4,M14,,Triggers!RTDataTrigger)</f>
        <v>#NUM!</v>
      </c>
      <c r="O14" s="37"/>
      <c r="P14" s="26"/>
      <c r="Q14" s="42" t="e">
        <f t="shared" si="3"/>
        <v>#NUM!</v>
      </c>
      <c r="R14" s="43" t="e">
        <f t="shared" si="1"/>
        <v>#NUM!</v>
      </c>
      <c r="W14" s="303">
        <v>42919</v>
      </c>
      <c r="X14" s="302">
        <v>1.00123007267151</v>
      </c>
      <c r="Z14" s="303">
        <v>42982</v>
      </c>
      <c r="AA14" s="302">
        <v>1.0016730917152401</v>
      </c>
    </row>
    <row r="15" spans="2:27" x14ac:dyDescent="0.2">
      <c r="B15" s="31" t="s">
        <v>18</v>
      </c>
      <c r="C15" s="203" t="e">
        <f>_xll.xlPushShmLiborCurveName(C8,C9,H4:INDEX(H4:H93,C14),I4:INDEX(I4:I93,C14),C10,C11,C12,C13+0*TYPE(ManualTrigger))</f>
        <v>#NUM!</v>
      </c>
      <c r="D15" s="11" t="e">
        <v>#NUM!</v>
      </c>
      <c r="E15" s="28" t="e">
        <f>_xll.qlYieldTSDiscount(C$4,D15,,Triggers!RTDataTrigger)</f>
        <v>#NUM!</v>
      </c>
      <c r="F15" s="37"/>
      <c r="G15" s="26"/>
      <c r="H15" s="42" t="e">
        <f t="shared" si="2"/>
        <v>#NUM!</v>
      </c>
      <c r="I15" s="43" t="e">
        <f t="shared" si="0"/>
        <v>#NUM!</v>
      </c>
      <c r="J15" s="58"/>
      <c r="K15" s="31" t="s">
        <v>18</v>
      </c>
      <c r="L15" s="203" t="e">
        <f>_xll.xlPushShmLiborCurveName(L8,L9,Q4:INDEX(Q4:Q93,L14),R4:INDEX(R4:R93,L14),L10,L11,L12,L13+0*TYPE(ManualTrigger))</f>
        <v>#NUM!</v>
      </c>
      <c r="M15" s="11" t="e">
        <v>#NUM!</v>
      </c>
      <c r="N15" s="28" t="e">
        <f>_xll.qlYieldTSDiscount(L$4,M15,,Triggers!RTDataTrigger)</f>
        <v>#NUM!</v>
      </c>
      <c r="O15" s="37"/>
      <c r="P15" s="26"/>
      <c r="Q15" s="42" t="e">
        <f t="shared" si="3"/>
        <v>#NUM!</v>
      </c>
      <c r="R15" s="43" t="e">
        <f t="shared" si="1"/>
        <v>#NUM!</v>
      </c>
      <c r="W15" s="303">
        <v>42949</v>
      </c>
      <c r="X15" s="302">
        <v>1.0015255633594</v>
      </c>
      <c r="Z15" s="303">
        <v>43010</v>
      </c>
      <c r="AA15" s="302">
        <v>1.00189871089044</v>
      </c>
    </row>
    <row r="16" spans="2:27" x14ac:dyDescent="0.2">
      <c r="D16" s="11" t="e">
        <v>#NUM!</v>
      </c>
      <c r="E16" s="28" t="e">
        <f>_xll.qlYieldTSDiscount(C$4,D16,,Triggers!RTDataTrigger)</f>
        <v>#NUM!</v>
      </c>
      <c r="F16" s="37"/>
      <c r="G16" s="26"/>
      <c r="H16" s="42" t="e">
        <f t="shared" si="2"/>
        <v>#NUM!</v>
      </c>
      <c r="I16" s="43" t="e">
        <f t="shared" si="0"/>
        <v>#NUM!</v>
      </c>
      <c r="J16" s="58"/>
      <c r="M16" s="11" t="e">
        <v>#NUM!</v>
      </c>
      <c r="N16" s="28" t="e">
        <f>_xll.qlYieldTSDiscount(L$4,M16,,Triggers!RTDataTrigger)</f>
        <v>#NUM!</v>
      </c>
      <c r="O16" s="37"/>
      <c r="P16" s="26"/>
      <c r="Q16" s="42" t="e">
        <f t="shared" si="3"/>
        <v>#NUM!</v>
      </c>
      <c r="R16" s="43" t="e">
        <f t="shared" si="1"/>
        <v>#NUM!</v>
      </c>
      <c r="W16" s="303">
        <v>42982</v>
      </c>
      <c r="X16" s="302">
        <v>1.0018518559076499</v>
      </c>
      <c r="Z16" s="303">
        <v>43041</v>
      </c>
      <c r="AA16" s="302">
        <v>1.0021526774973299</v>
      </c>
    </row>
    <row r="17" spans="2:27" x14ac:dyDescent="0.2">
      <c r="D17" s="11" t="e">
        <v>#NUM!</v>
      </c>
      <c r="E17" s="28" t="e">
        <f>_xll.qlYieldTSDiscount(C$4,D17,,Triggers!RTDataTrigger)</f>
        <v>#NUM!</v>
      </c>
      <c r="F17" s="37"/>
      <c r="G17" s="26"/>
      <c r="H17" s="42" t="e">
        <f t="shared" si="2"/>
        <v>#NUM!</v>
      </c>
      <c r="I17" s="43" t="e">
        <f t="shared" si="0"/>
        <v>#NUM!</v>
      </c>
      <c r="J17" s="58"/>
      <c r="M17" s="11" t="e">
        <v>#NUM!</v>
      </c>
      <c r="N17" s="28" t="e">
        <f>_xll.qlYieldTSDiscount(L$4,M17,,Triggers!RTDataTrigger)</f>
        <v>#NUM!</v>
      </c>
      <c r="O17" s="37"/>
      <c r="P17" s="26"/>
      <c r="Q17" s="42" t="e">
        <f t="shared" si="3"/>
        <v>#NUM!</v>
      </c>
      <c r="R17" s="43" t="e">
        <f t="shared" si="1"/>
        <v>#NUM!</v>
      </c>
      <c r="W17" s="303">
        <v>43010</v>
      </c>
      <c r="X17" s="302">
        <v>1.00212728073206</v>
      </c>
      <c r="Z17" s="303">
        <v>43073</v>
      </c>
      <c r="AA17" s="302">
        <v>1.0023926982956499</v>
      </c>
    </row>
    <row r="18" spans="2:27" x14ac:dyDescent="0.2">
      <c r="D18" s="11" t="e">
        <v>#NUM!</v>
      </c>
      <c r="E18" s="28" t="e">
        <f>_xll.qlYieldTSDiscount(C$4,D18,,Triggers!RTDataTrigger)</f>
        <v>#NUM!</v>
      </c>
      <c r="F18" s="37"/>
      <c r="G18" s="26"/>
      <c r="H18" s="42" t="e">
        <f t="shared" si="2"/>
        <v>#NUM!</v>
      </c>
      <c r="I18" s="43" t="e">
        <f t="shared" si="0"/>
        <v>#NUM!</v>
      </c>
      <c r="J18" s="58"/>
      <c r="M18" s="11" t="e">
        <v>#NUM!</v>
      </c>
      <c r="N18" s="28" t="e">
        <f>_xll.qlYieldTSDiscount(L$4,M18,,Triggers!RTDataTrigger)</f>
        <v>#NUM!</v>
      </c>
      <c r="O18" s="37"/>
      <c r="P18" s="26"/>
      <c r="Q18" s="42" t="e">
        <f t="shared" si="3"/>
        <v>#NUM!</v>
      </c>
      <c r="R18" s="43" t="e">
        <f t="shared" si="1"/>
        <v>#NUM!</v>
      </c>
      <c r="W18" s="303">
        <v>43041</v>
      </c>
      <c r="X18" s="302">
        <v>1.0024307348949899</v>
      </c>
      <c r="Z18" s="303">
        <v>43102</v>
      </c>
      <c r="AA18" s="302">
        <v>1.00261101031266</v>
      </c>
    </row>
    <row r="19" spans="2:27" x14ac:dyDescent="0.2">
      <c r="D19" s="11" t="e">
        <v>#NUM!</v>
      </c>
      <c r="E19" s="28" t="e">
        <f>_xll.qlYieldTSDiscount(C$4,D19,,Triggers!RTDataTrigger)</f>
        <v>#NUM!</v>
      </c>
      <c r="F19" s="37"/>
      <c r="G19" s="26"/>
      <c r="H19" s="42" t="e">
        <f t="shared" si="2"/>
        <v>#NUM!</v>
      </c>
      <c r="I19" s="43" t="e">
        <f t="shared" si="0"/>
        <v>#NUM!</v>
      </c>
      <c r="J19" s="58"/>
      <c r="M19" s="11" t="e">
        <v>#NUM!</v>
      </c>
      <c r="N19" s="28" t="e">
        <f>_xll.qlYieldTSDiscount(L$4,M19,,Triggers!RTDataTrigger)</f>
        <v>#NUM!</v>
      </c>
      <c r="O19" s="37"/>
      <c r="P19" s="26"/>
      <c r="Q19" s="42" t="e">
        <f t="shared" si="3"/>
        <v>#NUM!</v>
      </c>
      <c r="R19" s="43" t="e">
        <f t="shared" si="1"/>
        <v>#NUM!</v>
      </c>
      <c r="W19" s="303">
        <v>43073</v>
      </c>
      <c r="X19" s="302">
        <v>1.00274530873638</v>
      </c>
      <c r="Z19" s="303">
        <v>43133</v>
      </c>
      <c r="AA19" s="302">
        <v>1.00285233414245</v>
      </c>
    </row>
    <row r="20" spans="2:27" x14ac:dyDescent="0.2">
      <c r="B20" t="b">
        <v>1</v>
      </c>
      <c r="D20" s="11" t="e">
        <v>#NUM!</v>
      </c>
      <c r="E20" s="28" t="e">
        <f>_xll.qlYieldTSDiscount(C$4,D20,,Triggers!RTDataTrigger)</f>
        <v>#NUM!</v>
      </c>
      <c r="F20" s="37"/>
      <c r="G20" s="26"/>
      <c r="H20" s="42" t="e">
        <f t="shared" si="2"/>
        <v>#NUM!</v>
      </c>
      <c r="I20" s="43" t="e">
        <f t="shared" si="0"/>
        <v>#NUM!</v>
      </c>
      <c r="J20" s="58"/>
      <c r="M20" s="11" t="e">
        <v>#NUM!</v>
      </c>
      <c r="N20" s="28" t="e">
        <f>_xll.qlYieldTSDiscount(L$4,M20,,Triggers!RTDataTrigger)</f>
        <v>#NUM!</v>
      </c>
      <c r="O20" s="37"/>
      <c r="P20" s="26"/>
      <c r="Q20" s="42" t="e">
        <f t="shared" si="3"/>
        <v>#NUM!</v>
      </c>
      <c r="R20" s="43" t="e">
        <f t="shared" si="1"/>
        <v>#NUM!</v>
      </c>
      <c r="W20" s="303">
        <v>43102</v>
      </c>
      <c r="X20" s="302">
        <v>1.0030302333451799</v>
      </c>
      <c r="Z20" s="303">
        <v>43161</v>
      </c>
      <c r="AA20" s="302">
        <v>1.00305079965557</v>
      </c>
    </row>
    <row r="21" spans="2:27" x14ac:dyDescent="0.2">
      <c r="D21" s="11" t="e">
        <v>#NUM!</v>
      </c>
      <c r="E21" s="28" t="e">
        <f>_xll.qlYieldTSDiscount(C$4,D21,,Triggers!RTDataTrigger)</f>
        <v>#NUM!</v>
      </c>
      <c r="F21" s="37"/>
      <c r="G21" s="26"/>
      <c r="H21" s="42" t="e">
        <f t="shared" si="2"/>
        <v>#NUM!</v>
      </c>
      <c r="I21" s="43" t="e">
        <f t="shared" si="0"/>
        <v>#NUM!</v>
      </c>
      <c r="J21" s="58"/>
      <c r="M21" s="11" t="e">
        <v>#NUM!</v>
      </c>
      <c r="N21" s="28" t="e">
        <f>_xll.qlYieldTSDiscount(L$4,M21,,Triggers!RTDataTrigger)</f>
        <v>#NUM!</v>
      </c>
      <c r="O21" s="37"/>
      <c r="P21" s="26"/>
      <c r="Q21" s="42" t="e">
        <f t="shared" si="3"/>
        <v>#NUM!</v>
      </c>
      <c r="R21" s="43" t="e">
        <f t="shared" si="1"/>
        <v>#NUM!</v>
      </c>
      <c r="W21" s="303">
        <v>43133</v>
      </c>
      <c r="X21" s="302">
        <v>1.0033321883739199</v>
      </c>
      <c r="Z21" s="303">
        <v>43193</v>
      </c>
      <c r="AA21" s="302">
        <v>1.0032805328549099</v>
      </c>
    </row>
    <row r="22" spans="2:27" x14ac:dyDescent="0.2">
      <c r="D22" s="11" t="e">
        <v>#NUM!</v>
      </c>
      <c r="E22" s="28" t="e">
        <f>_xll.qlYieldTSDiscount(C$4,D22,,Triggers!RTDataTrigger)</f>
        <v>#NUM!</v>
      </c>
      <c r="F22" s="37"/>
      <c r="G22" s="26"/>
      <c r="H22" s="42" t="e">
        <f t="shared" si="2"/>
        <v>#NUM!</v>
      </c>
      <c r="I22" s="43" t="e">
        <f t="shared" si="0"/>
        <v>#NUM!</v>
      </c>
      <c r="J22" s="58"/>
      <c r="M22" s="11" t="e">
        <v>#NUM!</v>
      </c>
      <c r="N22" s="28" t="e">
        <f>_xll.qlYieldTSDiscount(L$4,M22,,Triggers!RTDataTrigger)</f>
        <v>#NUM!</v>
      </c>
      <c r="O22" s="37"/>
      <c r="P22" s="26"/>
      <c r="Q22" s="42" t="e">
        <f t="shared" si="3"/>
        <v>#NUM!</v>
      </c>
      <c r="R22" s="43" t="e">
        <f t="shared" si="1"/>
        <v>#NUM!</v>
      </c>
      <c r="W22" s="303">
        <v>43161</v>
      </c>
      <c r="X22" s="302">
        <v>1.00360230097326</v>
      </c>
      <c r="Z22" s="303">
        <v>43222</v>
      </c>
      <c r="AA22" s="302">
        <v>1.0034948774874699</v>
      </c>
    </row>
    <row r="23" spans="2:27" x14ac:dyDescent="0.2">
      <c r="D23" s="11" t="e">
        <v>#NUM!</v>
      </c>
      <c r="E23" s="28" t="e">
        <f>_xll.qlYieldTSDiscount(C$4,D23,,Triggers!RTDataTrigger)</f>
        <v>#NUM!</v>
      </c>
      <c r="F23" s="37"/>
      <c r="G23" s="26"/>
      <c r="H23" s="42" t="e">
        <f t="shared" si="2"/>
        <v>#NUM!</v>
      </c>
      <c r="I23" s="43" t="e">
        <f t="shared" si="0"/>
        <v>#NUM!</v>
      </c>
      <c r="J23" s="58"/>
      <c r="M23" s="11" t="e">
        <v>#NUM!</v>
      </c>
      <c r="N23" s="28" t="e">
        <f>_xll.qlYieldTSDiscount(L$4,M23,,Triggers!RTDataTrigger)</f>
        <v>#NUM!</v>
      </c>
      <c r="O23" s="37"/>
      <c r="P23" s="26"/>
      <c r="Q23" s="42" t="e">
        <f t="shared" si="3"/>
        <v>#NUM!</v>
      </c>
      <c r="R23" s="43" t="e">
        <f t="shared" si="1"/>
        <v>#NUM!</v>
      </c>
      <c r="W23" s="303">
        <v>43193</v>
      </c>
      <c r="X23" s="302">
        <v>1.00390752967715</v>
      </c>
      <c r="Z23" s="303">
        <v>43255</v>
      </c>
      <c r="AA23" s="302">
        <v>1.00371648673439</v>
      </c>
    </row>
    <row r="24" spans="2:27" x14ac:dyDescent="0.2">
      <c r="D24" s="11" t="e">
        <v>#NUM!</v>
      </c>
      <c r="E24" s="28" t="e">
        <f>_xll.qlYieldTSDiscount(C$4,D24,,Triggers!RTDataTrigger)</f>
        <v>#NUM!</v>
      </c>
      <c r="F24" s="37"/>
      <c r="G24" s="26"/>
      <c r="H24" s="42" t="e">
        <f t="shared" si="2"/>
        <v>#NUM!</v>
      </c>
      <c r="I24" s="43" t="e">
        <f t="shared" si="0"/>
        <v>#NUM!</v>
      </c>
      <c r="J24" s="58"/>
      <c r="M24" s="11" t="e">
        <v>#NUM!</v>
      </c>
      <c r="N24" s="28" t="e">
        <f>_xll.qlYieldTSDiscount(L$4,M24,,Triggers!RTDataTrigger)</f>
        <v>#NUM!</v>
      </c>
      <c r="O24" s="37"/>
      <c r="P24" s="26"/>
      <c r="Q24" s="42" t="e">
        <f t="shared" si="3"/>
        <v>#NUM!</v>
      </c>
      <c r="R24" s="43" t="e">
        <f t="shared" si="1"/>
        <v>#NUM!</v>
      </c>
      <c r="W24" s="303">
        <v>43222</v>
      </c>
      <c r="X24" s="302">
        <v>1.00418063220718</v>
      </c>
      <c r="Z24" s="303">
        <v>43272</v>
      </c>
      <c r="AA24" s="302">
        <v>1.0038296296492499</v>
      </c>
    </row>
    <row r="25" spans="2:27" x14ac:dyDescent="0.2">
      <c r="D25" s="11" t="e">
        <v>#NUM!</v>
      </c>
      <c r="E25" s="28" t="e">
        <f>_xll.qlYieldTSDiscount(C$4,D25,,Triggers!RTDataTrigger)</f>
        <v>#NUM!</v>
      </c>
      <c r="F25" s="37"/>
      <c r="G25" s="26"/>
      <c r="H25" s="42" t="e">
        <f t="shared" si="2"/>
        <v>#NUM!</v>
      </c>
      <c r="I25" s="43" t="e">
        <f t="shared" si="0"/>
        <v>#NUM!</v>
      </c>
      <c r="J25" s="58"/>
      <c r="M25" s="11" t="e">
        <v>#NUM!</v>
      </c>
      <c r="N25" s="28" t="e">
        <f>_xll.qlYieldTSDiscount(L$4,M25,,Triggers!RTDataTrigger)</f>
        <v>#NUM!</v>
      </c>
      <c r="O25" s="37"/>
      <c r="P25" s="26"/>
      <c r="Q25" s="42" t="e">
        <f t="shared" si="3"/>
        <v>#NUM!</v>
      </c>
      <c r="R25" s="43" t="e">
        <f t="shared" si="1"/>
        <v>#NUM!</v>
      </c>
      <c r="W25" s="303">
        <v>43255</v>
      </c>
      <c r="X25" s="302">
        <v>1.0044870949745099</v>
      </c>
      <c r="Z25" s="303">
        <v>43363</v>
      </c>
      <c r="AA25" s="302">
        <v>1.0044261459063699</v>
      </c>
    </row>
    <row r="26" spans="2:27" x14ac:dyDescent="0.2">
      <c r="D26" s="11" t="e">
        <v>#NUM!</v>
      </c>
      <c r="E26" s="28" t="e">
        <f>_xll.qlYieldTSDiscount(C$4,D26,,Triggers!RTDataTrigger)</f>
        <v>#NUM!</v>
      </c>
      <c r="F26" s="37"/>
      <c r="G26" s="26"/>
      <c r="H26" s="42" t="e">
        <f t="shared" si="2"/>
        <v>#NUM!</v>
      </c>
      <c r="I26" s="43" t="e">
        <f t="shared" si="0"/>
        <v>#NUM!</v>
      </c>
      <c r="J26" s="58"/>
      <c r="M26" s="11" t="e">
        <v>#NUM!</v>
      </c>
      <c r="N26" s="28" t="e">
        <f>_xll.qlYieldTSDiscount(L$4,M26,,Triggers!RTDataTrigger)</f>
        <v>#NUM!</v>
      </c>
      <c r="O26" s="37"/>
      <c r="P26" s="26"/>
      <c r="Q26" s="42" t="e">
        <f t="shared" si="3"/>
        <v>#NUM!</v>
      </c>
      <c r="R26" s="43" t="e">
        <f t="shared" si="1"/>
        <v>#NUM!</v>
      </c>
      <c r="W26" s="303">
        <v>43283</v>
      </c>
      <c r="X26" s="302">
        <v>1.0047433879093399</v>
      </c>
      <c r="Z26" s="303">
        <v>43453</v>
      </c>
      <c r="AA26" s="302">
        <v>1.0049546407211101</v>
      </c>
    </row>
    <row r="27" spans="2:27" x14ac:dyDescent="0.2">
      <c r="D27" s="11" t="e">
        <v>#NUM!</v>
      </c>
      <c r="E27" s="28" t="e">
        <f>_xll.qlYieldTSDiscount(C$4,D27,,Triggers!RTDataTrigger)</f>
        <v>#NUM!</v>
      </c>
      <c r="F27" s="37"/>
      <c r="G27" s="26"/>
      <c r="H27" s="42" t="e">
        <f t="shared" si="2"/>
        <v>#NUM!</v>
      </c>
      <c r="I27" s="43" t="e">
        <f t="shared" si="0"/>
        <v>#NUM!</v>
      </c>
      <c r="J27" s="58"/>
      <c r="M27" s="11" t="e">
        <v>#NUM!</v>
      </c>
      <c r="N27" s="28" t="e">
        <f>_xll.qlYieldTSDiscount(L$4,M27,,Triggers!RTDataTrigger)</f>
        <v>#NUM!</v>
      </c>
      <c r="O27" s="37"/>
      <c r="P27" s="26"/>
      <c r="Q27" s="42" t="e">
        <f t="shared" si="3"/>
        <v>#NUM!</v>
      </c>
      <c r="R27" s="43" t="e">
        <f t="shared" si="1"/>
        <v>#NUM!</v>
      </c>
      <c r="W27" s="303">
        <v>43314</v>
      </c>
      <c r="X27" s="302">
        <v>1.00502447049028</v>
      </c>
      <c r="Z27" s="303">
        <v>43543</v>
      </c>
      <c r="AA27" s="302">
        <v>1.0054246767584101</v>
      </c>
    </row>
    <row r="28" spans="2:27" x14ac:dyDescent="0.2">
      <c r="D28" s="11" t="e">
        <v>#NUM!</v>
      </c>
      <c r="E28" s="28" t="e">
        <f>_xll.qlYieldTSDiscount(C$4,D28,,Triggers!RTDataTrigger)</f>
        <v>#NUM!</v>
      </c>
      <c r="F28" s="37"/>
      <c r="G28" s="26"/>
      <c r="H28" s="42" t="e">
        <f t="shared" si="2"/>
        <v>#NUM!</v>
      </c>
      <c r="I28" s="43" t="e">
        <f t="shared" si="0"/>
        <v>#NUM!</v>
      </c>
      <c r="J28" s="58"/>
      <c r="M28" s="11" t="e">
        <v>#NUM!</v>
      </c>
      <c r="N28" s="28" t="e">
        <f>_xll.qlYieldTSDiscount(L$4,M28,,Triggers!RTDataTrigger)</f>
        <v>#NUM!</v>
      </c>
      <c r="O28" s="37"/>
      <c r="P28" s="26"/>
      <c r="Q28" s="42" t="e">
        <f t="shared" si="3"/>
        <v>#NUM!</v>
      </c>
      <c r="R28" s="43" t="e">
        <f t="shared" si="1"/>
        <v>#NUM!</v>
      </c>
      <c r="W28" s="303">
        <v>43346</v>
      </c>
      <c r="X28" s="302">
        <v>1.0053132244368601</v>
      </c>
      <c r="Z28" s="303">
        <v>43636</v>
      </c>
      <c r="AA28" s="302">
        <v>1.0058356501294601</v>
      </c>
    </row>
    <row r="29" spans="2:27" x14ac:dyDescent="0.2">
      <c r="D29" s="11" t="e">
        <v>#NUM!</v>
      </c>
      <c r="E29" s="28" t="e">
        <f>_xll.qlYieldTSDiscount(C$4,D29,,Triggers!RTDataTrigger)</f>
        <v>#NUM!</v>
      </c>
      <c r="F29" s="37"/>
      <c r="G29" s="26"/>
      <c r="H29" s="42" t="e">
        <f t="shared" si="2"/>
        <v>#NUM!</v>
      </c>
      <c r="I29" s="43" t="e">
        <f t="shared" si="0"/>
        <v>#NUM!</v>
      </c>
      <c r="J29" s="58"/>
      <c r="M29" s="11" t="e">
        <v>#NUM!</v>
      </c>
      <c r="N29" s="28" t="e">
        <f>_xll.qlYieldTSDiscount(L$4,M29,,Triggers!RTDataTrigger)</f>
        <v>#NUM!</v>
      </c>
      <c r="O29" s="37"/>
      <c r="P29" s="26"/>
      <c r="Q29" s="42" t="e">
        <f t="shared" si="3"/>
        <v>#NUM!</v>
      </c>
      <c r="R29" s="43" t="e">
        <f t="shared" si="1"/>
        <v>#NUM!</v>
      </c>
      <c r="W29" s="303">
        <v>43375</v>
      </c>
      <c r="X29" s="302">
        <v>1.0055745926574</v>
      </c>
      <c r="Z29" s="303">
        <v>43727</v>
      </c>
      <c r="AA29" s="302">
        <v>1.00615180249061</v>
      </c>
    </row>
    <row r="30" spans="2:27" x14ac:dyDescent="0.2">
      <c r="D30" s="11" t="e">
        <v>#NUM!</v>
      </c>
      <c r="E30" s="28" t="e">
        <f>_xll.qlYieldTSDiscount(C$4,D30,,Triggers!RTDataTrigger)</f>
        <v>#NUM!</v>
      </c>
      <c r="F30" s="37"/>
      <c r="G30" s="26"/>
      <c r="H30" s="42" t="e">
        <f t="shared" si="2"/>
        <v>#NUM!</v>
      </c>
      <c r="I30" s="43" t="e">
        <f t="shared" si="0"/>
        <v>#NUM!</v>
      </c>
      <c r="J30" s="58"/>
      <c r="M30" s="11" t="e">
        <v>#NUM!</v>
      </c>
      <c r="N30" s="28" t="e">
        <f>_xll.qlYieldTSDiscount(L$4,M30,,Triggers!RTDataTrigger)</f>
        <v>#NUM!</v>
      </c>
      <c r="O30" s="37"/>
      <c r="P30" s="26"/>
      <c r="Q30" s="42" t="e">
        <f t="shared" si="3"/>
        <v>#NUM!</v>
      </c>
      <c r="R30" s="43" t="e">
        <f t="shared" si="1"/>
        <v>#NUM!</v>
      </c>
      <c r="W30" s="303">
        <v>43406</v>
      </c>
      <c r="X30" s="302">
        <v>1.00585137483192</v>
      </c>
      <c r="Z30" s="303">
        <v>43892</v>
      </c>
      <c r="AA30" s="302">
        <v>1.00636402252934</v>
      </c>
    </row>
    <row r="31" spans="2:27" x14ac:dyDescent="0.2">
      <c r="D31" s="11" t="e">
        <v>#NUM!</v>
      </c>
      <c r="E31" s="28" t="e">
        <f>_xll.qlYieldTSDiscount(C$4,D31,,Triggers!RTDataTrigger)</f>
        <v>#NUM!</v>
      </c>
      <c r="F31" s="37"/>
      <c r="G31" s="26"/>
      <c r="H31" s="42" t="e">
        <f t="shared" si="2"/>
        <v>#NUM!</v>
      </c>
      <c r="I31" s="43" t="e">
        <f t="shared" si="0"/>
        <v>#NUM!</v>
      </c>
      <c r="J31" s="58"/>
      <c r="M31" s="11" t="e">
        <v>#NUM!</v>
      </c>
      <c r="N31" s="28" t="e">
        <f>_xll.qlYieldTSDiscount(L$4,M31,,Triggers!RTDataTrigger)</f>
        <v>#NUM!</v>
      </c>
      <c r="O31" s="37"/>
      <c r="P31" s="26"/>
      <c r="Q31" s="42" t="e">
        <f t="shared" si="3"/>
        <v>#NUM!</v>
      </c>
      <c r="R31" s="43" t="e">
        <f t="shared" si="1"/>
        <v>#NUM!</v>
      </c>
      <c r="W31" s="303">
        <v>43437</v>
      </c>
      <c r="X31" s="302">
        <v>1.00612055647187</v>
      </c>
      <c r="Z31" s="303">
        <v>44257</v>
      </c>
      <c r="AA31" s="302">
        <v>1.00566659763629</v>
      </c>
    </row>
    <row r="32" spans="2:27" x14ac:dyDescent="0.2">
      <c r="D32" s="11" t="e">
        <v>#NUM!</v>
      </c>
      <c r="E32" s="28" t="e">
        <f>_xll.qlYieldTSDiscount(C$4,D32,,Triggers!RTDataTrigger)</f>
        <v>#NUM!</v>
      </c>
      <c r="F32" s="37"/>
      <c r="G32" s="26"/>
      <c r="H32" s="42" t="e">
        <f t="shared" si="2"/>
        <v>#NUM!</v>
      </c>
      <c r="I32" s="43" t="e">
        <f t="shared" si="0"/>
        <v>#NUM!</v>
      </c>
      <c r="J32" s="58"/>
      <c r="M32" s="11" t="e">
        <v>#NUM!</v>
      </c>
      <c r="N32" s="28" t="e">
        <f>_xll.qlYieldTSDiscount(L$4,M32,,Triggers!RTDataTrigger)</f>
        <v>#NUM!</v>
      </c>
      <c r="O32" s="37"/>
      <c r="P32" s="26"/>
      <c r="Q32" s="42" t="e">
        <f t="shared" si="3"/>
        <v>#NUM!</v>
      </c>
      <c r="R32" s="43" t="e">
        <f t="shared" si="1"/>
        <v>#NUM!</v>
      </c>
      <c r="W32" s="303">
        <v>43467</v>
      </c>
      <c r="X32" s="302">
        <v>1.00636976423366</v>
      </c>
      <c r="Z32" s="303">
        <v>44622</v>
      </c>
      <c r="AA32" s="302">
        <v>1.0024097305192801</v>
      </c>
    </row>
    <row r="33" spans="4:27" x14ac:dyDescent="0.2">
      <c r="D33" s="11" t="e">
        <v>#NUM!</v>
      </c>
      <c r="E33" s="28" t="e">
        <f>_xll.qlYieldTSDiscount(C$4,D33,,Triggers!RTDataTrigger)</f>
        <v>#NUM!</v>
      </c>
      <c r="F33" s="37"/>
      <c r="G33" s="26"/>
      <c r="H33" s="42" t="e">
        <f t="shared" si="2"/>
        <v>#NUM!</v>
      </c>
      <c r="I33" s="43" t="e">
        <f t="shared" si="0"/>
        <v>#NUM!</v>
      </c>
      <c r="J33" s="58"/>
      <c r="M33" s="11" t="e">
        <v>#NUM!</v>
      </c>
      <c r="N33" s="28" t="e">
        <f>_xll.qlYieldTSDiscount(L$4,M33,,Triggers!RTDataTrigger)</f>
        <v>#NUM!</v>
      </c>
      <c r="O33" s="37"/>
      <c r="P33" s="26"/>
      <c r="Q33" s="42" t="e">
        <f t="shared" si="3"/>
        <v>#NUM!</v>
      </c>
      <c r="R33" s="43" t="e">
        <f t="shared" si="1"/>
        <v>#NUM!</v>
      </c>
      <c r="W33" s="303">
        <v>43500</v>
      </c>
      <c r="X33" s="302">
        <v>1.0066322829064001</v>
      </c>
      <c r="Z33" s="303">
        <v>44987</v>
      </c>
      <c r="AA33" s="302">
        <v>0.99615651467733901</v>
      </c>
    </row>
    <row r="34" spans="4:27" x14ac:dyDescent="0.2">
      <c r="D34" s="11" t="e">
        <v>#NUM!</v>
      </c>
      <c r="E34" s="28" t="e">
        <f>_xll.qlYieldTSDiscount(C$4,D34,,Triggers!RTDataTrigger)</f>
        <v>#NUM!</v>
      </c>
      <c r="F34" s="37"/>
      <c r="G34" s="26"/>
      <c r="H34" s="42" t="e">
        <f t="shared" si="2"/>
        <v>#NUM!</v>
      </c>
      <c r="I34" s="43" t="e">
        <f t="shared" si="0"/>
        <v>#NUM!</v>
      </c>
      <c r="J34" s="58"/>
      <c r="M34" s="11" t="e">
        <v>#NUM!</v>
      </c>
      <c r="N34" s="28" t="e">
        <f>_xll.qlYieldTSDiscount(L$4,M34,,Triggers!RTDataTrigger)</f>
        <v>#NUM!</v>
      </c>
      <c r="O34" s="37"/>
      <c r="P34" s="26"/>
      <c r="Q34" s="42" t="e">
        <f t="shared" si="3"/>
        <v>#NUM!</v>
      </c>
      <c r="R34" s="43" t="e">
        <f t="shared" si="1"/>
        <v>#NUM!</v>
      </c>
      <c r="W34" s="303">
        <v>43528</v>
      </c>
      <c r="X34" s="302">
        <v>1.0068474030246699</v>
      </c>
      <c r="Z34" s="303">
        <v>45355</v>
      </c>
      <c r="AA34" s="302">
        <v>0.98684702783876999</v>
      </c>
    </row>
    <row r="35" spans="4:27" x14ac:dyDescent="0.2">
      <c r="D35" s="11" t="e">
        <v>#NUM!</v>
      </c>
      <c r="E35" s="28" t="e">
        <f>_xll.qlYieldTSDiscount(C$4,D35,,Triggers!RTDataTrigger)</f>
        <v>#NUM!</v>
      </c>
      <c r="F35" s="37"/>
      <c r="G35" s="26"/>
      <c r="H35" s="42" t="e">
        <f t="shared" si="2"/>
        <v>#NUM!</v>
      </c>
      <c r="I35" s="43" t="e">
        <f t="shared" si="0"/>
        <v>#NUM!</v>
      </c>
      <c r="J35" s="58"/>
      <c r="M35" s="11" t="e">
        <v>#NUM!</v>
      </c>
      <c r="N35" s="28" t="e">
        <f>_xll.qlYieldTSDiscount(L$4,M35,,Triggers!RTDataTrigger)</f>
        <v>#NUM!</v>
      </c>
      <c r="O35" s="37"/>
      <c r="P35" s="26"/>
      <c r="Q35" s="42" t="e">
        <f t="shared" si="3"/>
        <v>#NUM!</v>
      </c>
      <c r="R35" s="43" t="e">
        <f t="shared" si="1"/>
        <v>#NUM!</v>
      </c>
      <c r="W35" s="303">
        <v>43892</v>
      </c>
      <c r="X35" s="302">
        <v>1.00909079248435</v>
      </c>
      <c r="Z35" s="303">
        <v>45719</v>
      </c>
      <c r="AA35" s="302">
        <v>0.97483245473774804</v>
      </c>
    </row>
    <row r="36" spans="4:27" x14ac:dyDescent="0.2">
      <c r="D36" s="11" t="e">
        <v>#NUM!</v>
      </c>
      <c r="E36" s="28" t="e">
        <f>_xll.qlYieldTSDiscount(C$4,D36,,Triggers!RTDataTrigger)</f>
        <v>#NUM!</v>
      </c>
      <c r="F36" s="37"/>
      <c r="G36" s="26"/>
      <c r="H36" s="42" t="e">
        <f t="shared" si="2"/>
        <v>#NUM!</v>
      </c>
      <c r="I36" s="43" t="e">
        <f t="shared" si="0"/>
        <v>#NUM!</v>
      </c>
      <c r="J36" s="58"/>
      <c r="M36" s="11" t="e">
        <v>#NUM!</v>
      </c>
      <c r="N36" s="28" t="e">
        <f>_xll.qlYieldTSDiscount(L$4,M36,,Triggers!RTDataTrigger)</f>
        <v>#NUM!</v>
      </c>
      <c r="O36" s="37"/>
      <c r="P36" s="26"/>
      <c r="Q36" s="42" t="e">
        <f t="shared" si="3"/>
        <v>#NUM!</v>
      </c>
      <c r="R36" s="43" t="e">
        <f t="shared" si="1"/>
        <v>#NUM!</v>
      </c>
      <c r="W36" s="303">
        <v>44257</v>
      </c>
      <c r="X36" s="302">
        <v>1.0097091205745301</v>
      </c>
      <c r="Z36" s="303">
        <v>46083</v>
      </c>
      <c r="AA36" s="302">
        <v>0.96066814382399801</v>
      </c>
    </row>
    <row r="37" spans="4:27" x14ac:dyDescent="0.2">
      <c r="D37" s="11" t="e">
        <v>#NUM!</v>
      </c>
      <c r="E37" s="28" t="e">
        <f>_xll.qlYieldTSDiscount(C$4,D37,,Triggers!RTDataTrigger)</f>
        <v>#NUM!</v>
      </c>
      <c r="F37" s="37"/>
      <c r="G37" s="26"/>
      <c r="H37" s="42" t="e">
        <f t="shared" si="2"/>
        <v>#NUM!</v>
      </c>
      <c r="I37" s="43" t="e">
        <f t="shared" si="0"/>
        <v>#NUM!</v>
      </c>
      <c r="J37" s="58"/>
      <c r="M37" s="11" t="e">
        <v>#NUM!</v>
      </c>
      <c r="N37" s="28" t="e">
        <f>_xll.qlYieldTSDiscount(L$4,M37,,Triggers!RTDataTrigger)</f>
        <v>#NUM!</v>
      </c>
      <c r="O37" s="37"/>
      <c r="P37" s="26"/>
      <c r="Q37" s="42" t="e">
        <f t="shared" si="3"/>
        <v>#NUM!</v>
      </c>
      <c r="R37" s="43" t="e">
        <f t="shared" si="1"/>
        <v>#NUM!</v>
      </c>
      <c r="W37" s="303">
        <v>44622</v>
      </c>
      <c r="X37" s="302">
        <v>1.00799214654595</v>
      </c>
      <c r="Z37" s="303">
        <v>46448</v>
      </c>
      <c r="AA37" s="302">
        <v>0.94497848470766099</v>
      </c>
    </row>
    <row r="38" spans="4:27" x14ac:dyDescent="0.2">
      <c r="D38" s="11" t="e">
        <v>#NUM!</v>
      </c>
      <c r="E38" s="28" t="e">
        <f>_xll.qlYieldTSDiscount(C$4,D38,,Triggers!RTDataTrigger)</f>
        <v>#NUM!</v>
      </c>
      <c r="F38" s="37"/>
      <c r="G38" s="26"/>
      <c r="H38" s="42" t="e">
        <f t="shared" si="2"/>
        <v>#NUM!</v>
      </c>
      <c r="I38" s="43" t="e">
        <f t="shared" si="0"/>
        <v>#NUM!</v>
      </c>
      <c r="J38" s="58"/>
      <c r="K38" s="204"/>
      <c r="M38" s="11" t="e">
        <v>#NUM!</v>
      </c>
      <c r="N38" s="28" t="e">
        <f>_xll.qlYieldTSDiscount(L$4,M38,,Triggers!RTDataTrigger)</f>
        <v>#NUM!</v>
      </c>
      <c r="O38" s="37"/>
      <c r="P38" s="26"/>
      <c r="Q38" s="42" t="e">
        <f t="shared" si="3"/>
        <v>#NUM!</v>
      </c>
      <c r="R38" s="43" t="e">
        <f t="shared" si="1"/>
        <v>#NUM!</v>
      </c>
      <c r="W38" s="303">
        <v>44987</v>
      </c>
      <c r="X38" s="302">
        <v>1.0030227602226001</v>
      </c>
      <c r="Z38" s="303">
        <v>46814</v>
      </c>
      <c r="AA38" s="302">
        <v>0.92836437452676801</v>
      </c>
    </row>
    <row r="39" spans="4:27" x14ac:dyDescent="0.2">
      <c r="D39" s="11" t="e">
        <v>#NUM!</v>
      </c>
      <c r="E39" s="28" t="e">
        <f>_xll.qlYieldTSDiscount(C$4,D39,,Triggers!RTDataTrigger)</f>
        <v>#NUM!</v>
      </c>
      <c r="F39" s="37"/>
      <c r="G39" s="26"/>
      <c r="H39" s="42" t="e">
        <f t="shared" si="2"/>
        <v>#NUM!</v>
      </c>
      <c r="I39" s="43" t="e">
        <f t="shared" si="0"/>
        <v>#NUM!</v>
      </c>
      <c r="J39" s="58"/>
      <c r="K39" s="204"/>
      <c r="M39" s="11" t="e">
        <v>#NUM!</v>
      </c>
      <c r="N39" s="28" t="e">
        <f>_xll.qlYieldTSDiscount(L$4,M39,,Triggers!RTDataTrigger)</f>
        <v>#NUM!</v>
      </c>
      <c r="O39" s="37"/>
      <c r="P39" s="26"/>
      <c r="Q39" s="42" t="e">
        <f t="shared" si="3"/>
        <v>#NUM!</v>
      </c>
      <c r="R39" s="43" t="e">
        <f t="shared" si="1"/>
        <v>#NUM!</v>
      </c>
      <c r="W39" s="303">
        <v>45355</v>
      </c>
      <c r="X39" s="302">
        <v>0.99473415348486904</v>
      </c>
      <c r="Z39" s="303">
        <v>47179</v>
      </c>
      <c r="AA39" s="302">
        <v>0.91135947279312701</v>
      </c>
    </row>
    <row r="40" spans="4:27" x14ac:dyDescent="0.2">
      <c r="D40" s="11" t="e">
        <v>#NUM!</v>
      </c>
      <c r="E40" s="28" t="e">
        <f>_xll.qlYieldTSDiscount(C$4,D40,,Triggers!RTDataTrigger)</f>
        <v>#NUM!</v>
      </c>
      <c r="F40" s="37"/>
      <c r="G40" s="26"/>
      <c r="H40" s="42" t="e">
        <f t="shared" si="2"/>
        <v>#NUM!</v>
      </c>
      <c r="I40" s="43" t="e">
        <f t="shared" si="0"/>
        <v>#NUM!</v>
      </c>
      <c r="J40" s="58"/>
      <c r="K40" s="204"/>
      <c r="M40" s="11" t="e">
        <v>#NUM!</v>
      </c>
      <c r="N40" s="28" t="e">
        <f>_xll.qlYieldTSDiscount(L$4,M40,,Triggers!RTDataTrigger)</f>
        <v>#NUM!</v>
      </c>
      <c r="O40" s="37"/>
      <c r="P40" s="26"/>
      <c r="Q40" s="42" t="e">
        <f t="shared" si="3"/>
        <v>#NUM!</v>
      </c>
      <c r="R40" s="43" t="e">
        <f t="shared" si="1"/>
        <v>#NUM!</v>
      </c>
      <c r="W40" s="303">
        <v>45719</v>
      </c>
      <c r="X40" s="302">
        <v>0.98374363361508199</v>
      </c>
      <c r="Z40" s="303">
        <v>47546</v>
      </c>
      <c r="AA40" s="302">
        <v>0.89418400050528302</v>
      </c>
    </row>
    <row r="41" spans="4:27" x14ac:dyDescent="0.2">
      <c r="D41" s="11" t="e">
        <v>#NUM!</v>
      </c>
      <c r="E41" s="28" t="e">
        <f>_xll.qlYieldTSDiscount(C$4,D41,,Triggers!RTDataTrigger)</f>
        <v>#NUM!</v>
      </c>
      <c r="F41" s="37"/>
      <c r="G41" s="26"/>
      <c r="H41" s="42" t="e">
        <f t="shared" si="2"/>
        <v>#NUM!</v>
      </c>
      <c r="I41" s="43" t="e">
        <f t="shared" si="0"/>
        <v>#NUM!</v>
      </c>
      <c r="J41" s="58"/>
      <c r="K41" s="204"/>
      <c r="M41" s="11" t="e">
        <v>#NUM!</v>
      </c>
      <c r="N41" s="28" t="e">
        <f>_xll.qlYieldTSDiscount(L$4,M41,,Triggers!RTDataTrigger)</f>
        <v>#NUM!</v>
      </c>
      <c r="O41" s="37"/>
      <c r="P41" s="26"/>
      <c r="Q41" s="42" t="e">
        <f t="shared" si="3"/>
        <v>#NUM!</v>
      </c>
      <c r="R41" s="43" t="e">
        <f t="shared" si="1"/>
        <v>#NUM!</v>
      </c>
      <c r="W41" s="303">
        <v>46083</v>
      </c>
      <c r="X41" s="302">
        <v>0.97047267333769405</v>
      </c>
      <c r="Z41" s="303">
        <v>47910</v>
      </c>
      <c r="AA41" s="302">
        <v>0.87733530765143697</v>
      </c>
    </row>
    <row r="42" spans="4:27" x14ac:dyDescent="0.2">
      <c r="D42" s="11" t="e">
        <v>#NUM!</v>
      </c>
      <c r="E42" s="28" t="e">
        <f>_xll.qlYieldTSDiscount(C$4,D42,,Triggers!RTDataTrigger)</f>
        <v>#NUM!</v>
      </c>
      <c r="F42" s="37"/>
      <c r="G42" s="26"/>
      <c r="H42" s="42" t="e">
        <f t="shared" si="2"/>
        <v>#NUM!</v>
      </c>
      <c r="I42" s="43" t="e">
        <f t="shared" si="0"/>
        <v>#NUM!</v>
      </c>
      <c r="J42" s="58"/>
      <c r="K42" s="204"/>
      <c r="M42" s="11" t="e">
        <v>#NUM!</v>
      </c>
      <c r="N42" s="28" t="e">
        <f>_xll.qlYieldTSDiscount(L$4,M42,,Triggers!RTDataTrigger)</f>
        <v>#NUM!</v>
      </c>
      <c r="O42" s="37"/>
      <c r="P42" s="26"/>
      <c r="Q42" s="42" t="e">
        <f t="shared" si="3"/>
        <v>#NUM!</v>
      </c>
      <c r="R42" s="43" t="e">
        <f t="shared" si="1"/>
        <v>#NUM!</v>
      </c>
      <c r="W42" s="303">
        <v>46448</v>
      </c>
      <c r="X42" s="302">
        <v>0.95542975518758999</v>
      </c>
      <c r="Z42" s="303">
        <v>48275</v>
      </c>
      <c r="AA42" s="302">
        <v>0.86082412452113</v>
      </c>
    </row>
    <row r="43" spans="4:27" x14ac:dyDescent="0.2">
      <c r="D43" s="11" t="e">
        <v>#NUM!</v>
      </c>
      <c r="E43" s="28" t="e">
        <f>_xll.qlYieldTSDiscount(C$4,D43,,Triggers!RTDataTrigger)</f>
        <v>#NUM!</v>
      </c>
      <c r="F43" s="37"/>
      <c r="G43" s="26"/>
      <c r="H43" s="42" t="e">
        <f t="shared" si="2"/>
        <v>#NUM!</v>
      </c>
      <c r="I43" s="43" t="e">
        <f t="shared" si="0"/>
        <v>#NUM!</v>
      </c>
      <c r="J43" s="58"/>
      <c r="K43" s="204"/>
      <c r="M43" s="11" t="e">
        <v>#NUM!</v>
      </c>
      <c r="N43" s="28" t="e">
        <f>_xll.qlYieldTSDiscount(L$4,M43,,Triggers!RTDataTrigger)</f>
        <v>#NUM!</v>
      </c>
      <c r="O43" s="37"/>
      <c r="P43" s="26"/>
      <c r="Q43" s="42" t="e">
        <f t="shared" si="3"/>
        <v>#NUM!</v>
      </c>
      <c r="R43" s="43" t="e">
        <f t="shared" si="1"/>
        <v>#NUM!</v>
      </c>
      <c r="W43" s="303">
        <v>46814</v>
      </c>
      <c r="X43" s="302">
        <v>0.93950175630634203</v>
      </c>
      <c r="Z43" s="303">
        <v>48640</v>
      </c>
      <c r="AA43" s="302">
        <v>0.84485011325154702</v>
      </c>
    </row>
    <row r="44" spans="4:27" x14ac:dyDescent="0.2">
      <c r="D44" s="11" t="e">
        <v>#NUM!</v>
      </c>
      <c r="E44" s="28" t="e">
        <f>_xll.qlYieldTSDiscount(C$4,D44,,Triggers!RTDataTrigger)</f>
        <v>#NUM!</v>
      </c>
      <c r="F44" s="37"/>
      <c r="G44" s="26"/>
      <c r="H44" s="42" t="e">
        <f t="shared" si="2"/>
        <v>#NUM!</v>
      </c>
      <c r="I44" s="43" t="e">
        <f t="shared" si="0"/>
        <v>#NUM!</v>
      </c>
      <c r="J44" s="58"/>
      <c r="M44" s="11" t="e">
        <v>#NUM!</v>
      </c>
      <c r="N44" s="28" t="e">
        <f>_xll.qlYieldTSDiscount(L$4,M44,,Triggers!RTDataTrigger)</f>
        <v>#NUM!</v>
      </c>
      <c r="O44" s="37"/>
      <c r="P44" s="26"/>
      <c r="Q44" s="42" t="e">
        <f t="shared" si="3"/>
        <v>#NUM!</v>
      </c>
      <c r="R44" s="43" t="e">
        <f t="shared" si="1"/>
        <v>#NUM!</v>
      </c>
      <c r="W44" s="303">
        <v>47179</v>
      </c>
      <c r="X44" s="302">
        <v>0.92311210380678499</v>
      </c>
      <c r="Z44" s="303">
        <v>49005</v>
      </c>
      <c r="AA44" s="302">
        <v>0.829494910940209</v>
      </c>
    </row>
    <row r="45" spans="4:27" x14ac:dyDescent="0.2">
      <c r="D45" s="11" t="e">
        <v>#NUM!</v>
      </c>
      <c r="E45" s="28" t="e">
        <f>_xll.qlYieldTSDiscount(C$4,D45,,Triggers!RTDataTrigger)</f>
        <v>#NUM!</v>
      </c>
      <c r="F45" s="37"/>
      <c r="G45" s="26"/>
      <c r="H45" s="42" t="e">
        <f t="shared" si="2"/>
        <v>#NUM!</v>
      </c>
      <c r="I45" s="43" t="e">
        <f t="shared" si="0"/>
        <v>#NUM!</v>
      </c>
      <c r="J45" s="58"/>
      <c r="M45" s="11" t="e">
        <v>#NUM!</v>
      </c>
      <c r="N45" s="28" t="e">
        <f>_xll.qlYieldTSDiscount(L$4,M45,,Triggers!RTDataTrigger)</f>
        <v>#NUM!</v>
      </c>
      <c r="O45" s="37"/>
      <c r="P45" s="26"/>
      <c r="Q45" s="42" t="e">
        <f t="shared" si="3"/>
        <v>#NUM!</v>
      </c>
      <c r="R45" s="43" t="e">
        <f t="shared" si="1"/>
        <v>#NUM!</v>
      </c>
      <c r="W45" s="303">
        <v>47546</v>
      </c>
      <c r="X45" s="302">
        <v>0.906454049788049</v>
      </c>
      <c r="Z45" s="303">
        <v>49370</v>
      </c>
      <c r="AA45" s="302">
        <v>0.81479118338602197</v>
      </c>
    </row>
    <row r="46" spans="4:27" x14ac:dyDescent="0.2">
      <c r="D46" s="11" t="e">
        <v>#NUM!</v>
      </c>
      <c r="E46" s="12" t="e">
        <f>_xll.qlYieldTSDiscount(C$4,D46,,Triggers!RTDataTrigger)</f>
        <v>#NUM!</v>
      </c>
      <c r="F46" s="37"/>
      <c r="G46" s="26"/>
      <c r="H46" s="42" t="e">
        <f t="shared" si="2"/>
        <v>#NUM!</v>
      </c>
      <c r="I46" s="43" t="e">
        <f t="shared" si="0"/>
        <v>#NUM!</v>
      </c>
      <c r="J46" s="58"/>
      <c r="M46" s="11" t="e">
        <v>#NUM!</v>
      </c>
      <c r="N46" s="12" t="e">
        <f>_xll.qlYieldTSDiscount(L$4,M46,,Triggers!RTDataTrigger)</f>
        <v>#NUM!</v>
      </c>
      <c r="O46" s="37"/>
      <c r="P46" s="26"/>
      <c r="Q46" s="42" t="e">
        <f t="shared" si="3"/>
        <v>#NUM!</v>
      </c>
      <c r="R46" s="43" t="e">
        <f t="shared" si="1"/>
        <v>#NUM!</v>
      </c>
      <c r="W46" s="303">
        <v>47910</v>
      </c>
      <c r="X46" s="302">
        <v>0.89002321259471096</v>
      </c>
      <c r="Z46" s="303">
        <v>49737</v>
      </c>
      <c r="AA46" s="302">
        <v>0.80065923426701102</v>
      </c>
    </row>
    <row r="47" spans="4:27" x14ac:dyDescent="0.2">
      <c r="D47" s="11" t="e">
        <v>#NUM!</v>
      </c>
      <c r="E47" s="12" t="e">
        <f>_xll.qlYieldTSDiscount(C$4,D47,,Triggers!RTDataTrigger)</f>
        <v>#NUM!</v>
      </c>
      <c r="F47" s="37"/>
      <c r="G47" s="26"/>
      <c r="H47" s="42" t="e">
        <f t="shared" si="2"/>
        <v>#NUM!</v>
      </c>
      <c r="I47" s="43" t="e">
        <f t="shared" si="0"/>
        <v>#NUM!</v>
      </c>
      <c r="J47" s="58"/>
      <c r="M47" s="11" t="e">
        <v>#NUM!</v>
      </c>
      <c r="N47" s="12" t="e">
        <f>_xll.qlYieldTSDiscount(L$4,M47,,Triggers!RTDataTrigger)</f>
        <v>#NUM!</v>
      </c>
      <c r="O47" s="37"/>
      <c r="P47" s="26"/>
      <c r="Q47" s="42" t="e">
        <f t="shared" si="3"/>
        <v>#NUM!</v>
      </c>
      <c r="R47" s="43" t="e">
        <f t="shared" si="1"/>
        <v>#NUM!</v>
      </c>
      <c r="W47" s="303">
        <v>48275</v>
      </c>
      <c r="X47" s="302">
        <v>0.87383795572561396</v>
      </c>
      <c r="Z47" s="303">
        <v>50101</v>
      </c>
      <c r="AA47" s="302">
        <v>0.78724942502383999</v>
      </c>
    </row>
    <row r="48" spans="4:27" x14ac:dyDescent="0.2">
      <c r="D48" s="11" t="e">
        <v>#NUM!</v>
      </c>
      <c r="E48" s="12" t="e">
        <f>_xll.qlYieldTSDiscount(C$4,D48,,Triggers!RTDataTrigger)</f>
        <v>#NUM!</v>
      </c>
      <c r="F48" s="37"/>
      <c r="G48" s="26"/>
      <c r="H48" s="42" t="e">
        <f t="shared" si="2"/>
        <v>#NUM!</v>
      </c>
      <c r="I48" s="43" t="e">
        <f t="shared" si="0"/>
        <v>#NUM!</v>
      </c>
      <c r="J48" s="58"/>
      <c r="M48" s="11" t="e">
        <v>#NUM!</v>
      </c>
      <c r="N48" s="12" t="e">
        <f>_xll.qlYieldTSDiscount(L$4,M48,,Triggers!RTDataTrigger)</f>
        <v>#NUM!</v>
      </c>
      <c r="O48" s="37"/>
      <c r="P48" s="26"/>
      <c r="Q48" s="42" t="e">
        <f t="shared" si="3"/>
        <v>#NUM!</v>
      </c>
      <c r="R48" s="43" t="e">
        <f t="shared" si="1"/>
        <v>#NUM!</v>
      </c>
      <c r="W48" s="303">
        <v>48640</v>
      </c>
      <c r="X48" s="302">
        <v>0.85809930385690103</v>
      </c>
      <c r="Z48" s="303">
        <v>50466</v>
      </c>
      <c r="AA48" s="302">
        <v>0.77435351355160897</v>
      </c>
    </row>
    <row r="49" spans="4:27" x14ac:dyDescent="0.2">
      <c r="D49" s="11" t="e">
        <v>#NUM!</v>
      </c>
      <c r="E49" s="12" t="e">
        <f>_xll.qlYieldTSDiscount(C$4,D49,,Triggers!RTDataTrigger)</f>
        <v>#NUM!</v>
      </c>
      <c r="F49" s="37"/>
      <c r="G49" s="26"/>
      <c r="H49" s="42" t="e">
        <f t="shared" si="2"/>
        <v>#NUM!</v>
      </c>
      <c r="I49" s="43" t="e">
        <f t="shared" si="0"/>
        <v>#NUM!</v>
      </c>
      <c r="J49" s="58"/>
      <c r="M49" s="11" t="e">
        <v>#NUM!</v>
      </c>
      <c r="N49" s="12" t="e">
        <f>_xll.qlYieldTSDiscount(L$4,M49,,Triggers!RTDataTrigger)</f>
        <v>#NUM!</v>
      </c>
      <c r="O49" s="37"/>
      <c r="P49" s="26"/>
      <c r="Q49" s="42" t="e">
        <f t="shared" si="3"/>
        <v>#NUM!</v>
      </c>
      <c r="R49" s="43" t="e">
        <f t="shared" si="1"/>
        <v>#NUM!</v>
      </c>
      <c r="W49" s="303">
        <v>49005</v>
      </c>
      <c r="X49" s="302">
        <v>0.842906366322411</v>
      </c>
      <c r="Z49" s="303">
        <v>50831</v>
      </c>
      <c r="AA49" s="302">
        <v>0.76198643710768899</v>
      </c>
    </row>
    <row r="50" spans="4:27" x14ac:dyDescent="0.2">
      <c r="D50" s="11" t="e">
        <v>#NUM!</v>
      </c>
      <c r="E50" s="12" t="e">
        <f>_xll.qlYieldTSDiscount(C$4,D50,,Triggers!RTDataTrigger)</f>
        <v>#NUM!</v>
      </c>
      <c r="F50" s="37"/>
      <c r="G50" s="26"/>
      <c r="H50" s="42" t="e">
        <f t="shared" si="2"/>
        <v>#NUM!</v>
      </c>
      <c r="I50" s="43" t="e">
        <f t="shared" si="0"/>
        <v>#NUM!</v>
      </c>
      <c r="J50" s="58"/>
      <c r="M50" s="11" t="e">
        <v>#NUM!</v>
      </c>
      <c r="N50" s="12" t="e">
        <f>_xll.qlYieldTSDiscount(L$4,M50,,Triggers!RTDataTrigger)</f>
        <v>#NUM!</v>
      </c>
      <c r="O50" s="37"/>
      <c r="P50" s="26"/>
      <c r="Q50" s="42" t="e">
        <f t="shared" si="3"/>
        <v>#NUM!</v>
      </c>
      <c r="R50" s="43" t="e">
        <f t="shared" si="1"/>
        <v>#NUM!</v>
      </c>
      <c r="W50" s="303">
        <v>49370</v>
      </c>
      <c r="X50" s="302">
        <v>0.82830612094183098</v>
      </c>
      <c r="Z50" s="303">
        <v>51197</v>
      </c>
      <c r="AA50" s="302">
        <v>0.75009308348671899</v>
      </c>
    </row>
    <row r="51" spans="4:27" x14ac:dyDescent="0.2">
      <c r="D51" s="11" t="e">
        <v>#NUM!</v>
      </c>
      <c r="E51" s="12" t="e">
        <f>_xll.qlYieldTSDiscount(C$4,D51,,Triggers!RTDataTrigger)</f>
        <v>#NUM!</v>
      </c>
      <c r="F51" s="37"/>
      <c r="G51" s="26"/>
      <c r="H51" s="42" t="e">
        <f t="shared" si="2"/>
        <v>#NUM!</v>
      </c>
      <c r="I51" s="43" t="e">
        <f t="shared" si="0"/>
        <v>#NUM!</v>
      </c>
      <c r="J51" s="58"/>
      <c r="M51" s="11" t="e">
        <v>#NUM!</v>
      </c>
      <c r="N51" s="12" t="e">
        <f>_xll.qlYieldTSDiscount(L$4,M51,,Triggers!RTDataTrigger)</f>
        <v>#NUM!</v>
      </c>
      <c r="O51" s="37"/>
      <c r="P51" s="26"/>
      <c r="Q51" s="42" t="e">
        <f t="shared" si="3"/>
        <v>#NUM!</v>
      </c>
      <c r="R51" s="43" t="e">
        <f t="shared" si="1"/>
        <v>#NUM!</v>
      </c>
      <c r="W51" s="303">
        <v>49737</v>
      </c>
      <c r="X51" s="302">
        <v>0.814238322783149</v>
      </c>
      <c r="Z51" s="303">
        <v>51564</v>
      </c>
      <c r="AA51" s="302">
        <v>0.73862957963762099</v>
      </c>
    </row>
    <row r="52" spans="4:27" x14ac:dyDescent="0.2">
      <c r="D52" s="11" t="e">
        <v>#NUM!</v>
      </c>
      <c r="E52" s="12" t="e">
        <f>_xll.qlYieldTSDiscount(C$4,D52,,Triggers!RTDataTrigger)</f>
        <v>#NUM!</v>
      </c>
      <c r="F52" s="37"/>
      <c r="G52" s="26"/>
      <c r="H52" s="42" t="e">
        <f t="shared" si="2"/>
        <v>#NUM!</v>
      </c>
      <c r="I52" s="43" t="e">
        <f t="shared" si="0"/>
        <v>#NUM!</v>
      </c>
      <c r="J52" s="58"/>
      <c r="M52" s="11" t="e">
        <v>#NUM!</v>
      </c>
      <c r="N52" s="12" t="e">
        <f>_xll.qlYieldTSDiscount(L$4,M52,,Triggers!RTDataTrigger)</f>
        <v>#NUM!</v>
      </c>
      <c r="O52" s="37"/>
      <c r="P52" s="26"/>
      <c r="Q52" s="42" t="e">
        <f t="shared" si="3"/>
        <v>#NUM!</v>
      </c>
      <c r="R52" s="43" t="e">
        <f t="shared" si="1"/>
        <v>#NUM!</v>
      </c>
      <c r="W52" s="303">
        <v>50101</v>
      </c>
      <c r="X52" s="302">
        <v>0.80088025377419603</v>
      </c>
      <c r="Z52" s="303">
        <v>51928</v>
      </c>
      <c r="AA52" s="302">
        <v>0.727669854535547</v>
      </c>
    </row>
    <row r="53" spans="4:27" x14ac:dyDescent="0.2">
      <c r="D53" s="11" t="e">
        <v>#NUM!</v>
      </c>
      <c r="E53" s="12" t="e">
        <f>_xll.qlYieldTSDiscount(C$4,D53,,Triggers!RTDataTrigger)</f>
        <v>#NUM!</v>
      </c>
      <c r="F53" s="37"/>
      <c r="G53" s="26"/>
      <c r="H53" s="42" t="e">
        <f t="shared" si="2"/>
        <v>#NUM!</v>
      </c>
      <c r="I53" s="43" t="e">
        <f t="shared" si="0"/>
        <v>#NUM!</v>
      </c>
      <c r="J53" s="58"/>
      <c r="M53" s="11" t="e">
        <v>#NUM!</v>
      </c>
      <c r="N53" s="12" t="e">
        <f>_xll.qlYieldTSDiscount(L$4,M53,,Triggers!RTDataTrigger)</f>
        <v>#NUM!</v>
      </c>
      <c r="O53" s="37"/>
      <c r="P53" s="26"/>
      <c r="Q53" s="42" t="e">
        <f t="shared" si="3"/>
        <v>#NUM!</v>
      </c>
      <c r="R53" s="43" t="e">
        <f t="shared" si="1"/>
        <v>#NUM!</v>
      </c>
      <c r="W53" s="303">
        <v>50466</v>
      </c>
      <c r="X53" s="302">
        <v>0.78803795195161097</v>
      </c>
      <c r="Z53" s="303">
        <v>52292</v>
      </c>
      <c r="AA53" s="302">
        <v>0.71705435698929698</v>
      </c>
    </row>
    <row r="54" spans="4:27" x14ac:dyDescent="0.2">
      <c r="D54" s="11" t="e">
        <v>#NUM!</v>
      </c>
      <c r="E54" s="12" t="e">
        <f>_xll.qlYieldTSDiscount(C$4,D54,,Triggers!RTDataTrigger)</f>
        <v>#NUM!</v>
      </c>
      <c r="F54" s="37"/>
      <c r="G54" s="26"/>
      <c r="H54" s="42" t="e">
        <f t="shared" si="2"/>
        <v>#NUM!</v>
      </c>
      <c r="I54" s="43" t="e">
        <f t="shared" si="0"/>
        <v>#NUM!</v>
      </c>
      <c r="J54" s="58"/>
      <c r="M54" s="11" t="e">
        <v>#NUM!</v>
      </c>
      <c r="N54" s="12" t="e">
        <f>_xll.qlYieldTSDiscount(L$4,M54,,Triggers!RTDataTrigger)</f>
        <v>#NUM!</v>
      </c>
      <c r="O54" s="37"/>
      <c r="P54" s="26"/>
      <c r="Q54" s="42" t="e">
        <f t="shared" si="3"/>
        <v>#NUM!</v>
      </c>
      <c r="R54" s="43" t="e">
        <f t="shared" si="1"/>
        <v>#NUM!</v>
      </c>
      <c r="W54" s="303">
        <v>50831</v>
      </c>
      <c r="X54" s="302">
        <v>0.77572972498205806</v>
      </c>
      <c r="Z54" s="303">
        <v>52658</v>
      </c>
      <c r="AA54" s="302">
        <v>0.70670390568118602</v>
      </c>
    </row>
    <row r="55" spans="4:27" x14ac:dyDescent="0.2">
      <c r="D55" s="11" t="e">
        <v>#NUM!</v>
      </c>
      <c r="E55" s="12" t="e">
        <f>_xll.qlYieldTSDiscount(C$4,D55,,Triggers!RTDataTrigger)</f>
        <v>#NUM!</v>
      </c>
      <c r="F55" s="37"/>
      <c r="G55" s="26"/>
      <c r="H55" s="42" t="e">
        <f t="shared" si="2"/>
        <v>#NUM!</v>
      </c>
      <c r="I55" s="43" t="e">
        <f t="shared" si="0"/>
        <v>#NUM!</v>
      </c>
      <c r="J55" s="58"/>
      <c r="M55" s="11" t="e">
        <v>#NUM!</v>
      </c>
      <c r="N55" s="12" t="e">
        <f>_xll.qlYieldTSDiscount(L$4,M55,,Triggers!RTDataTrigger)</f>
        <v>#NUM!</v>
      </c>
      <c r="O55" s="37"/>
      <c r="P55" s="26"/>
      <c r="Q55" s="42" t="e">
        <f t="shared" si="3"/>
        <v>#NUM!</v>
      </c>
      <c r="R55" s="43" t="e">
        <f t="shared" si="1"/>
        <v>#NUM!</v>
      </c>
      <c r="W55" s="303">
        <v>51197</v>
      </c>
      <c r="X55" s="302">
        <v>0.76389115506871397</v>
      </c>
      <c r="Z55" s="303">
        <v>53023</v>
      </c>
      <c r="AA55" s="302">
        <v>0.69668014084955798</v>
      </c>
    </row>
    <row r="56" spans="4:27" x14ac:dyDescent="0.2">
      <c r="D56" s="11" t="e">
        <v>#NUM!</v>
      </c>
      <c r="E56" s="12" t="e">
        <f>_xll.qlYieldTSDiscount(C$4,D56,,Triggers!RTDataTrigger)</f>
        <v>#NUM!</v>
      </c>
      <c r="F56" s="37"/>
      <c r="G56" s="26"/>
      <c r="H56" s="42" t="e">
        <f t="shared" si="2"/>
        <v>#NUM!</v>
      </c>
      <c r="I56" s="43" t="e">
        <f t="shared" si="0"/>
        <v>#NUM!</v>
      </c>
      <c r="J56" s="58"/>
      <c r="M56" s="11" t="e">
        <v>#NUM!</v>
      </c>
      <c r="N56" s="12" t="e">
        <f>_xll.qlYieldTSDiscount(L$4,M56,,Triggers!RTDataTrigger)</f>
        <v>#NUM!</v>
      </c>
      <c r="O56" s="37"/>
      <c r="P56" s="26"/>
      <c r="Q56" s="42" t="e">
        <f t="shared" si="3"/>
        <v>#NUM!</v>
      </c>
      <c r="R56" s="43" t="e">
        <f t="shared" si="1"/>
        <v>#NUM!</v>
      </c>
      <c r="W56" s="303">
        <v>51564</v>
      </c>
      <c r="X56" s="302">
        <v>0.75247779718058905</v>
      </c>
      <c r="Z56" s="303">
        <v>53388</v>
      </c>
      <c r="AA56" s="302">
        <v>0.68692258425674502</v>
      </c>
    </row>
    <row r="57" spans="4:27" x14ac:dyDescent="0.2">
      <c r="D57" s="11" t="e">
        <v>#NUM!</v>
      </c>
      <c r="E57" s="12" t="e">
        <f>_xll.qlYieldTSDiscount(C$4,D57,,Triggers!RTDataTrigger)</f>
        <v>#NUM!</v>
      </c>
      <c r="F57" s="37"/>
      <c r="G57" s="26"/>
      <c r="H57" s="42" t="e">
        <f t="shared" si="2"/>
        <v>#NUM!</v>
      </c>
      <c r="I57" s="43" t="e">
        <f t="shared" si="0"/>
        <v>#NUM!</v>
      </c>
      <c r="J57" s="58"/>
      <c r="M57" s="11" t="e">
        <v>#NUM!</v>
      </c>
      <c r="N57" s="12" t="e">
        <f>_xll.qlYieldTSDiscount(L$4,M57,,Triggers!RTDataTrigger)</f>
        <v>#NUM!</v>
      </c>
      <c r="O57" s="37"/>
      <c r="P57" s="26"/>
      <c r="Q57" s="42" t="e">
        <f t="shared" si="3"/>
        <v>#NUM!</v>
      </c>
      <c r="R57" s="43" t="e">
        <f t="shared" si="1"/>
        <v>#NUM!</v>
      </c>
      <c r="W57" s="303">
        <v>51928</v>
      </c>
      <c r="X57" s="302">
        <v>0.74154956888675005</v>
      </c>
      <c r="Z57" s="303">
        <v>53755</v>
      </c>
      <c r="AA57" s="302">
        <v>0.67735240845761302</v>
      </c>
    </row>
    <row r="58" spans="4:27" x14ac:dyDescent="0.2">
      <c r="D58" s="11" t="e">
        <v>#NUM!</v>
      </c>
      <c r="E58" s="12" t="e">
        <f>_xll.qlYieldTSDiscount(C$4,D58,,Triggers!RTDataTrigger)</f>
        <v>#NUM!</v>
      </c>
      <c r="F58" s="37"/>
      <c r="G58" s="26"/>
      <c r="H58" s="42" t="e">
        <f t="shared" si="2"/>
        <v>#NUM!</v>
      </c>
      <c r="I58" s="43" t="e">
        <f t="shared" si="0"/>
        <v>#NUM!</v>
      </c>
      <c r="J58" s="58"/>
      <c r="M58" s="11" t="e">
        <v>#NUM!</v>
      </c>
      <c r="N58" s="12" t="e">
        <f>_xll.qlYieldTSDiscount(L$4,M58,,Triggers!RTDataTrigger)</f>
        <v>#NUM!</v>
      </c>
      <c r="O58" s="37"/>
      <c r="P58" s="26"/>
      <c r="Q58" s="42" t="e">
        <f t="shared" si="3"/>
        <v>#NUM!</v>
      </c>
      <c r="R58" s="43" t="e">
        <f t="shared" si="1"/>
        <v>#NUM!</v>
      </c>
      <c r="W58" s="303">
        <v>52292</v>
      </c>
      <c r="X58" s="302">
        <v>0.73094168422420402</v>
      </c>
      <c r="Z58" s="303">
        <v>54119</v>
      </c>
      <c r="AA58" s="302">
        <v>0.66806307496181405</v>
      </c>
    </row>
    <row r="59" spans="4:27" x14ac:dyDescent="0.2">
      <c r="D59" s="11" t="e">
        <v>#NUM!</v>
      </c>
      <c r="E59" s="12" t="e">
        <f>_xll.qlYieldTSDiscount(C$4,D59,,Triggers!RTDataTrigger)</f>
        <v>#NUM!</v>
      </c>
      <c r="F59" s="37"/>
      <c r="G59" s="26"/>
      <c r="H59" s="42" t="e">
        <f t="shared" si="2"/>
        <v>#NUM!</v>
      </c>
      <c r="I59" s="43" t="e">
        <f t="shared" si="0"/>
        <v>#NUM!</v>
      </c>
      <c r="J59" s="58"/>
      <c r="M59" s="11" t="e">
        <v>#NUM!</v>
      </c>
      <c r="N59" s="12" t="e">
        <f>_xll.qlYieldTSDiscount(L$4,M59,,Triggers!RTDataTrigger)</f>
        <v>#NUM!</v>
      </c>
      <c r="O59" s="37"/>
      <c r="P59" s="26"/>
      <c r="Q59" s="42" t="e">
        <f t="shared" si="3"/>
        <v>#NUM!</v>
      </c>
      <c r="R59" s="43" t="e">
        <f t="shared" si="1"/>
        <v>#NUM!</v>
      </c>
      <c r="W59" s="303">
        <v>52658</v>
      </c>
      <c r="X59" s="302">
        <v>0.72057690246597605</v>
      </c>
      <c r="Z59" s="303">
        <v>54484</v>
      </c>
      <c r="AA59" s="302">
        <v>0.65896227109660599</v>
      </c>
    </row>
    <row r="60" spans="4:27" x14ac:dyDescent="0.2">
      <c r="D60" s="11" t="e">
        <v>#NUM!</v>
      </c>
      <c r="E60" s="12" t="e">
        <f>_xll.qlYieldTSDiscount(C$4,D60,,Triggers!RTDataTrigger)</f>
        <v>#NUM!</v>
      </c>
      <c r="F60" s="37"/>
      <c r="G60" s="26"/>
      <c r="H60" s="42" t="e">
        <f t="shared" si="2"/>
        <v>#NUM!</v>
      </c>
      <c r="I60" s="43" t="e">
        <f t="shared" si="0"/>
        <v>#NUM!</v>
      </c>
      <c r="J60" s="58"/>
      <c r="M60" s="11" t="e">
        <v>#NUM!</v>
      </c>
      <c r="N60" s="12" t="e">
        <f>_xll.qlYieldTSDiscount(L$4,M60,,Triggers!RTDataTrigger)</f>
        <v>#NUM!</v>
      </c>
      <c r="O60" s="37"/>
      <c r="P60" s="26"/>
      <c r="Q60" s="42" t="e">
        <f t="shared" si="3"/>
        <v>#NUM!</v>
      </c>
      <c r="R60" s="43" t="e">
        <f t="shared" si="1"/>
        <v>#NUM!</v>
      </c>
      <c r="W60" s="303">
        <v>53023</v>
      </c>
      <c r="X60" s="302">
        <v>0.71052356014571605</v>
      </c>
      <c r="Z60" s="303">
        <v>54849</v>
      </c>
      <c r="AA60" s="302">
        <v>0.65008991354995005</v>
      </c>
    </row>
    <row r="61" spans="4:27" x14ac:dyDescent="0.2">
      <c r="D61" s="11" t="e">
        <v>#NUM!</v>
      </c>
      <c r="E61" s="12" t="e">
        <f>_xll.qlYieldTSDiscount(C$4,D61,,Triggers!RTDataTrigger)</f>
        <v>#NUM!</v>
      </c>
      <c r="F61" s="37"/>
      <c r="G61" s="26"/>
      <c r="H61" s="42" t="e">
        <f t="shared" si="2"/>
        <v>#NUM!</v>
      </c>
      <c r="I61" s="43" t="e">
        <f t="shared" si="0"/>
        <v>#NUM!</v>
      </c>
      <c r="J61" s="58"/>
      <c r="M61" s="11" t="e">
        <v>#NUM!</v>
      </c>
      <c r="N61" s="12" t="e">
        <f>_xll.qlYieldTSDiscount(L$4,M61,,Triggers!RTDataTrigger)</f>
        <v>#NUM!</v>
      </c>
      <c r="O61" s="37"/>
      <c r="P61" s="26"/>
      <c r="Q61" s="42" t="e">
        <f t="shared" si="3"/>
        <v>#NUM!</v>
      </c>
      <c r="R61" s="43" t="e">
        <f t="shared" si="1"/>
        <v>#NUM!</v>
      </c>
      <c r="W61" s="303">
        <v>53388</v>
      </c>
      <c r="X61" s="302">
        <v>0.70072898748811496</v>
      </c>
      <c r="Z61" s="303">
        <v>55214</v>
      </c>
      <c r="AA61" s="302">
        <v>0.64146238322282001</v>
      </c>
    </row>
    <row r="62" spans="4:27" x14ac:dyDescent="0.2">
      <c r="D62" s="11" t="e">
        <v>#NUM!</v>
      </c>
      <c r="E62" s="12" t="e">
        <f>_xll.qlYieldTSDiscount(C$4,D62,,Triggers!RTDataTrigger)</f>
        <v>#NUM!</v>
      </c>
      <c r="F62" s="37"/>
      <c r="G62" s="26"/>
      <c r="H62" s="42" t="e">
        <f t="shared" si="2"/>
        <v>#NUM!</v>
      </c>
      <c r="I62" s="43" t="e">
        <f t="shared" si="0"/>
        <v>#NUM!</v>
      </c>
      <c r="J62" s="58"/>
      <c r="M62" s="11" t="e">
        <v>#NUM!</v>
      </c>
      <c r="N62" s="12" t="e">
        <f>_xll.qlYieldTSDiscount(L$4,M62,,Triggers!RTDataTrigger)</f>
        <v>#NUM!</v>
      </c>
      <c r="O62" s="37"/>
      <c r="P62" s="26"/>
      <c r="Q62" s="42" t="e">
        <f t="shared" si="3"/>
        <v>#NUM!</v>
      </c>
      <c r="R62" s="43" t="e">
        <f t="shared" si="1"/>
        <v>#NUM!</v>
      </c>
      <c r="W62" s="303">
        <v>53755</v>
      </c>
      <c r="X62" s="302">
        <v>0.69111277055345799</v>
      </c>
      <c r="Z62" s="303">
        <v>55582</v>
      </c>
      <c r="AA62" s="302">
        <v>0.63302928417719095</v>
      </c>
    </row>
    <row r="63" spans="4:27" x14ac:dyDescent="0.2">
      <c r="D63" s="11" t="e">
        <v>#NUM!</v>
      </c>
      <c r="E63" s="12" t="e">
        <f>_xll.qlYieldTSDiscount(C$4,D63,,Triggers!RTDataTrigger)</f>
        <v>#NUM!</v>
      </c>
      <c r="F63" s="37"/>
      <c r="G63" s="26"/>
      <c r="H63" s="42" t="e">
        <f t="shared" si="2"/>
        <v>#NUM!</v>
      </c>
      <c r="I63" s="43" t="e">
        <f t="shared" si="0"/>
        <v>#NUM!</v>
      </c>
      <c r="J63" s="58"/>
      <c r="M63" s="11" t="e">
        <v>#NUM!</v>
      </c>
      <c r="N63" s="12" t="e">
        <f>_xll.qlYieldTSDiscount(L$4,M63,,Triggers!RTDataTrigger)</f>
        <v>#NUM!</v>
      </c>
      <c r="O63" s="37"/>
      <c r="P63" s="26"/>
      <c r="Q63" s="42" t="e">
        <f t="shared" si="3"/>
        <v>#NUM!</v>
      </c>
      <c r="R63" s="43" t="e">
        <f t="shared" si="1"/>
        <v>#NUM!</v>
      </c>
      <c r="W63" s="303">
        <v>55582</v>
      </c>
      <c r="X63" s="302">
        <v>0.64659071796295198</v>
      </c>
      <c r="Z63" s="303">
        <v>55946</v>
      </c>
      <c r="AA63" s="302">
        <v>0.62496735712385698</v>
      </c>
    </row>
    <row r="64" spans="4:27" x14ac:dyDescent="0.2">
      <c r="D64" s="11" t="e">
        <v>#NUM!</v>
      </c>
      <c r="E64" s="12" t="e">
        <f>_xll.qlYieldTSDiscount(C$4,D64,,Triggers!RTDataTrigger)</f>
        <v>#NUM!</v>
      </c>
      <c r="F64" s="37"/>
      <c r="G64" s="26"/>
      <c r="H64" s="42" t="e">
        <f t="shared" si="2"/>
        <v>#NUM!</v>
      </c>
      <c r="I64" s="43" t="e">
        <f t="shared" si="0"/>
        <v>#NUM!</v>
      </c>
      <c r="J64" s="58"/>
      <c r="M64" s="11" t="e">
        <v>#NUM!</v>
      </c>
      <c r="N64" s="12" t="e">
        <f>_xll.qlYieldTSDiscount(L$4,M64,,Triggers!RTDataTrigger)</f>
        <v>#NUM!</v>
      </c>
      <c r="O64" s="37"/>
      <c r="P64" s="26"/>
      <c r="Q64" s="42" t="e">
        <f t="shared" si="3"/>
        <v>#NUM!</v>
      </c>
      <c r="R64" s="43" t="e">
        <f t="shared" si="1"/>
        <v>#NUM!</v>
      </c>
      <c r="W64" s="303">
        <v>57406</v>
      </c>
      <c r="X64" s="302">
        <v>0.60905937940716903</v>
      </c>
      <c r="Z64" s="303">
        <v>56310</v>
      </c>
      <c r="AA64" s="302">
        <v>0.61719922782897196</v>
      </c>
    </row>
    <row r="65" spans="4:27" x14ac:dyDescent="0.2">
      <c r="D65" s="11" t="e">
        <v>#NUM!</v>
      </c>
      <c r="E65" s="12" t="e">
        <f>_xll.qlYieldTSDiscount(C$4,D65,,Triggers!RTDataTrigger)</f>
        <v>#NUM!</v>
      </c>
      <c r="F65" s="37"/>
      <c r="G65" s="26"/>
      <c r="H65" s="42" t="e">
        <f t="shared" si="2"/>
        <v>#NUM!</v>
      </c>
      <c r="I65" s="43" t="e">
        <f t="shared" si="0"/>
        <v>#NUM!</v>
      </c>
      <c r="J65" s="58"/>
      <c r="M65" s="11" t="e">
        <v>#NUM!</v>
      </c>
      <c r="N65" s="12" t="e">
        <f>_xll.qlYieldTSDiscount(L$4,M65,,Triggers!RTDataTrigger)</f>
        <v>#NUM!</v>
      </c>
      <c r="O65" s="37"/>
      <c r="P65" s="26"/>
      <c r="Q65" s="42" t="e">
        <f t="shared" si="3"/>
        <v>#NUM!</v>
      </c>
      <c r="R65" s="43" t="e">
        <f t="shared" si="1"/>
        <v>#NUM!</v>
      </c>
      <c r="W65" s="303">
        <v>61058</v>
      </c>
      <c r="X65" s="302">
        <v>0.55421324425905105</v>
      </c>
      <c r="Z65" s="303">
        <v>56675</v>
      </c>
      <c r="AA65" s="302">
        <v>0.60972122210874602</v>
      </c>
    </row>
    <row r="66" spans="4:27" x14ac:dyDescent="0.2">
      <c r="D66" s="11" t="e">
        <v>#NUM!</v>
      </c>
      <c r="E66" s="12" t="e">
        <f>_xll.qlYieldTSDiscount(C$4,D66,,Triggers!RTDataTrigger)</f>
        <v>#NUM!</v>
      </c>
      <c r="F66" s="37"/>
      <c r="G66" s="26"/>
      <c r="H66" s="42" t="e">
        <f t="shared" si="2"/>
        <v>#NUM!</v>
      </c>
      <c r="I66" s="43" t="e">
        <f t="shared" si="0"/>
        <v>#NUM!</v>
      </c>
      <c r="J66" s="58"/>
      <c r="M66" s="11" t="e">
        <v>#NUM!</v>
      </c>
      <c r="N66" s="12" t="e">
        <f>_xll.qlYieldTSDiscount(L$4,M66,,Triggers!RTDataTrigger)</f>
        <v>#NUM!</v>
      </c>
      <c r="O66" s="37"/>
      <c r="P66" s="26"/>
      <c r="Q66" s="42" t="e">
        <f t="shared" si="3"/>
        <v>#NUM!</v>
      </c>
      <c r="R66" s="43" t="e">
        <f t="shared" si="1"/>
        <v>#NUM!</v>
      </c>
      <c r="W66" s="303">
        <v>64711</v>
      </c>
      <c r="X66" s="302">
        <v>0.50426607387283495</v>
      </c>
      <c r="Z66" s="303">
        <v>57041</v>
      </c>
      <c r="AA66" s="302">
        <v>0.60255764984924398</v>
      </c>
    </row>
    <row r="67" spans="4:27" x14ac:dyDescent="0.2">
      <c r="D67" s="11" t="e">
        <v>#NUM!</v>
      </c>
      <c r="E67" s="12" t="e">
        <f>_xll.qlYieldTSDiscount(C$4,D67,,Triggers!RTDataTrigger)</f>
        <v>#NUM!</v>
      </c>
      <c r="F67" s="37"/>
      <c r="G67" s="26"/>
      <c r="H67" s="42" t="e">
        <f t="shared" si="2"/>
        <v>#NUM!</v>
      </c>
      <c r="I67" s="43" t="e">
        <f t="shared" si="0"/>
        <v>#NUM!</v>
      </c>
      <c r="J67" s="58"/>
      <c r="M67" s="11" t="e">
        <v>#NUM!</v>
      </c>
      <c r="N67" s="12" t="e">
        <f>_xll.qlYieldTSDiscount(L$4,M67,,Triggers!RTDataTrigger)</f>
        <v>#NUM!</v>
      </c>
      <c r="O67" s="37"/>
      <c r="P67" s="26"/>
      <c r="Q67" s="42" t="e">
        <f t="shared" si="3"/>
        <v>#NUM!</v>
      </c>
      <c r="R67" s="43" t="e">
        <f t="shared" si="1"/>
        <v>#NUM!</v>
      </c>
      <c r="W67" s="303" t="e">
        <v>#N/A</v>
      </c>
      <c r="X67" s="302" t="e">
        <v>#NUM!</v>
      </c>
      <c r="Z67" s="303">
        <v>57406</v>
      </c>
      <c r="AA67" s="302">
        <v>0.59576320155846896</v>
      </c>
    </row>
    <row r="68" spans="4:27" x14ac:dyDescent="0.2">
      <c r="D68" s="11" t="e">
        <v>#NUM!</v>
      </c>
      <c r="E68" s="12" t="e">
        <f>_xll.qlYieldTSDiscount(C$4,D68,,Triggers!RTDataTrigger)</f>
        <v>#NUM!</v>
      </c>
      <c r="F68" s="37"/>
      <c r="G68" s="26"/>
      <c r="H68" s="42" t="e">
        <f t="shared" si="2"/>
        <v>#NUM!</v>
      </c>
      <c r="I68" s="43" t="e">
        <f t="shared" si="2"/>
        <v>#NUM!</v>
      </c>
      <c r="J68" s="58"/>
      <c r="M68" s="11" t="e">
        <v>#NUM!</v>
      </c>
      <c r="N68" s="12" t="e">
        <f>_xll.qlYieldTSDiscount(L$4,M68,,Triggers!RTDataTrigger)</f>
        <v>#NUM!</v>
      </c>
      <c r="O68" s="37"/>
      <c r="P68" s="26"/>
      <c r="Q68" s="42" t="e">
        <f t="shared" si="3"/>
        <v>#NUM!</v>
      </c>
      <c r="R68" s="43" t="e">
        <f t="shared" si="3"/>
        <v>#NUM!</v>
      </c>
      <c r="W68" s="303" t="e">
        <v>#N/A</v>
      </c>
      <c r="X68" s="302" t="e">
        <v>#NUM!</v>
      </c>
      <c r="Z68" s="303">
        <v>61058</v>
      </c>
      <c r="AA68" s="302">
        <v>0.54175600911636501</v>
      </c>
    </row>
    <row r="69" spans="4:27" x14ac:dyDescent="0.2">
      <c r="D69" s="11" t="e">
        <v>#NUM!</v>
      </c>
      <c r="E69" s="12" t="e">
        <f>_xll.qlYieldTSDiscount(C$4,D69,,Triggers!RTDataTrigger)</f>
        <v>#NUM!</v>
      </c>
      <c r="F69" s="37"/>
      <c r="G69" s="26"/>
      <c r="H69" s="42" t="e">
        <f t="shared" ref="H69:I93" si="4">IF(ISBLANK(F69),D69,F69)</f>
        <v>#NUM!</v>
      </c>
      <c r="I69" s="43" t="e">
        <f t="shared" si="4"/>
        <v>#NUM!</v>
      </c>
      <c r="J69" s="58"/>
      <c r="M69" s="11" t="e">
        <v>#NUM!</v>
      </c>
      <c r="N69" s="12" t="e">
        <f>_xll.qlYieldTSDiscount(L$4,M69,,Triggers!RTDataTrigger)</f>
        <v>#NUM!</v>
      </c>
      <c r="O69" s="37"/>
      <c r="P69" s="26"/>
      <c r="Q69" s="42" t="e">
        <f t="shared" ref="Q69:R93" si="5">IF(ISBLANK(O69),M69,O69)</f>
        <v>#NUM!</v>
      </c>
      <c r="R69" s="43" t="e">
        <f t="shared" si="5"/>
        <v>#NUM!</v>
      </c>
      <c r="W69" s="303" t="e">
        <v>#N/A</v>
      </c>
      <c r="X69" s="302" t="e">
        <v>#NUM!</v>
      </c>
      <c r="Z69" s="303">
        <v>64711</v>
      </c>
      <c r="AA69" s="302">
        <v>0.49220094138331799</v>
      </c>
    </row>
    <row r="70" spans="4:27" x14ac:dyDescent="0.2">
      <c r="D70" s="11" t="e">
        <v>#NUM!</v>
      </c>
      <c r="E70" s="12" t="e">
        <f>_xll.qlYieldTSDiscount(C$4,D70,,Triggers!RTDataTrigger)</f>
        <v>#NUM!</v>
      </c>
      <c r="F70" s="37"/>
      <c r="G70" s="26"/>
      <c r="H70" s="42" t="e">
        <f t="shared" si="4"/>
        <v>#NUM!</v>
      </c>
      <c r="I70" s="43" t="e">
        <f t="shared" si="4"/>
        <v>#NUM!</v>
      </c>
      <c r="J70" s="58"/>
      <c r="M70" s="11" t="e">
        <v>#NUM!</v>
      </c>
      <c r="N70" s="12" t="e">
        <f>_xll.qlYieldTSDiscount(L$4,M70,,Triggers!RTDataTrigger)</f>
        <v>#NUM!</v>
      </c>
      <c r="O70" s="37"/>
      <c r="P70" s="26"/>
      <c r="Q70" s="42" t="e">
        <f t="shared" si="5"/>
        <v>#NUM!</v>
      </c>
      <c r="R70" s="43" t="e">
        <f t="shared" si="5"/>
        <v>#NUM!</v>
      </c>
      <c r="W70" s="303" t="e">
        <v>#N/A</v>
      </c>
      <c r="X70" s="302" t="e">
        <v>#NUM!</v>
      </c>
      <c r="Z70" s="303" t="e">
        <v>#N/A</v>
      </c>
      <c r="AA70" s="302" t="e">
        <v>#N/A</v>
      </c>
    </row>
    <row r="71" spans="4:27" x14ac:dyDescent="0.2">
      <c r="D71" s="11" t="e">
        <v>#NUM!</v>
      </c>
      <c r="E71" s="12" t="e">
        <f>_xll.qlYieldTSDiscount(C$4,D71,,Triggers!RTDataTrigger)</f>
        <v>#NUM!</v>
      </c>
      <c r="F71" s="37"/>
      <c r="G71" s="26"/>
      <c r="H71" s="42" t="e">
        <f t="shared" si="4"/>
        <v>#NUM!</v>
      </c>
      <c r="I71" s="43" t="e">
        <f t="shared" si="4"/>
        <v>#NUM!</v>
      </c>
      <c r="J71" s="58"/>
      <c r="M71" s="11" t="e">
        <v>#NUM!</v>
      </c>
      <c r="N71" s="12" t="e">
        <f>_xll.qlYieldTSDiscount(L$4,M71,,Triggers!RTDataTrigger)</f>
        <v>#NUM!</v>
      </c>
      <c r="O71" s="37"/>
      <c r="P71" s="26"/>
      <c r="Q71" s="42" t="e">
        <f t="shared" si="5"/>
        <v>#NUM!</v>
      </c>
      <c r="R71" s="43" t="e">
        <f t="shared" si="5"/>
        <v>#NUM!</v>
      </c>
      <c r="W71" s="303" t="e">
        <v>#N/A</v>
      </c>
      <c r="X71" s="302" t="e">
        <v>#NUM!</v>
      </c>
      <c r="Z71" s="303" t="e">
        <v>#N/A</v>
      </c>
      <c r="AA71" s="302" t="e">
        <v>#N/A</v>
      </c>
    </row>
    <row r="72" spans="4:27" x14ac:dyDescent="0.2">
      <c r="D72" s="11" t="e">
        <v>#NUM!</v>
      </c>
      <c r="E72" s="12" t="e">
        <f>_xll.qlYieldTSDiscount(C$4,D72,,Triggers!RTDataTrigger)</f>
        <v>#NUM!</v>
      </c>
      <c r="F72" s="37"/>
      <c r="G72" s="26"/>
      <c r="H72" s="42" t="e">
        <f t="shared" si="4"/>
        <v>#NUM!</v>
      </c>
      <c r="I72" s="43" t="e">
        <f t="shared" si="4"/>
        <v>#NUM!</v>
      </c>
      <c r="J72" s="58"/>
      <c r="M72" s="11" t="e">
        <v>#NUM!</v>
      </c>
      <c r="N72" s="12" t="e">
        <f>_xll.qlYieldTSDiscount(L$4,M72,,Triggers!RTDataTrigger)</f>
        <v>#NUM!</v>
      </c>
      <c r="O72" s="37"/>
      <c r="P72" s="26"/>
      <c r="Q72" s="42" t="e">
        <f t="shared" si="5"/>
        <v>#NUM!</v>
      </c>
      <c r="R72" s="43" t="e">
        <f t="shared" si="5"/>
        <v>#NUM!</v>
      </c>
      <c r="W72" s="303" t="e">
        <v>#N/A</v>
      </c>
      <c r="X72" s="302" t="e">
        <v>#NUM!</v>
      </c>
      <c r="Z72" s="303" t="e">
        <v>#N/A</v>
      </c>
      <c r="AA72" s="302" t="e">
        <v>#N/A</v>
      </c>
    </row>
    <row r="73" spans="4:27" x14ac:dyDescent="0.2">
      <c r="D73" s="11" t="e">
        <v>#NUM!</v>
      </c>
      <c r="E73" s="12" t="e">
        <f>_xll.qlYieldTSDiscount(C$4,D73,,Triggers!RTDataTrigger)</f>
        <v>#NUM!</v>
      </c>
      <c r="F73" s="37"/>
      <c r="G73" s="26"/>
      <c r="H73" s="42" t="e">
        <f t="shared" si="4"/>
        <v>#NUM!</v>
      </c>
      <c r="I73" s="43" t="e">
        <f t="shared" si="4"/>
        <v>#NUM!</v>
      </c>
      <c r="J73" s="58"/>
      <c r="M73" s="11" t="e">
        <v>#NUM!</v>
      </c>
      <c r="N73" s="12" t="e">
        <f>_xll.qlYieldTSDiscount(L$4,M73,,Triggers!RTDataTrigger)</f>
        <v>#NUM!</v>
      </c>
      <c r="O73" s="37"/>
      <c r="P73" s="26"/>
      <c r="Q73" s="42" t="e">
        <f t="shared" si="5"/>
        <v>#NUM!</v>
      </c>
      <c r="R73" s="43" t="e">
        <f t="shared" si="5"/>
        <v>#NUM!</v>
      </c>
      <c r="W73" s="303" t="e">
        <v>#N/A</v>
      </c>
      <c r="X73" s="302" t="e">
        <v>#NUM!</v>
      </c>
      <c r="Z73" s="303" t="e">
        <v>#N/A</v>
      </c>
      <c r="AA73" s="302" t="e">
        <v>#N/A</v>
      </c>
    </row>
    <row r="74" spans="4:27" x14ac:dyDescent="0.2">
      <c r="D74" s="11" t="e">
        <v>#NUM!</v>
      </c>
      <c r="E74" s="12" t="e">
        <f>_xll.qlYieldTSDiscount(C$4,D74,,Triggers!RTDataTrigger)</f>
        <v>#NUM!</v>
      </c>
      <c r="F74" s="37"/>
      <c r="G74" s="26"/>
      <c r="H74" s="42" t="e">
        <f t="shared" si="4"/>
        <v>#NUM!</v>
      </c>
      <c r="I74" s="43" t="e">
        <f t="shared" si="4"/>
        <v>#NUM!</v>
      </c>
      <c r="J74" s="58"/>
      <c r="M74" s="11" t="e">
        <v>#NUM!</v>
      </c>
      <c r="N74" s="12" t="e">
        <f>_xll.qlYieldTSDiscount(L$4,M74,,Triggers!RTDataTrigger)</f>
        <v>#NUM!</v>
      </c>
      <c r="O74" s="37"/>
      <c r="P74" s="26"/>
      <c r="Q74" s="42" t="e">
        <f t="shared" si="5"/>
        <v>#NUM!</v>
      </c>
      <c r="R74" s="43" t="e">
        <f t="shared" si="5"/>
        <v>#NUM!</v>
      </c>
      <c r="W74" s="303" t="e">
        <v>#N/A</v>
      </c>
      <c r="X74" s="302" t="e">
        <v>#NUM!</v>
      </c>
      <c r="Z74" s="303" t="e">
        <v>#N/A</v>
      </c>
      <c r="AA74" s="302" t="e">
        <v>#N/A</v>
      </c>
    </row>
    <row r="75" spans="4:27" x14ac:dyDescent="0.2">
      <c r="D75" s="11" t="e">
        <v>#NUM!</v>
      </c>
      <c r="E75" s="12" t="e">
        <f>_xll.qlYieldTSDiscount(C$4,D75,,Triggers!RTDataTrigger)</f>
        <v>#NUM!</v>
      </c>
      <c r="F75" s="37"/>
      <c r="G75" s="26"/>
      <c r="H75" s="42" t="e">
        <f t="shared" si="4"/>
        <v>#NUM!</v>
      </c>
      <c r="I75" s="43" t="e">
        <f t="shared" si="4"/>
        <v>#NUM!</v>
      </c>
      <c r="J75" s="58"/>
      <c r="M75" s="11" t="e">
        <v>#NUM!</v>
      </c>
      <c r="N75" s="12" t="e">
        <f>_xll.qlYieldTSDiscount(L$4,M75,,Triggers!RTDataTrigger)</f>
        <v>#NUM!</v>
      </c>
      <c r="O75" s="37"/>
      <c r="P75" s="26"/>
      <c r="Q75" s="42" t="e">
        <f t="shared" si="5"/>
        <v>#NUM!</v>
      </c>
      <c r="R75" s="43" t="e">
        <f t="shared" si="5"/>
        <v>#NUM!</v>
      </c>
      <c r="W75" s="303" t="e">
        <v>#N/A</v>
      </c>
      <c r="X75" s="302" t="e">
        <v>#NUM!</v>
      </c>
      <c r="Z75" s="303" t="e">
        <v>#N/A</v>
      </c>
      <c r="AA75" s="302" t="e">
        <v>#N/A</v>
      </c>
    </row>
    <row r="76" spans="4:27" x14ac:dyDescent="0.2">
      <c r="D76" s="11" t="e">
        <v>#NUM!</v>
      </c>
      <c r="E76" s="12" t="e">
        <f>_xll.qlYieldTSDiscount(C$4,D76,,Triggers!RTDataTrigger)</f>
        <v>#NUM!</v>
      </c>
      <c r="F76" s="37"/>
      <c r="G76" s="26"/>
      <c r="H76" s="42" t="e">
        <f t="shared" si="4"/>
        <v>#NUM!</v>
      </c>
      <c r="I76" s="43" t="e">
        <f t="shared" si="4"/>
        <v>#NUM!</v>
      </c>
      <c r="J76" s="58"/>
      <c r="M76" s="11" t="e">
        <v>#NUM!</v>
      </c>
      <c r="N76" s="12" t="e">
        <f>_xll.qlYieldTSDiscount(L$4,M76,,Triggers!RTDataTrigger)</f>
        <v>#NUM!</v>
      </c>
      <c r="O76" s="37"/>
      <c r="P76" s="26"/>
      <c r="Q76" s="42" t="e">
        <f t="shared" si="5"/>
        <v>#NUM!</v>
      </c>
      <c r="R76" s="43" t="e">
        <f t="shared" si="5"/>
        <v>#NUM!</v>
      </c>
      <c r="W76" s="303" t="e">
        <v>#N/A</v>
      </c>
      <c r="X76" s="302" t="e">
        <v>#NUM!</v>
      </c>
      <c r="Z76" s="303" t="e">
        <v>#N/A</v>
      </c>
      <c r="AA76" s="302" t="e">
        <v>#N/A</v>
      </c>
    </row>
    <row r="77" spans="4:27" x14ac:dyDescent="0.2">
      <c r="D77" s="11" t="e">
        <v>#NUM!</v>
      </c>
      <c r="E77" s="12" t="e">
        <f>_xll.qlYieldTSDiscount(C$4,D77,,Triggers!RTDataTrigger)</f>
        <v>#NUM!</v>
      </c>
      <c r="F77" s="37"/>
      <c r="G77" s="26"/>
      <c r="H77" s="42" t="e">
        <f t="shared" si="4"/>
        <v>#NUM!</v>
      </c>
      <c r="I77" s="43" t="e">
        <f t="shared" si="4"/>
        <v>#NUM!</v>
      </c>
      <c r="J77" s="58"/>
      <c r="M77" s="11" t="e">
        <v>#NUM!</v>
      </c>
      <c r="N77" s="12" t="e">
        <f>_xll.qlYieldTSDiscount(L$4,M77,,Triggers!RTDataTrigger)</f>
        <v>#NUM!</v>
      </c>
      <c r="O77" s="37"/>
      <c r="P77" s="26"/>
      <c r="Q77" s="42" t="e">
        <f t="shared" si="5"/>
        <v>#NUM!</v>
      </c>
      <c r="R77" s="43" t="e">
        <f t="shared" si="5"/>
        <v>#NUM!</v>
      </c>
      <c r="W77" s="303" t="e">
        <v>#N/A</v>
      </c>
      <c r="X77" s="302" t="e">
        <v>#NUM!</v>
      </c>
      <c r="Z77" s="303" t="e">
        <v>#N/A</v>
      </c>
      <c r="AA77" s="302" t="e">
        <v>#N/A</v>
      </c>
    </row>
    <row r="78" spans="4:27" x14ac:dyDescent="0.2">
      <c r="D78" s="11" t="e">
        <v>#NUM!</v>
      </c>
      <c r="E78" s="12" t="e">
        <f>_xll.qlYieldTSDiscount(C$4,D78,,Triggers!RTDataTrigger)</f>
        <v>#NUM!</v>
      </c>
      <c r="F78" s="37"/>
      <c r="G78" s="26"/>
      <c r="H78" s="42" t="e">
        <f t="shared" si="4"/>
        <v>#NUM!</v>
      </c>
      <c r="I78" s="43" t="e">
        <f t="shared" si="4"/>
        <v>#NUM!</v>
      </c>
      <c r="J78" s="58"/>
      <c r="M78" s="11" t="e">
        <v>#NUM!</v>
      </c>
      <c r="N78" s="12" t="e">
        <f>_xll.qlYieldTSDiscount(L$4,M78,,Triggers!RTDataTrigger)</f>
        <v>#NUM!</v>
      </c>
      <c r="O78" s="37"/>
      <c r="P78" s="26"/>
      <c r="Q78" s="42" t="e">
        <f t="shared" si="5"/>
        <v>#NUM!</v>
      </c>
      <c r="R78" s="43" t="e">
        <f t="shared" si="5"/>
        <v>#NUM!</v>
      </c>
      <c r="W78" s="303" t="e">
        <v>#N/A</v>
      </c>
      <c r="X78" s="302" t="e">
        <v>#NUM!</v>
      </c>
      <c r="Z78" s="303" t="e">
        <v>#N/A</v>
      </c>
      <c r="AA78" s="302" t="e">
        <v>#N/A</v>
      </c>
    </row>
    <row r="79" spans="4:27" x14ac:dyDescent="0.2">
      <c r="D79" s="11" t="e">
        <v>#NUM!</v>
      </c>
      <c r="E79" s="12" t="e">
        <f>_xll.qlYieldTSDiscount(C$4,D79,,Triggers!RTDataTrigger)</f>
        <v>#NUM!</v>
      </c>
      <c r="F79" s="37"/>
      <c r="G79" s="26"/>
      <c r="H79" s="42" t="e">
        <f t="shared" si="4"/>
        <v>#NUM!</v>
      </c>
      <c r="I79" s="43" t="e">
        <f t="shared" si="4"/>
        <v>#NUM!</v>
      </c>
      <c r="J79" s="58"/>
      <c r="M79" s="11" t="e">
        <v>#NUM!</v>
      </c>
      <c r="N79" s="12" t="e">
        <f>_xll.qlYieldTSDiscount(L$4,M79,,Triggers!RTDataTrigger)</f>
        <v>#NUM!</v>
      </c>
      <c r="O79" s="37"/>
      <c r="P79" s="26"/>
      <c r="Q79" s="42" t="e">
        <f t="shared" si="5"/>
        <v>#NUM!</v>
      </c>
      <c r="R79" s="43" t="e">
        <f t="shared" si="5"/>
        <v>#NUM!</v>
      </c>
      <c r="W79" s="303" t="e">
        <v>#N/A</v>
      </c>
      <c r="X79" s="302" t="e">
        <v>#NUM!</v>
      </c>
      <c r="Z79" s="303" t="e">
        <v>#N/A</v>
      </c>
      <c r="AA79" s="302" t="e">
        <v>#N/A</v>
      </c>
    </row>
    <row r="80" spans="4:27" x14ac:dyDescent="0.2">
      <c r="D80" s="11" t="e">
        <v>#NUM!</v>
      </c>
      <c r="E80" s="12" t="e">
        <f>_xll.qlYieldTSDiscount(C$4,D80,,Triggers!RTDataTrigger)</f>
        <v>#NUM!</v>
      </c>
      <c r="F80" s="37"/>
      <c r="G80" s="26"/>
      <c r="H80" s="42" t="e">
        <f t="shared" si="4"/>
        <v>#NUM!</v>
      </c>
      <c r="I80" s="43" t="e">
        <f t="shared" si="4"/>
        <v>#NUM!</v>
      </c>
      <c r="J80" s="58"/>
      <c r="M80" s="11" t="e">
        <v>#NUM!</v>
      </c>
      <c r="N80" s="12" t="e">
        <f>_xll.qlYieldTSDiscount(L$4,M80,,Triggers!RTDataTrigger)</f>
        <v>#NUM!</v>
      </c>
      <c r="O80" s="37"/>
      <c r="P80" s="26"/>
      <c r="Q80" s="42" t="e">
        <f t="shared" si="5"/>
        <v>#NUM!</v>
      </c>
      <c r="R80" s="43" t="e">
        <f t="shared" si="5"/>
        <v>#NUM!</v>
      </c>
      <c r="W80" s="303" t="e">
        <v>#N/A</v>
      </c>
      <c r="X80" s="302" t="e">
        <v>#NUM!</v>
      </c>
      <c r="Z80" s="303" t="e">
        <v>#N/A</v>
      </c>
      <c r="AA80" s="302" t="e">
        <v>#N/A</v>
      </c>
    </row>
    <row r="81" spans="4:27" x14ac:dyDescent="0.2">
      <c r="D81" s="11" t="e">
        <v>#NUM!</v>
      </c>
      <c r="E81" s="12" t="e">
        <f>_xll.qlYieldTSDiscount(C$4,D81,,Triggers!RTDataTrigger)</f>
        <v>#NUM!</v>
      </c>
      <c r="F81" s="37"/>
      <c r="G81" s="26"/>
      <c r="H81" s="42" t="e">
        <f t="shared" si="4"/>
        <v>#NUM!</v>
      </c>
      <c r="I81" s="43" t="e">
        <f t="shared" si="4"/>
        <v>#NUM!</v>
      </c>
      <c r="J81" s="58"/>
      <c r="M81" s="11" t="e">
        <v>#NUM!</v>
      </c>
      <c r="N81" s="12" t="e">
        <f>_xll.qlYieldTSDiscount(L$4,M81,,Triggers!RTDataTrigger)</f>
        <v>#NUM!</v>
      </c>
      <c r="O81" s="37"/>
      <c r="P81" s="26"/>
      <c r="Q81" s="42" t="e">
        <f t="shared" si="5"/>
        <v>#NUM!</v>
      </c>
      <c r="R81" s="43" t="e">
        <f t="shared" si="5"/>
        <v>#NUM!</v>
      </c>
      <c r="W81" s="303" t="e">
        <v>#N/A</v>
      </c>
      <c r="X81" s="302" t="e">
        <v>#NUM!</v>
      </c>
      <c r="Z81" s="303" t="e">
        <v>#N/A</v>
      </c>
      <c r="AA81" s="302" t="e">
        <v>#N/A</v>
      </c>
    </row>
    <row r="82" spans="4:27" x14ac:dyDescent="0.2">
      <c r="D82" s="11" t="e">
        <v>#NUM!</v>
      </c>
      <c r="E82" s="12" t="e">
        <f>_xll.qlYieldTSDiscount(C$4,D82,,Triggers!RTDataTrigger)</f>
        <v>#NUM!</v>
      </c>
      <c r="F82" s="37"/>
      <c r="G82" s="26"/>
      <c r="H82" s="42" t="e">
        <f t="shared" si="4"/>
        <v>#NUM!</v>
      </c>
      <c r="I82" s="43" t="e">
        <f t="shared" si="4"/>
        <v>#NUM!</v>
      </c>
      <c r="J82" s="58"/>
      <c r="M82" s="11" t="e">
        <v>#NUM!</v>
      </c>
      <c r="N82" s="12" t="e">
        <f>_xll.qlYieldTSDiscount(L$4,M82,,Triggers!RTDataTrigger)</f>
        <v>#NUM!</v>
      </c>
      <c r="O82" s="37"/>
      <c r="P82" s="26"/>
      <c r="Q82" s="42" t="e">
        <f t="shared" si="5"/>
        <v>#NUM!</v>
      </c>
      <c r="R82" s="43" t="e">
        <f t="shared" si="5"/>
        <v>#NUM!</v>
      </c>
      <c r="W82" s="303" t="e">
        <v>#N/A</v>
      </c>
      <c r="X82" s="302" t="e">
        <v>#NUM!</v>
      </c>
      <c r="Z82" s="303" t="e">
        <v>#N/A</v>
      </c>
      <c r="AA82" s="302" t="e">
        <v>#N/A</v>
      </c>
    </row>
    <row r="83" spans="4:27" x14ac:dyDescent="0.2">
      <c r="D83" s="11" t="e">
        <v>#NUM!</v>
      </c>
      <c r="E83" s="12" t="e">
        <f>_xll.qlYieldTSDiscount(C$4,D83,,Triggers!RTDataTrigger)</f>
        <v>#NUM!</v>
      </c>
      <c r="F83" s="37"/>
      <c r="G83" s="26"/>
      <c r="H83" s="42" t="e">
        <f t="shared" si="4"/>
        <v>#NUM!</v>
      </c>
      <c r="I83" s="43" t="e">
        <f t="shared" si="4"/>
        <v>#NUM!</v>
      </c>
      <c r="J83" s="58"/>
      <c r="M83" s="11" t="e">
        <v>#NUM!</v>
      </c>
      <c r="N83" s="12" t="e">
        <f>_xll.qlYieldTSDiscount(L$4,M83,,Triggers!RTDataTrigger)</f>
        <v>#NUM!</v>
      </c>
      <c r="O83" s="37"/>
      <c r="P83" s="26"/>
      <c r="Q83" s="42" t="e">
        <f t="shared" si="5"/>
        <v>#NUM!</v>
      </c>
      <c r="R83" s="43" t="e">
        <f t="shared" si="5"/>
        <v>#NUM!</v>
      </c>
      <c r="W83" s="303" t="e">
        <v>#N/A</v>
      </c>
      <c r="X83" s="302" t="e">
        <v>#NUM!</v>
      </c>
      <c r="Z83" s="303" t="e">
        <v>#N/A</v>
      </c>
      <c r="AA83" s="302" t="e">
        <v>#N/A</v>
      </c>
    </row>
    <row r="84" spans="4:27" x14ac:dyDescent="0.2">
      <c r="D84" s="11" t="e">
        <v>#NUM!</v>
      </c>
      <c r="E84" s="12" t="e">
        <f>_xll.qlYieldTSDiscount(C$4,D84,,Triggers!RTDataTrigger)</f>
        <v>#NUM!</v>
      </c>
      <c r="F84" s="37"/>
      <c r="G84" s="26"/>
      <c r="H84" s="42" t="e">
        <f t="shared" si="4"/>
        <v>#NUM!</v>
      </c>
      <c r="I84" s="43" t="e">
        <f t="shared" si="4"/>
        <v>#NUM!</v>
      </c>
      <c r="J84" s="58"/>
      <c r="M84" s="11" t="e">
        <v>#NUM!</v>
      </c>
      <c r="N84" s="12" t="e">
        <f>_xll.qlYieldTSDiscount(L$4,M84,,Triggers!RTDataTrigger)</f>
        <v>#NUM!</v>
      </c>
      <c r="O84" s="37"/>
      <c r="P84" s="26"/>
      <c r="Q84" s="42" t="e">
        <f t="shared" si="5"/>
        <v>#NUM!</v>
      </c>
      <c r="R84" s="43" t="e">
        <f t="shared" si="5"/>
        <v>#NUM!</v>
      </c>
      <c r="W84" s="303" t="e">
        <v>#N/A</v>
      </c>
      <c r="X84" s="302" t="e">
        <v>#NUM!</v>
      </c>
      <c r="Z84" s="303" t="e">
        <v>#N/A</v>
      </c>
      <c r="AA84" s="302" t="e">
        <v>#N/A</v>
      </c>
    </row>
    <row r="85" spans="4:27" x14ac:dyDescent="0.2">
      <c r="D85" s="11" t="e">
        <v>#NUM!</v>
      </c>
      <c r="E85" s="12" t="e">
        <f>_xll.qlYieldTSDiscount(C$4,D85,,Triggers!RTDataTrigger)</f>
        <v>#NUM!</v>
      </c>
      <c r="F85" s="37"/>
      <c r="G85" s="26"/>
      <c r="H85" s="42" t="e">
        <f t="shared" si="4"/>
        <v>#NUM!</v>
      </c>
      <c r="I85" s="43" t="e">
        <f t="shared" si="4"/>
        <v>#NUM!</v>
      </c>
      <c r="J85" s="58"/>
      <c r="M85" s="11" t="e">
        <v>#NUM!</v>
      </c>
      <c r="N85" s="12" t="e">
        <f>_xll.qlYieldTSDiscount(L$4,M85,,Triggers!RTDataTrigger)</f>
        <v>#NUM!</v>
      </c>
      <c r="O85" s="37"/>
      <c r="P85" s="26"/>
      <c r="Q85" s="42" t="e">
        <f t="shared" si="5"/>
        <v>#NUM!</v>
      </c>
      <c r="R85" s="43" t="e">
        <f t="shared" si="5"/>
        <v>#NUM!</v>
      </c>
      <c r="W85" s="303" t="e">
        <v>#N/A</v>
      </c>
      <c r="X85" s="302" t="e">
        <v>#NUM!</v>
      </c>
      <c r="Z85" s="303" t="e">
        <v>#N/A</v>
      </c>
      <c r="AA85" s="302" t="e">
        <v>#N/A</v>
      </c>
    </row>
    <row r="86" spans="4:27" x14ac:dyDescent="0.2">
      <c r="D86" s="11" t="e">
        <v>#NUM!</v>
      </c>
      <c r="E86" s="12" t="e">
        <f>_xll.qlYieldTSDiscount(C$4,D86,,Triggers!RTDataTrigger)</f>
        <v>#NUM!</v>
      </c>
      <c r="F86" s="37"/>
      <c r="G86" s="26"/>
      <c r="H86" s="42" t="e">
        <f t="shared" si="4"/>
        <v>#NUM!</v>
      </c>
      <c r="I86" s="43" t="e">
        <f t="shared" si="4"/>
        <v>#NUM!</v>
      </c>
      <c r="J86" s="58"/>
      <c r="M86" s="11" t="e">
        <v>#NUM!</v>
      </c>
      <c r="N86" s="12" t="e">
        <f>_xll.qlYieldTSDiscount(L$4,M86,,Triggers!RTDataTrigger)</f>
        <v>#NUM!</v>
      </c>
      <c r="O86" s="37"/>
      <c r="P86" s="26"/>
      <c r="Q86" s="42" t="e">
        <f t="shared" si="5"/>
        <v>#NUM!</v>
      </c>
      <c r="R86" s="43" t="e">
        <f t="shared" si="5"/>
        <v>#NUM!</v>
      </c>
      <c r="W86" s="303" t="e">
        <v>#N/A</v>
      </c>
      <c r="X86" s="302" t="e">
        <v>#NUM!</v>
      </c>
      <c r="Z86" s="303" t="e">
        <v>#N/A</v>
      </c>
      <c r="AA86" s="302" t="e">
        <v>#N/A</v>
      </c>
    </row>
    <row r="87" spans="4:27" x14ac:dyDescent="0.2">
      <c r="D87" s="11" t="e">
        <v>#NUM!</v>
      </c>
      <c r="E87" s="12" t="e">
        <f>_xll.qlYieldTSDiscount(C$4,D87,,Triggers!RTDataTrigger)</f>
        <v>#NUM!</v>
      </c>
      <c r="F87" s="37"/>
      <c r="G87" s="26"/>
      <c r="H87" s="42" t="e">
        <f t="shared" si="4"/>
        <v>#NUM!</v>
      </c>
      <c r="I87" s="43" t="e">
        <f t="shared" si="4"/>
        <v>#NUM!</v>
      </c>
      <c r="J87" s="58"/>
      <c r="M87" s="11" t="e">
        <v>#NUM!</v>
      </c>
      <c r="N87" s="12" t="e">
        <f>_xll.qlYieldTSDiscount(L$4,M87,,Triggers!RTDataTrigger)</f>
        <v>#NUM!</v>
      </c>
      <c r="O87" s="37"/>
      <c r="P87" s="26"/>
      <c r="Q87" s="42" t="e">
        <f t="shared" si="5"/>
        <v>#NUM!</v>
      </c>
      <c r="R87" s="43" t="e">
        <f t="shared" si="5"/>
        <v>#NUM!</v>
      </c>
      <c r="W87" s="303" t="e">
        <v>#N/A</v>
      </c>
      <c r="X87" s="302" t="e">
        <v>#NUM!</v>
      </c>
      <c r="Z87" s="303" t="e">
        <v>#N/A</v>
      </c>
      <c r="AA87" s="302" t="e">
        <v>#N/A</v>
      </c>
    </row>
    <row r="88" spans="4:27" x14ac:dyDescent="0.2">
      <c r="D88" s="11" t="e">
        <v>#NUM!</v>
      </c>
      <c r="E88" s="12" t="e">
        <f>_xll.qlYieldTSDiscount(C$4,D88,,Triggers!RTDataTrigger)</f>
        <v>#NUM!</v>
      </c>
      <c r="F88" s="37"/>
      <c r="G88" s="26"/>
      <c r="H88" s="42" t="e">
        <f t="shared" si="4"/>
        <v>#NUM!</v>
      </c>
      <c r="I88" s="43" t="e">
        <f t="shared" si="4"/>
        <v>#NUM!</v>
      </c>
      <c r="J88" s="58"/>
      <c r="M88" s="11" t="e">
        <v>#NUM!</v>
      </c>
      <c r="N88" s="12" t="e">
        <f>_xll.qlYieldTSDiscount(L$4,M88,,Triggers!RTDataTrigger)</f>
        <v>#NUM!</v>
      </c>
      <c r="O88" s="37"/>
      <c r="P88" s="26"/>
      <c r="Q88" s="42" t="e">
        <f t="shared" si="5"/>
        <v>#NUM!</v>
      </c>
      <c r="R88" s="43" t="e">
        <f t="shared" si="5"/>
        <v>#NUM!</v>
      </c>
      <c r="W88" s="303" t="e">
        <v>#N/A</v>
      </c>
      <c r="X88" s="302" t="e">
        <v>#NUM!</v>
      </c>
      <c r="Z88" s="303" t="e">
        <v>#N/A</v>
      </c>
      <c r="AA88" s="302" t="e">
        <v>#N/A</v>
      </c>
    </row>
    <row r="89" spans="4:27" x14ac:dyDescent="0.2">
      <c r="D89" s="11" t="e">
        <v>#NUM!</v>
      </c>
      <c r="E89" s="12" t="e">
        <f>_xll.qlYieldTSDiscount(C$4,D89,,Triggers!RTDataTrigger)</f>
        <v>#NUM!</v>
      </c>
      <c r="F89" s="37"/>
      <c r="G89" s="26"/>
      <c r="H89" s="42" t="e">
        <f t="shared" si="4"/>
        <v>#NUM!</v>
      </c>
      <c r="I89" s="43" t="e">
        <f t="shared" si="4"/>
        <v>#NUM!</v>
      </c>
      <c r="J89" s="58"/>
      <c r="M89" s="11" t="e">
        <v>#NUM!</v>
      </c>
      <c r="N89" s="12" t="e">
        <f>_xll.qlYieldTSDiscount(L$4,M89,,Triggers!RTDataTrigger)</f>
        <v>#NUM!</v>
      </c>
      <c r="O89" s="37"/>
      <c r="P89" s="26"/>
      <c r="Q89" s="42" t="e">
        <f t="shared" si="5"/>
        <v>#NUM!</v>
      </c>
      <c r="R89" s="43" t="e">
        <f t="shared" si="5"/>
        <v>#NUM!</v>
      </c>
      <c r="W89" s="303" t="e">
        <v>#N/A</v>
      </c>
      <c r="X89" s="302" t="e">
        <v>#NUM!</v>
      </c>
      <c r="Z89" s="303" t="e">
        <v>#N/A</v>
      </c>
      <c r="AA89" s="302" t="e">
        <v>#N/A</v>
      </c>
    </row>
    <row r="90" spans="4:27" x14ac:dyDescent="0.2">
      <c r="D90" s="11" t="e">
        <v>#NUM!</v>
      </c>
      <c r="E90" s="12" t="e">
        <f>_xll.qlYieldTSDiscount(C$4,D90,,Triggers!RTDataTrigger)</f>
        <v>#NUM!</v>
      </c>
      <c r="F90" s="37"/>
      <c r="G90" s="26"/>
      <c r="H90" s="42" t="e">
        <f t="shared" si="4"/>
        <v>#NUM!</v>
      </c>
      <c r="I90" s="43" t="e">
        <f t="shared" si="4"/>
        <v>#NUM!</v>
      </c>
      <c r="J90" s="58"/>
      <c r="M90" s="11" t="e">
        <v>#NUM!</v>
      </c>
      <c r="N90" s="12" t="e">
        <f>_xll.qlYieldTSDiscount(L$4,M90,,Triggers!RTDataTrigger)</f>
        <v>#NUM!</v>
      </c>
      <c r="O90" s="37"/>
      <c r="P90" s="26"/>
      <c r="Q90" s="42" t="e">
        <f t="shared" si="5"/>
        <v>#NUM!</v>
      </c>
      <c r="R90" s="43" t="e">
        <f t="shared" si="5"/>
        <v>#NUM!</v>
      </c>
      <c r="W90" s="303" t="e">
        <v>#N/A</v>
      </c>
      <c r="X90" s="302" t="e">
        <v>#NUM!</v>
      </c>
      <c r="Z90" s="303" t="e">
        <v>#N/A</v>
      </c>
      <c r="AA90" s="302" t="e">
        <v>#N/A</v>
      </c>
    </row>
    <row r="91" spans="4:27" x14ac:dyDescent="0.2">
      <c r="D91" s="11" t="e">
        <v>#NUM!</v>
      </c>
      <c r="E91" s="12" t="e">
        <f>_xll.qlYieldTSDiscount(C$4,D91,,Triggers!RTDataTrigger)</f>
        <v>#NUM!</v>
      </c>
      <c r="F91" s="37"/>
      <c r="G91" s="26"/>
      <c r="H91" s="42" t="e">
        <f t="shared" si="4"/>
        <v>#NUM!</v>
      </c>
      <c r="I91" s="43" t="e">
        <f t="shared" si="4"/>
        <v>#NUM!</v>
      </c>
      <c r="M91" s="11" t="e">
        <v>#NUM!</v>
      </c>
      <c r="N91" s="12" t="e">
        <f>_xll.qlYieldTSDiscount(L$4,M91,,Triggers!RTDataTrigger)</f>
        <v>#NUM!</v>
      </c>
      <c r="O91" s="37"/>
      <c r="P91" s="26"/>
      <c r="Q91" s="42" t="e">
        <f t="shared" si="5"/>
        <v>#NUM!</v>
      </c>
      <c r="R91" s="43" t="e">
        <f t="shared" si="5"/>
        <v>#NUM!</v>
      </c>
      <c r="W91" s="303" t="e">
        <v>#N/A</v>
      </c>
      <c r="X91" s="302" t="e">
        <v>#NUM!</v>
      </c>
      <c r="Z91" s="303" t="e">
        <v>#N/A</v>
      </c>
      <c r="AA91" s="302" t="e">
        <v>#N/A</v>
      </c>
    </row>
    <row r="92" spans="4:27" x14ac:dyDescent="0.2">
      <c r="D92" s="11" t="e">
        <v>#NUM!</v>
      </c>
      <c r="E92" s="12" t="e">
        <f>_xll.qlYieldTSDiscount(C$4,D92,,Triggers!RTDataTrigger)</f>
        <v>#NUM!</v>
      </c>
      <c r="F92" s="37"/>
      <c r="G92" s="26"/>
      <c r="H92" s="42" t="e">
        <f t="shared" si="4"/>
        <v>#NUM!</v>
      </c>
      <c r="I92" s="43" t="e">
        <f t="shared" si="4"/>
        <v>#NUM!</v>
      </c>
      <c r="M92" s="11" t="e">
        <v>#NUM!</v>
      </c>
      <c r="N92" s="12" t="e">
        <f>_xll.qlYieldTSDiscount(L$4,M92,,Triggers!RTDataTrigger)</f>
        <v>#NUM!</v>
      </c>
      <c r="O92" s="37"/>
      <c r="P92" s="26"/>
      <c r="Q92" s="42" t="e">
        <f t="shared" si="5"/>
        <v>#NUM!</v>
      </c>
      <c r="R92" s="43" t="e">
        <f t="shared" si="5"/>
        <v>#NUM!</v>
      </c>
      <c r="W92" s="303" t="e">
        <v>#N/A</v>
      </c>
      <c r="X92" s="302" t="e">
        <v>#NUM!</v>
      </c>
      <c r="Z92" s="303" t="e">
        <v>#N/A</v>
      </c>
      <c r="AA92" s="302" t="e">
        <v>#N/A</v>
      </c>
    </row>
    <row r="93" spans="4:27" x14ac:dyDescent="0.2">
      <c r="D93" s="13" t="e">
        <v>#NUM!</v>
      </c>
      <c r="E93" s="14" t="e">
        <f>_xll.qlYieldTSDiscount(C$4,D93,,Triggers!RTDataTrigger)</f>
        <v>#NUM!</v>
      </c>
      <c r="F93" s="38"/>
      <c r="G93" s="39"/>
      <c r="H93" s="44" t="e">
        <f t="shared" si="4"/>
        <v>#NUM!</v>
      </c>
      <c r="I93" s="45" t="e">
        <f t="shared" si="4"/>
        <v>#NUM!</v>
      </c>
      <c r="M93" s="13" t="e">
        <v>#NUM!</v>
      </c>
      <c r="N93" s="14" t="e">
        <f>_xll.qlYieldTSDiscount(L$4,M93,,Triggers!RTDataTrigger)</f>
        <v>#NUM!</v>
      </c>
      <c r="O93" s="38"/>
      <c r="P93" s="39"/>
      <c r="Q93" s="44" t="e">
        <f t="shared" si="5"/>
        <v>#NUM!</v>
      </c>
      <c r="R93" s="45" t="e">
        <f t="shared" si="5"/>
        <v>#NUM!</v>
      </c>
      <c r="W93" s="303" t="e">
        <v>#N/A</v>
      </c>
      <c r="X93" s="302" t="e">
        <v>#NUM!</v>
      </c>
      <c r="Z93" s="303" t="e">
        <v>#N/A</v>
      </c>
      <c r="AA93" s="302" t="e">
        <v>#N/A</v>
      </c>
    </row>
  </sheetData>
  <mergeCells count="6">
    <mergeCell ref="D2:E2"/>
    <mergeCell ref="F2:G2"/>
    <mergeCell ref="H2:I2"/>
    <mergeCell ref="M2:N2"/>
    <mergeCell ref="O2:P2"/>
    <mergeCell ref="Q2: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 tint="0.59999389629810485"/>
  </sheetPr>
  <dimension ref="B2:Y93"/>
  <sheetViews>
    <sheetView workbookViewId="0">
      <selection activeCell="X10" sqref="X10"/>
    </sheetView>
  </sheetViews>
  <sheetFormatPr defaultRowHeight="11.25" outlineLevelCol="1" x14ac:dyDescent="0.2"/>
  <cols>
    <col min="1" max="1" width="3.83203125" customWidth="1"/>
    <col min="2" max="2" width="16.83203125" customWidth="1"/>
    <col min="3" max="3" width="20.83203125" customWidth="1"/>
    <col min="4" max="7" width="10.83203125" hidden="1" customWidth="1" outlineLevel="1"/>
    <col min="8" max="8" width="10.83203125" customWidth="1" collapsed="1"/>
    <col min="9" max="9" width="10.83203125" customWidth="1"/>
    <col min="10" max="10" width="3.83203125" customWidth="1"/>
    <col min="11" max="11" width="16.83203125" customWidth="1"/>
    <col min="12" max="12" width="20.83203125" customWidth="1"/>
    <col min="13" max="16" width="10.83203125" hidden="1" customWidth="1" outlineLevel="1"/>
    <col min="17" max="17" width="10.83203125" customWidth="1" collapsed="1"/>
    <col min="18" max="18" width="10.83203125" customWidth="1"/>
  </cols>
  <sheetData>
    <row r="2" spans="2:18" x14ac:dyDescent="0.2">
      <c r="D2" s="285" t="s">
        <v>135</v>
      </c>
      <c r="E2" s="286"/>
      <c r="F2" s="285" t="s">
        <v>75</v>
      </c>
      <c r="G2" s="286"/>
      <c r="H2" s="285" t="s">
        <v>136</v>
      </c>
      <c r="I2" s="286"/>
      <c r="M2" s="285" t="s">
        <v>135</v>
      </c>
      <c r="N2" s="286"/>
      <c r="O2" s="285" t="s">
        <v>75</v>
      </c>
      <c r="P2" s="286"/>
      <c r="Q2" s="285" t="s">
        <v>136</v>
      </c>
      <c r="R2" s="286"/>
    </row>
    <row r="3" spans="2:18" x14ac:dyDescent="0.2">
      <c r="D3" s="32" t="s">
        <v>14</v>
      </c>
      <c r="E3" s="32" t="s">
        <v>15</v>
      </c>
      <c r="F3" s="32" t="s">
        <v>14</v>
      </c>
      <c r="G3" s="32" t="s">
        <v>15</v>
      </c>
      <c r="H3" s="32" t="s">
        <v>14</v>
      </c>
      <c r="I3" s="32" t="s">
        <v>15</v>
      </c>
      <c r="M3" s="32" t="s">
        <v>14</v>
      </c>
      <c r="N3" s="32" t="s">
        <v>15</v>
      </c>
      <c r="O3" s="32" t="s">
        <v>14</v>
      </c>
      <c r="P3" s="32" t="s">
        <v>15</v>
      </c>
      <c r="Q3" s="32" t="s">
        <v>14</v>
      </c>
      <c r="R3" s="32" t="s">
        <v>15</v>
      </c>
    </row>
    <row r="4" spans="2:18" x14ac:dyDescent="0.2">
      <c r="B4" s="29" t="s">
        <v>10</v>
      </c>
      <c r="C4" s="33" t="s">
        <v>147</v>
      </c>
      <c r="D4" s="22" t="e">
        <f t="array" ref="D4:D93">CHOOSE(C7,_xll.qlPiecewiseYieldCurveDates(C5),_xll.qlInterpolatedYieldCurveDates(C5))</f>
        <v>#NUM!</v>
      </c>
      <c r="E4" s="27" t="e">
        <f>_xll.qlYieldTSDiscount(C$4,D4,,Triggers!RTDataTrigger)</f>
        <v>#NUM!</v>
      </c>
      <c r="F4" s="36">
        <v>42794</v>
      </c>
      <c r="G4" s="25">
        <v>1</v>
      </c>
      <c r="H4" s="40">
        <f>IF(ISBLANK(F4),D4,F4)</f>
        <v>42794</v>
      </c>
      <c r="I4" s="41">
        <f t="shared" ref="I4:I67" si="0">IF(ISBLANK(G4),E4,G4)</f>
        <v>1</v>
      </c>
      <c r="K4" s="29" t="s">
        <v>10</v>
      </c>
      <c r="L4" s="33" t="s">
        <v>148</v>
      </c>
      <c r="M4" s="22" t="e">
        <f t="array" ref="M4:M93">CHOOSE(L7,_xll.qlPiecewiseYieldCurveDates(L5),_xll.qlInterpolatedYieldCurveDates(L5))</f>
        <v>#NUM!</v>
      </c>
      <c r="N4" s="27" t="e">
        <f>_xll.qlYieldTSDiscount(L$4,M4,,Triggers!RTDataTrigger)</f>
        <v>#NUM!</v>
      </c>
      <c r="O4" s="36">
        <v>42794</v>
      </c>
      <c r="P4" s="25">
        <v>1</v>
      </c>
      <c r="Q4" s="40">
        <f>IF(ISBLANK(O4),M4,O4)</f>
        <v>42794</v>
      </c>
      <c r="R4" s="41">
        <f t="shared" ref="R4:R67" si="1">IF(ISBLANK(P4),N4,P4)</f>
        <v>1</v>
      </c>
    </row>
    <row r="5" spans="2:18" x14ac:dyDescent="0.2">
      <c r="B5" s="30" t="s">
        <v>16</v>
      </c>
      <c r="C5" s="199" t="e">
        <f>_xll.qlHandleCurrentLink(C4,ObjectsTrigger)</f>
        <v>#NUM!</v>
      </c>
      <c r="D5" s="11" t="e">
        <v>#NUM!</v>
      </c>
      <c r="E5" s="28" t="e">
        <f>_xll.qlYieldTSDiscount(C$4,D5,,Triggers!RTDataTrigger)</f>
        <v>#NUM!</v>
      </c>
      <c r="F5" s="37">
        <v>42795</v>
      </c>
      <c r="G5" s="26">
        <v>0.99997972263340196</v>
      </c>
      <c r="H5" s="42">
        <f t="shared" ref="H5:I68" si="2">IF(ISBLANK(F5),D5,F5)</f>
        <v>42795</v>
      </c>
      <c r="I5" s="43">
        <f t="shared" si="0"/>
        <v>0.99997972263340196</v>
      </c>
      <c r="K5" s="30" t="s">
        <v>16</v>
      </c>
      <c r="L5" s="199" t="e">
        <f>_xll.qlHandleCurrentLink(L4,ObjectsTrigger)</f>
        <v>#NUM!</v>
      </c>
      <c r="M5" s="11" t="e">
        <v>#NUM!</v>
      </c>
      <c r="N5" s="28" t="e">
        <f>_xll.qlYieldTSDiscount(L$4,M5,,Triggers!RTDataTrigger)</f>
        <v>#NUM!</v>
      </c>
      <c r="O5" s="37">
        <v>42795</v>
      </c>
      <c r="P5" s="26">
        <v>0.99997638944636003</v>
      </c>
      <c r="Q5" s="42">
        <f t="shared" ref="Q5:R68" si="3">IF(ISBLANK(O5),M5,O5)</f>
        <v>42795</v>
      </c>
      <c r="R5" s="43">
        <f t="shared" si="1"/>
        <v>0.99997638944636003</v>
      </c>
    </row>
    <row r="6" spans="2:18" x14ac:dyDescent="0.2">
      <c r="B6" s="30" t="s">
        <v>128</v>
      </c>
      <c r="C6" s="200" t="e">
        <f>_xll.ohObjectClassName(C5)</f>
        <v>#NUM!</v>
      </c>
      <c r="D6" s="11" t="e">
        <v>#NUM!</v>
      </c>
      <c r="E6" s="28" t="e">
        <f>_xll.qlYieldTSDiscount(C$4,D6,,Triggers!RTDataTrigger)</f>
        <v>#NUM!</v>
      </c>
      <c r="F6" s="37">
        <v>42796</v>
      </c>
      <c r="G6" s="26">
        <v>0.99995944567797601</v>
      </c>
      <c r="H6" s="42">
        <f t="shared" si="2"/>
        <v>42796</v>
      </c>
      <c r="I6" s="43">
        <f t="shared" si="0"/>
        <v>0.99995944567797601</v>
      </c>
      <c r="K6" s="30" t="s">
        <v>128</v>
      </c>
      <c r="L6" s="200" t="e">
        <f>_xll.ohObjectClassName(L5)</f>
        <v>#NUM!</v>
      </c>
      <c r="M6" s="11" t="e">
        <v>#NUM!</v>
      </c>
      <c r="N6" s="28" t="e">
        <f>_xll.qlYieldTSDiscount(L$4,M6,,Triggers!RTDataTrigger)</f>
        <v>#NUM!</v>
      </c>
      <c r="O6" s="37">
        <v>42796</v>
      </c>
      <c r="P6" s="26">
        <v>0.99995277945017902</v>
      </c>
      <c r="Q6" s="42">
        <f t="shared" si="3"/>
        <v>42796</v>
      </c>
      <c r="R6" s="43">
        <f t="shared" si="1"/>
        <v>0.99995277945017902</v>
      </c>
    </row>
    <row r="7" spans="2:18" x14ac:dyDescent="0.2">
      <c r="B7" s="31" t="s">
        <v>129</v>
      </c>
      <c r="C7" s="201" t="e">
        <f>MATCH(C6,{"qlPiecewiseYieldCurve","qlInterpolatedYieldCurve"})</f>
        <v>#NUM!</v>
      </c>
      <c r="D7" s="11" t="e">
        <v>#NUM!</v>
      </c>
      <c r="E7" s="28" t="e">
        <f>_xll.qlYieldTSDiscount(C$4,D7,,Triggers!RTDataTrigger)</f>
        <v>#NUM!</v>
      </c>
      <c r="F7" s="37">
        <v>42797</v>
      </c>
      <c r="G7" s="26">
        <v>0.99993916913371295</v>
      </c>
      <c r="H7" s="42">
        <f t="shared" si="2"/>
        <v>42797</v>
      </c>
      <c r="I7" s="43">
        <f t="shared" si="0"/>
        <v>0.99993916913371295</v>
      </c>
      <c r="K7" s="31" t="s">
        <v>129</v>
      </c>
      <c r="L7" s="201" t="e">
        <f>MATCH(L6,{"qlPiecewiseYieldCurve","qlInterpolatedYieldCurve"})</f>
        <v>#NUM!</v>
      </c>
      <c r="M7" s="11" t="e">
        <v>#NUM!</v>
      </c>
      <c r="N7" s="28" t="e">
        <f>_xll.qlYieldTSDiscount(L$4,M7,,Triggers!RTDataTrigger)</f>
        <v>#NUM!</v>
      </c>
      <c r="O7" s="37">
        <v>42797</v>
      </c>
      <c r="P7" s="26">
        <v>0.999928614508661</v>
      </c>
      <c r="Q7" s="42">
        <f t="shared" si="3"/>
        <v>42797</v>
      </c>
      <c r="R7" s="43">
        <f t="shared" si="1"/>
        <v>0.999928614508661</v>
      </c>
    </row>
    <row r="8" spans="2:18" x14ac:dyDescent="0.2">
      <c r="B8" s="29" t="s">
        <v>4</v>
      </c>
      <c r="C8" s="33" t="s">
        <v>149</v>
      </c>
      <c r="D8" s="11" t="e">
        <v>#NUM!</v>
      </c>
      <c r="E8" s="28" t="e">
        <f>_xll.qlYieldTSDiscount(C$4,D8,,Triggers!RTDataTrigger)</f>
        <v>#NUM!</v>
      </c>
      <c r="F8" s="37">
        <v>42803</v>
      </c>
      <c r="G8" s="26">
        <v>0.99982532577602501</v>
      </c>
      <c r="H8" s="42">
        <f t="shared" si="2"/>
        <v>42803</v>
      </c>
      <c r="I8" s="43">
        <f t="shared" si="0"/>
        <v>0.99982532577602501</v>
      </c>
      <c r="K8" s="29" t="s">
        <v>4</v>
      </c>
      <c r="L8" s="33" t="s">
        <v>149</v>
      </c>
      <c r="M8" s="11" t="e">
        <v>#NUM!</v>
      </c>
      <c r="N8" s="28" t="e">
        <f>_xll.qlYieldTSDiscount(L$4,M8,,Triggers!RTDataTrigger)</f>
        <v>#NUM!</v>
      </c>
      <c r="O8" s="37">
        <v>42803</v>
      </c>
      <c r="P8" s="26">
        <v>0.99976686585864705</v>
      </c>
      <c r="Q8" s="42">
        <f t="shared" si="3"/>
        <v>42803</v>
      </c>
      <c r="R8" s="43">
        <f t="shared" si="1"/>
        <v>0.99976686585864705</v>
      </c>
    </row>
    <row r="9" spans="2:18" x14ac:dyDescent="0.2">
      <c r="B9" s="30" t="s">
        <v>5</v>
      </c>
      <c r="C9" s="34" t="str">
        <f>C4&amp;"_"</f>
        <v>USDON_</v>
      </c>
      <c r="D9" s="11" t="e">
        <v>#NUM!</v>
      </c>
      <c r="E9" s="28" t="e">
        <f>_xll.qlYieldTSDiscount(C$4,D9,,Triggers!RTDataTrigger)</f>
        <v>#NUM!</v>
      </c>
      <c r="F9" s="37">
        <v>42810</v>
      </c>
      <c r="G9" s="26">
        <v>0.99968887488554403</v>
      </c>
      <c r="H9" s="42">
        <f t="shared" si="2"/>
        <v>42810</v>
      </c>
      <c r="I9" s="43">
        <f t="shared" si="0"/>
        <v>0.99968887488554403</v>
      </c>
      <c r="K9" s="30" t="s">
        <v>5</v>
      </c>
      <c r="L9" s="34" t="str">
        <f>L4&amp;"_"</f>
        <v>USD3M_</v>
      </c>
      <c r="M9" s="11" t="e">
        <v>#NUM!</v>
      </c>
      <c r="N9" s="28" t="e">
        <f>_xll.qlYieldTSDiscount(L$4,M9,,Triggers!RTDataTrigger)</f>
        <v>#NUM!</v>
      </c>
      <c r="O9" s="37">
        <v>42810</v>
      </c>
      <c r="P9" s="26">
        <v>0.99957982455587202</v>
      </c>
      <c r="Q9" s="42">
        <f t="shared" si="3"/>
        <v>42810</v>
      </c>
      <c r="R9" s="43">
        <f t="shared" si="1"/>
        <v>0.99957982455587202</v>
      </c>
    </row>
    <row r="10" spans="2:18" x14ac:dyDescent="0.2">
      <c r="B10" s="30" t="s">
        <v>6</v>
      </c>
      <c r="C10" s="34" t="s">
        <v>11</v>
      </c>
      <c r="D10" s="11" t="e">
        <v>#NUM!</v>
      </c>
      <c r="E10" s="28" t="e">
        <f>_xll.qlYieldTSDiscount(C$4,D10,,Triggers!RTDataTrigger)</f>
        <v>#NUM!</v>
      </c>
      <c r="F10" s="37">
        <v>42817</v>
      </c>
      <c r="G10" s="26">
        <v>0.99955042714431197</v>
      </c>
      <c r="H10" s="42">
        <f t="shared" si="2"/>
        <v>42817</v>
      </c>
      <c r="I10" s="43">
        <f t="shared" si="0"/>
        <v>0.99955042714431197</v>
      </c>
      <c r="K10" s="30" t="s">
        <v>6</v>
      </c>
      <c r="L10" s="34" t="s">
        <v>11</v>
      </c>
      <c r="M10" s="11" t="e">
        <v>#NUM!</v>
      </c>
      <c r="N10" s="28" t="e">
        <f>_xll.qlYieldTSDiscount(L$4,M10,,Triggers!RTDataTrigger)</f>
        <v>#NUM!</v>
      </c>
      <c r="O10" s="37">
        <v>42817</v>
      </c>
      <c r="P10" s="26">
        <v>0.99939049737159502</v>
      </c>
      <c r="Q10" s="42">
        <f t="shared" si="3"/>
        <v>42817</v>
      </c>
      <c r="R10" s="43">
        <f t="shared" si="1"/>
        <v>0.99939049737159502</v>
      </c>
    </row>
    <row r="11" spans="2:18" x14ac:dyDescent="0.2">
      <c r="B11" s="30" t="s">
        <v>7</v>
      </c>
      <c r="C11" s="34" t="s">
        <v>12</v>
      </c>
      <c r="D11" s="11" t="e">
        <v>#NUM!</v>
      </c>
      <c r="E11" s="28" t="e">
        <f>_xll.qlYieldTSDiscount(C$4,D11,,Triggers!RTDataTrigger)</f>
        <v>#NUM!</v>
      </c>
      <c r="F11" s="37">
        <v>42828</v>
      </c>
      <c r="G11" s="26">
        <v>0.99932964592778695</v>
      </c>
      <c r="H11" s="42">
        <f t="shared" si="2"/>
        <v>42828</v>
      </c>
      <c r="I11" s="43">
        <f t="shared" si="0"/>
        <v>0.99932964592778695</v>
      </c>
      <c r="K11" s="30" t="s">
        <v>7</v>
      </c>
      <c r="L11" s="34" t="s">
        <v>12</v>
      </c>
      <c r="M11" s="11" t="e">
        <v>#NUM!</v>
      </c>
      <c r="N11" s="28" t="e">
        <f>_xll.qlYieldTSDiscount(L$4,M11,,Triggers!RTDataTrigger)</f>
        <v>#NUM!</v>
      </c>
      <c r="O11" s="37">
        <v>42828</v>
      </c>
      <c r="P11" s="26">
        <v>0.999085573172665</v>
      </c>
      <c r="Q11" s="42">
        <f t="shared" si="3"/>
        <v>42828</v>
      </c>
      <c r="R11" s="43">
        <f t="shared" si="1"/>
        <v>0.999085573172665</v>
      </c>
    </row>
    <row r="12" spans="2:18" x14ac:dyDescent="0.2">
      <c r="B12" s="30" t="s">
        <v>8</v>
      </c>
      <c r="C12" s="34" t="s">
        <v>13</v>
      </c>
      <c r="D12" s="11" t="e">
        <v>#NUM!</v>
      </c>
      <c r="E12" s="28" t="e">
        <f>_xll.qlYieldTSDiscount(C$4,D12,,Triggers!RTDataTrigger)</f>
        <v>#NUM!</v>
      </c>
      <c r="F12" s="37">
        <v>42857</v>
      </c>
      <c r="G12" s="26">
        <v>0.99872576967099003</v>
      </c>
      <c r="H12" s="42">
        <f t="shared" si="2"/>
        <v>42857</v>
      </c>
      <c r="I12" s="43">
        <f t="shared" si="0"/>
        <v>0.99872576967099003</v>
      </c>
      <c r="K12" s="30" t="s">
        <v>8</v>
      </c>
      <c r="L12" s="34" t="s">
        <v>13</v>
      </c>
      <c r="M12" s="11" t="e">
        <v>#NUM!</v>
      </c>
      <c r="N12" s="28" t="e">
        <f>_xll.qlYieldTSDiscount(L$4,M12,,Triggers!RTDataTrigger)</f>
        <v>#NUM!</v>
      </c>
      <c r="O12" s="37">
        <v>42857</v>
      </c>
      <c r="P12" s="26">
        <v>0.99823173089580697</v>
      </c>
      <c r="Q12" s="42">
        <f t="shared" si="3"/>
        <v>42857</v>
      </c>
      <c r="R12" s="43">
        <f t="shared" si="1"/>
        <v>0.99823173089580697</v>
      </c>
    </row>
    <row r="13" spans="2:18" x14ac:dyDescent="0.2">
      <c r="B13" s="31" t="s">
        <v>9</v>
      </c>
      <c r="C13" s="35">
        <v>5</v>
      </c>
      <c r="D13" s="11" t="e">
        <v>#NUM!</v>
      </c>
      <c r="E13" s="28" t="e">
        <f>_xll.qlYieldTSDiscount(C$4,D13,,Triggers!RTDataTrigger)</f>
        <v>#NUM!</v>
      </c>
      <c r="F13" s="37">
        <v>42888</v>
      </c>
      <c r="G13" s="26">
        <v>0.99802106698343496</v>
      </c>
      <c r="H13" s="42">
        <f t="shared" si="2"/>
        <v>42888</v>
      </c>
      <c r="I13" s="43">
        <f t="shared" si="0"/>
        <v>0.99802106698343496</v>
      </c>
      <c r="K13" s="31" t="s">
        <v>9</v>
      </c>
      <c r="L13" s="35">
        <v>5</v>
      </c>
      <c r="M13" s="11" t="e">
        <v>#NUM!</v>
      </c>
      <c r="N13" s="28" t="e">
        <f>_xll.qlYieldTSDiscount(L$4,M13,,Triggers!RTDataTrigger)</f>
        <v>#NUM!</v>
      </c>
      <c r="O13" s="37">
        <v>42888</v>
      </c>
      <c r="P13" s="26">
        <v>0.99724116990463396</v>
      </c>
      <c r="Q13" s="42">
        <f t="shared" si="3"/>
        <v>42888</v>
      </c>
      <c r="R13" s="43">
        <f t="shared" si="1"/>
        <v>0.99724116990463396</v>
      </c>
    </row>
    <row r="14" spans="2:18" x14ac:dyDescent="0.2">
      <c r="B14" s="30" t="s">
        <v>17</v>
      </c>
      <c r="C14" s="202">
        <f>COUNT(H4:H93)</f>
        <v>39</v>
      </c>
      <c r="D14" s="11" t="e">
        <v>#NUM!</v>
      </c>
      <c r="E14" s="28" t="e">
        <f>_xll.qlYieldTSDiscount(C$4,D14,,Triggers!RTDataTrigger)</f>
        <v>#NUM!</v>
      </c>
      <c r="F14" s="37">
        <v>42919</v>
      </c>
      <c r="G14" s="26">
        <v>0.997271052238903</v>
      </c>
      <c r="H14" s="42">
        <f t="shared" si="2"/>
        <v>42919</v>
      </c>
      <c r="I14" s="43">
        <f t="shared" si="0"/>
        <v>0.997271052238903</v>
      </c>
      <c r="K14" s="30" t="s">
        <v>17</v>
      </c>
      <c r="L14" s="202">
        <f>COUNT(Q4:Q93)</f>
        <v>51</v>
      </c>
      <c r="M14" s="11" t="e">
        <v>#NUM!</v>
      </c>
      <c r="N14" s="28" t="e">
        <f>_xll.qlYieldTSDiscount(L$4,M14,,Triggers!RTDataTrigger)</f>
        <v>#NUM!</v>
      </c>
      <c r="O14" s="37">
        <v>42919</v>
      </c>
      <c r="P14" s="26">
        <v>0.99619387679182803</v>
      </c>
      <c r="Q14" s="42">
        <f t="shared" si="3"/>
        <v>42919</v>
      </c>
      <c r="R14" s="43">
        <f t="shared" si="1"/>
        <v>0.99619387679182803</v>
      </c>
    </row>
    <row r="15" spans="2:18" x14ac:dyDescent="0.2">
      <c r="B15" s="31" t="s">
        <v>18</v>
      </c>
      <c r="C15" s="203" t="b">
        <f>_xll.xlPushShmLiborCurveName(C8,C9,H4:INDEX(H4:H93,C14),I4:INDEX(I4:I93,C14),C10,C11,C12,C13+0*TYPE(ManualTrigger))</f>
        <v>1</v>
      </c>
      <c r="D15" s="11" t="e">
        <v>#NUM!</v>
      </c>
      <c r="E15" s="28" t="e">
        <f>_xll.qlYieldTSDiscount(C$4,D15,,Triggers!RTDataTrigger)</f>
        <v>#NUM!</v>
      </c>
      <c r="F15" s="37">
        <v>42949</v>
      </c>
      <c r="G15" s="26">
        <v>0.99651201237117804</v>
      </c>
      <c r="H15" s="42">
        <f t="shared" si="2"/>
        <v>42949</v>
      </c>
      <c r="I15" s="43">
        <f t="shared" si="0"/>
        <v>0.99651201237117804</v>
      </c>
      <c r="K15" s="31" t="s">
        <v>18</v>
      </c>
      <c r="L15" s="203" t="b">
        <f>_xll.xlPushShmLiborCurveName(L8,L9,Q4:INDEX(Q4:Q93,L14),R4:INDEX(R4:R93,L14),L10,L11,L12,L13+0*TYPE(ManualTrigger))</f>
        <v>1</v>
      </c>
      <c r="M15" s="11" t="e">
        <v>#NUM!</v>
      </c>
      <c r="N15" s="28" t="e">
        <f>_xll.qlYieldTSDiscount(L$4,M15,,Triggers!RTDataTrigger)</f>
        <v>#NUM!</v>
      </c>
      <c r="O15" s="37">
        <v>42949</v>
      </c>
      <c r="P15" s="26">
        <v>0.99521130170952898</v>
      </c>
      <c r="Q15" s="42">
        <f t="shared" si="3"/>
        <v>42949</v>
      </c>
      <c r="R15" s="43">
        <f t="shared" si="1"/>
        <v>0.99521130170952898</v>
      </c>
    </row>
    <row r="16" spans="2:18" x14ac:dyDescent="0.2">
      <c r="D16" s="11" t="e">
        <v>#NUM!</v>
      </c>
      <c r="E16" s="28" t="e">
        <f>_xll.qlYieldTSDiscount(C$4,D16,,Triggers!RTDataTrigger)</f>
        <v>#NUM!</v>
      </c>
      <c r="F16" s="37">
        <v>42983</v>
      </c>
      <c r="G16" s="26">
        <v>0.99561524449449801</v>
      </c>
      <c r="H16" s="42">
        <f t="shared" si="2"/>
        <v>42983</v>
      </c>
      <c r="I16" s="43">
        <f t="shared" si="0"/>
        <v>0.99561524449449801</v>
      </c>
      <c r="M16" s="11" t="e">
        <v>#NUM!</v>
      </c>
      <c r="N16" s="28" t="e">
        <f>_xll.qlYieldTSDiscount(L$4,M16,,Triggers!RTDataTrigger)</f>
        <v>#NUM!</v>
      </c>
      <c r="O16" s="37">
        <v>42983</v>
      </c>
      <c r="P16" s="26">
        <v>0.99396960124757905</v>
      </c>
      <c r="Q16" s="42">
        <f t="shared" si="3"/>
        <v>42983</v>
      </c>
      <c r="R16" s="43">
        <f t="shared" si="1"/>
        <v>0.99396960124757905</v>
      </c>
    </row>
    <row r="17" spans="2:18" x14ac:dyDescent="0.2">
      <c r="D17" s="11" t="e">
        <v>#NUM!</v>
      </c>
      <c r="E17" s="28" t="e">
        <f>_xll.qlYieldTSDiscount(C$4,D17,,Triggers!RTDataTrigger)</f>
        <v>#NUM!</v>
      </c>
      <c r="F17" s="37">
        <v>43010</v>
      </c>
      <c r="G17" s="26">
        <v>0.99487931553747599</v>
      </c>
      <c r="H17" s="42">
        <f t="shared" si="2"/>
        <v>43010</v>
      </c>
      <c r="I17" s="43">
        <f t="shared" si="0"/>
        <v>0.99487931553747599</v>
      </c>
      <c r="J17" s="57"/>
      <c r="M17" s="11" t="e">
        <v>#NUM!</v>
      </c>
      <c r="N17" s="28" t="e">
        <f>_xll.qlYieldTSDiscount(L$4,M17,,Triggers!RTDataTrigger)</f>
        <v>#NUM!</v>
      </c>
      <c r="O17" s="37">
        <v>42998</v>
      </c>
      <c r="P17" s="26">
        <v>0.99340382598725996</v>
      </c>
      <c r="Q17" s="42">
        <f t="shared" si="3"/>
        <v>42998</v>
      </c>
      <c r="R17" s="43">
        <f t="shared" si="1"/>
        <v>0.99340382598725996</v>
      </c>
    </row>
    <row r="18" spans="2:18" x14ac:dyDescent="0.2">
      <c r="D18" s="11" t="e">
        <v>#NUM!</v>
      </c>
      <c r="E18" s="28" t="e">
        <f>_xll.qlYieldTSDiscount(C$4,D18,,Triggers!RTDataTrigger)</f>
        <v>#NUM!</v>
      </c>
      <c r="F18" s="37">
        <v>43041</v>
      </c>
      <c r="G18" s="26">
        <v>0.99399300267939295</v>
      </c>
      <c r="H18" s="42">
        <f t="shared" si="2"/>
        <v>43041</v>
      </c>
      <c r="I18" s="43">
        <f t="shared" si="0"/>
        <v>0.99399300267939295</v>
      </c>
      <c r="J18" s="57"/>
      <c r="K18" s="57"/>
      <c r="M18" s="11" t="e">
        <v>#NUM!</v>
      </c>
      <c r="N18" s="28" t="e">
        <f>_xll.qlYieldTSDiscount(L$4,M18,,Triggers!RTDataTrigger)</f>
        <v>#NUM!</v>
      </c>
      <c r="O18" s="37">
        <v>43089</v>
      </c>
      <c r="P18" s="26">
        <v>0.98994074844023205</v>
      </c>
      <c r="Q18" s="42">
        <f t="shared" si="3"/>
        <v>43089</v>
      </c>
      <c r="R18" s="43">
        <f t="shared" si="1"/>
        <v>0.98994074844023205</v>
      </c>
    </row>
    <row r="19" spans="2:18" x14ac:dyDescent="0.2">
      <c r="B19" s="57"/>
      <c r="D19" s="11" t="e">
        <v>#NUM!</v>
      </c>
      <c r="E19" s="28" t="e">
        <f>_xll.qlYieldTSDiscount(C$4,D19,,Triggers!RTDataTrigger)</f>
        <v>#NUM!</v>
      </c>
      <c r="F19" s="37">
        <v>43073</v>
      </c>
      <c r="G19" s="26">
        <v>0.99304440852378695</v>
      </c>
      <c r="H19" s="42">
        <f t="shared" si="2"/>
        <v>43073</v>
      </c>
      <c r="I19" s="43">
        <f t="shared" si="0"/>
        <v>0.99304440852378695</v>
      </c>
      <c r="J19" s="57"/>
      <c r="K19" s="57"/>
      <c r="M19" s="11" t="e">
        <v>#NUM!</v>
      </c>
      <c r="N19" s="28" t="e">
        <f>_xll.qlYieldTSDiscount(L$4,M19,,Triggers!RTDataTrigger)</f>
        <v>#NUM!</v>
      </c>
      <c r="O19" s="37">
        <v>43179</v>
      </c>
      <c r="P19" s="26">
        <v>0.98617801089673796</v>
      </c>
      <c r="Q19" s="42">
        <f t="shared" si="3"/>
        <v>43179</v>
      </c>
      <c r="R19" s="43">
        <f t="shared" si="1"/>
        <v>0.98617801089673796</v>
      </c>
    </row>
    <row r="20" spans="2:18" x14ac:dyDescent="0.2">
      <c r="B20" s="57" t="b">
        <v>1</v>
      </c>
      <c r="D20" s="11" t="e">
        <v>#NUM!</v>
      </c>
      <c r="E20" s="28" t="e">
        <f>_xll.qlYieldTSDiscount(C$4,D20,,Triggers!RTDataTrigger)</f>
        <v>#NUM!</v>
      </c>
      <c r="F20" s="37">
        <v>43102</v>
      </c>
      <c r="G20" s="26">
        <v>0.99214186386167802</v>
      </c>
      <c r="H20" s="42">
        <f t="shared" si="2"/>
        <v>43102</v>
      </c>
      <c r="I20" s="43">
        <f t="shared" si="0"/>
        <v>0.99214186386167802</v>
      </c>
      <c r="J20" s="57"/>
      <c r="K20" s="57"/>
      <c r="M20" s="11" t="e">
        <v>#NUM!</v>
      </c>
      <c r="N20" s="28" t="e">
        <f>_xll.qlYieldTSDiscount(L$4,M20,,Triggers!RTDataTrigger)</f>
        <v>#NUM!</v>
      </c>
      <c r="O20" s="37">
        <v>43272</v>
      </c>
      <c r="P20" s="26">
        <v>0.98204999964960904</v>
      </c>
      <c r="Q20" s="42">
        <f t="shared" si="3"/>
        <v>43272</v>
      </c>
      <c r="R20" s="43">
        <f t="shared" si="1"/>
        <v>0.98204999964960904</v>
      </c>
    </row>
    <row r="21" spans="2:18" x14ac:dyDescent="0.2">
      <c r="B21" s="57" t="b">
        <v>1</v>
      </c>
      <c r="D21" s="11" t="e">
        <v>#NUM!</v>
      </c>
      <c r="E21" s="28" t="e">
        <f>_xll.qlYieldTSDiscount(C$4,D21,,Triggers!RTDataTrigger)</f>
        <v>#NUM!</v>
      </c>
      <c r="F21" s="37">
        <v>43133</v>
      </c>
      <c r="G21" s="26">
        <v>0.99112674438242698</v>
      </c>
      <c r="H21" s="42">
        <f t="shared" si="2"/>
        <v>43133</v>
      </c>
      <c r="I21" s="43">
        <f t="shared" si="0"/>
        <v>0.99112674438242698</v>
      </c>
      <c r="J21" s="57"/>
      <c r="K21" s="57"/>
      <c r="M21" s="11" t="e">
        <v>#NUM!</v>
      </c>
      <c r="N21" s="28" t="e">
        <f>_xll.qlYieldTSDiscount(L$4,M21,,Triggers!RTDataTrigger)</f>
        <v>#NUM!</v>
      </c>
      <c r="O21" s="37">
        <v>43363</v>
      </c>
      <c r="P21" s="26">
        <v>0.97776408791115699</v>
      </c>
      <c r="Q21" s="42">
        <f t="shared" si="3"/>
        <v>43363</v>
      </c>
      <c r="R21" s="43">
        <f t="shared" si="1"/>
        <v>0.97776408791115699</v>
      </c>
    </row>
    <row r="22" spans="2:18" x14ac:dyDescent="0.2">
      <c r="B22" s="57"/>
      <c r="D22" s="11" t="e">
        <v>#NUM!</v>
      </c>
      <c r="E22" s="28" t="e">
        <f>_xll.qlYieldTSDiscount(C$4,D22,,Triggers!RTDataTrigger)</f>
        <v>#NUM!</v>
      </c>
      <c r="F22" s="37">
        <v>43161</v>
      </c>
      <c r="G22" s="26">
        <v>0.990201014678321</v>
      </c>
      <c r="H22" s="42">
        <f t="shared" si="2"/>
        <v>43161</v>
      </c>
      <c r="I22" s="43">
        <f t="shared" si="0"/>
        <v>0.990201014678321</v>
      </c>
      <c r="J22" s="57"/>
      <c r="K22" s="57"/>
      <c r="M22" s="11" t="e">
        <v>#NUM!</v>
      </c>
      <c r="N22" s="28" t="e">
        <f>_xll.qlYieldTSDiscount(L$4,M22,,Triggers!RTDataTrigger)</f>
        <v>#NUM!</v>
      </c>
      <c r="O22" s="37">
        <v>43453</v>
      </c>
      <c r="P22" s="26">
        <v>0.97331304183196299</v>
      </c>
      <c r="Q22" s="42">
        <f t="shared" si="3"/>
        <v>43453</v>
      </c>
      <c r="R22" s="43">
        <f t="shared" si="1"/>
        <v>0.97331304183196299</v>
      </c>
    </row>
    <row r="23" spans="2:18" x14ac:dyDescent="0.2">
      <c r="B23" s="57"/>
      <c r="D23" s="11" t="e">
        <v>#NUM!</v>
      </c>
      <c r="E23" s="28" t="e">
        <f>_xll.qlYieldTSDiscount(C$4,D23,,Triggers!RTDataTrigger)</f>
        <v>#NUM!</v>
      </c>
      <c r="F23" s="37">
        <v>43255</v>
      </c>
      <c r="G23" s="26">
        <v>0.98691906179486999</v>
      </c>
      <c r="H23" s="42">
        <f t="shared" si="2"/>
        <v>43255</v>
      </c>
      <c r="I23" s="43">
        <f t="shared" si="0"/>
        <v>0.98691906179486999</v>
      </c>
      <c r="J23" s="57"/>
      <c r="K23" s="57"/>
      <c r="M23" s="11" t="e">
        <v>#NUM!</v>
      </c>
      <c r="N23" s="28" t="e">
        <f>_xll.qlYieldTSDiscount(L$4,M23,,Triggers!RTDataTrigger)</f>
        <v>#NUM!</v>
      </c>
      <c r="O23" s="37">
        <v>43543</v>
      </c>
      <c r="P23" s="26">
        <v>0.96863133209702501</v>
      </c>
      <c r="Q23" s="42">
        <f t="shared" si="3"/>
        <v>43543</v>
      </c>
      <c r="R23" s="43">
        <f t="shared" si="1"/>
        <v>0.96863133209702501</v>
      </c>
    </row>
    <row r="24" spans="2:18" x14ac:dyDescent="0.2">
      <c r="B24" s="57"/>
      <c r="D24" s="11" t="e">
        <v>#NUM!</v>
      </c>
      <c r="E24" s="28" t="e">
        <f>_xll.qlYieldTSDiscount(C$4,D24,,Triggers!RTDataTrigger)</f>
        <v>#NUM!</v>
      </c>
      <c r="F24" s="37">
        <v>43347</v>
      </c>
      <c r="G24" s="26">
        <v>0.983453347907427</v>
      </c>
      <c r="H24" s="42">
        <f t="shared" si="2"/>
        <v>43347</v>
      </c>
      <c r="I24" s="43">
        <f t="shared" si="0"/>
        <v>0.983453347907427</v>
      </c>
      <c r="J24" s="57"/>
      <c r="K24" s="57"/>
      <c r="M24" s="11" t="e">
        <v>#NUM!</v>
      </c>
      <c r="N24" s="28" t="e">
        <f>_xll.qlYieldTSDiscount(L$4,M24,,Triggers!RTDataTrigger)</f>
        <v>#NUM!</v>
      </c>
      <c r="O24" s="37">
        <v>43892</v>
      </c>
      <c r="P24" s="26">
        <v>0.94955565606595504</v>
      </c>
      <c r="Q24" s="42">
        <f t="shared" si="3"/>
        <v>43892</v>
      </c>
      <c r="R24" s="43">
        <f t="shared" si="1"/>
        <v>0.94955565606595504</v>
      </c>
    </row>
    <row r="25" spans="2:18" x14ac:dyDescent="0.2">
      <c r="B25" s="57"/>
      <c r="D25" s="11" t="e">
        <v>#NUM!</v>
      </c>
      <c r="E25" s="28" t="e">
        <f>_xll.qlYieldTSDiscount(C$4,D25,,Triggers!RTDataTrigger)</f>
        <v>#NUM!</v>
      </c>
      <c r="F25" s="37">
        <v>43437</v>
      </c>
      <c r="G25" s="26">
        <v>0.97984910736757702</v>
      </c>
      <c r="H25" s="42">
        <f t="shared" si="2"/>
        <v>43437</v>
      </c>
      <c r="I25" s="43">
        <f t="shared" si="0"/>
        <v>0.97984910736757702</v>
      </c>
      <c r="J25" s="57"/>
      <c r="K25" s="57"/>
      <c r="M25" s="11" t="e">
        <v>#NUM!</v>
      </c>
      <c r="N25" s="28" t="e">
        <f>_xll.qlYieldTSDiscount(L$4,M25,,Triggers!RTDataTrigger)</f>
        <v>#NUM!</v>
      </c>
      <c r="O25" s="37">
        <v>44257</v>
      </c>
      <c r="P25" s="26">
        <v>0.92819100957603995</v>
      </c>
      <c r="Q25" s="42">
        <f t="shared" si="3"/>
        <v>44257</v>
      </c>
      <c r="R25" s="43">
        <f t="shared" si="1"/>
        <v>0.92819100957603995</v>
      </c>
    </row>
    <row r="26" spans="2:18" x14ac:dyDescent="0.2">
      <c r="B26" s="57"/>
      <c r="D26" s="11" t="e">
        <v>#NUM!</v>
      </c>
      <c r="E26" s="28" t="e">
        <f>_xll.qlYieldTSDiscount(C$4,D26,,Triggers!RTDataTrigger)</f>
        <v>#NUM!</v>
      </c>
      <c r="F26" s="37">
        <v>43528</v>
      </c>
      <c r="G26" s="26">
        <v>0.97599234949508396</v>
      </c>
      <c r="H26" s="42">
        <f t="shared" si="2"/>
        <v>43528</v>
      </c>
      <c r="I26" s="43">
        <f t="shared" si="0"/>
        <v>0.97599234949508396</v>
      </c>
      <c r="J26" s="57"/>
      <c r="K26" s="57"/>
      <c r="M26" s="11" t="e">
        <v>#NUM!</v>
      </c>
      <c r="N26" s="28" t="e">
        <f>_xll.qlYieldTSDiscount(L$4,M26,,Triggers!RTDataTrigger)</f>
        <v>#NUM!</v>
      </c>
      <c r="O26" s="37">
        <v>44622</v>
      </c>
      <c r="P26" s="26">
        <v>0.90611222757783605</v>
      </c>
      <c r="Q26" s="42">
        <f t="shared" si="3"/>
        <v>44622</v>
      </c>
      <c r="R26" s="43">
        <f t="shared" si="1"/>
        <v>0.90611222757783605</v>
      </c>
    </row>
    <row r="27" spans="2:18" x14ac:dyDescent="0.2">
      <c r="B27" s="57"/>
      <c r="D27" s="11" t="e">
        <v>#NUM!</v>
      </c>
      <c r="E27" s="28" t="e">
        <f>_xll.qlYieldTSDiscount(C$4,D27,,Triggers!RTDataTrigger)</f>
        <v>#NUM!</v>
      </c>
      <c r="F27" s="37">
        <v>43892</v>
      </c>
      <c r="G27" s="26">
        <v>0.95940308457062795</v>
      </c>
      <c r="H27" s="42">
        <f t="shared" si="2"/>
        <v>43892</v>
      </c>
      <c r="I27" s="43">
        <f t="shared" si="0"/>
        <v>0.95940308457062795</v>
      </c>
      <c r="J27" s="57"/>
      <c r="K27" s="57"/>
      <c r="M27" s="11" t="e">
        <v>#NUM!</v>
      </c>
      <c r="N27" s="28" t="e">
        <f>_xll.qlYieldTSDiscount(L$4,M27,,Triggers!RTDataTrigger)</f>
        <v>#NUM!</v>
      </c>
      <c r="O27" s="37">
        <v>44987</v>
      </c>
      <c r="P27" s="26">
        <v>0.883295365112299</v>
      </c>
      <c r="Q27" s="42">
        <f t="shared" si="3"/>
        <v>44987</v>
      </c>
      <c r="R27" s="43">
        <f t="shared" si="1"/>
        <v>0.883295365112299</v>
      </c>
    </row>
    <row r="28" spans="2:18" x14ac:dyDescent="0.2">
      <c r="B28" s="57"/>
      <c r="D28" s="11" t="e">
        <v>#NUM!</v>
      </c>
      <c r="E28" s="28" t="e">
        <f>_xll.qlYieldTSDiscount(C$4,D28,,Triggers!RTDataTrigger)</f>
        <v>#NUM!</v>
      </c>
      <c r="F28" s="37">
        <v>44257</v>
      </c>
      <c r="G28" s="26">
        <v>0.94130512824638202</v>
      </c>
      <c r="H28" s="42">
        <f t="shared" si="2"/>
        <v>44257</v>
      </c>
      <c r="I28" s="43">
        <f t="shared" si="0"/>
        <v>0.94130512824638202</v>
      </c>
      <c r="J28" s="57"/>
      <c r="K28" s="57"/>
      <c r="M28" s="11" t="e">
        <v>#NUM!</v>
      </c>
      <c r="N28" s="28" t="e">
        <f>_xll.qlYieldTSDiscount(L$4,M28,,Triggers!RTDataTrigger)</f>
        <v>#NUM!</v>
      </c>
      <c r="O28" s="37">
        <v>45355</v>
      </c>
      <c r="P28" s="26">
        <v>0.86007589626554204</v>
      </c>
      <c r="Q28" s="42">
        <f t="shared" si="3"/>
        <v>45355</v>
      </c>
      <c r="R28" s="43">
        <f t="shared" si="1"/>
        <v>0.86007589626554204</v>
      </c>
    </row>
    <row r="29" spans="2:18" x14ac:dyDescent="0.2">
      <c r="B29" s="57"/>
      <c r="D29" s="11" t="e">
        <v>#NUM!</v>
      </c>
      <c r="E29" s="28" t="e">
        <f>_xll.qlYieldTSDiscount(C$4,D29,,Triggers!RTDataTrigger)</f>
        <v>#NUM!</v>
      </c>
      <c r="F29" s="37">
        <v>44622</v>
      </c>
      <c r="G29" s="26">
        <v>0.92236848407296501</v>
      </c>
      <c r="H29" s="42">
        <f t="shared" si="2"/>
        <v>44622</v>
      </c>
      <c r="I29" s="43">
        <f t="shared" si="0"/>
        <v>0.92236848407296501</v>
      </c>
      <c r="J29" s="57"/>
      <c r="K29" s="57"/>
      <c r="M29" s="11" t="e">
        <v>#NUM!</v>
      </c>
      <c r="N29" s="28" t="e">
        <f>_xll.qlYieldTSDiscount(L$4,M29,,Triggers!RTDataTrigger)</f>
        <v>#NUM!</v>
      </c>
      <c r="O29" s="37">
        <v>45719</v>
      </c>
      <c r="P29" s="26">
        <v>0.83714562326179598</v>
      </c>
      <c r="Q29" s="42">
        <f t="shared" si="3"/>
        <v>45719</v>
      </c>
      <c r="R29" s="43">
        <f t="shared" si="1"/>
        <v>0.83714562326179598</v>
      </c>
    </row>
    <row r="30" spans="2:18" x14ac:dyDescent="0.2">
      <c r="B30" s="57"/>
      <c r="D30" s="11" t="e">
        <v>#NUM!</v>
      </c>
      <c r="E30" s="28" t="e">
        <f>_xll.qlYieldTSDiscount(C$4,D30,,Triggers!RTDataTrigger)</f>
        <v>#NUM!</v>
      </c>
      <c r="F30" s="37">
        <v>44987</v>
      </c>
      <c r="G30" s="26">
        <v>0.90267169625280297</v>
      </c>
      <c r="H30" s="42">
        <f t="shared" si="2"/>
        <v>44987</v>
      </c>
      <c r="I30" s="43">
        <f t="shared" si="0"/>
        <v>0.90267169625280297</v>
      </c>
      <c r="J30" s="57"/>
      <c r="K30" s="57"/>
      <c r="M30" s="11" t="e">
        <v>#NUM!</v>
      </c>
      <c r="N30" s="28" t="e">
        <f>_xll.qlYieldTSDiscount(L$4,M30,,Triggers!RTDataTrigger)</f>
        <v>#NUM!</v>
      </c>
      <c r="O30" s="37">
        <v>46083</v>
      </c>
      <c r="P30" s="26">
        <v>0.81435190504689003</v>
      </c>
      <c r="Q30" s="42">
        <f t="shared" si="3"/>
        <v>46083</v>
      </c>
      <c r="R30" s="43">
        <f t="shared" si="1"/>
        <v>0.81435190504689003</v>
      </c>
    </row>
    <row r="31" spans="2:18" x14ac:dyDescent="0.2">
      <c r="B31" s="57"/>
      <c r="D31" s="11" t="e">
        <v>#NUM!</v>
      </c>
      <c r="E31" s="28" t="e">
        <f>_xll.qlYieldTSDiscount(C$4,D31,,Triggers!RTDataTrigger)</f>
        <v>#NUM!</v>
      </c>
      <c r="F31" s="37">
        <v>45355</v>
      </c>
      <c r="G31" s="26">
        <v>0.88253043680835097</v>
      </c>
      <c r="H31" s="42">
        <f t="shared" si="2"/>
        <v>45355</v>
      </c>
      <c r="I31" s="43">
        <f t="shared" si="0"/>
        <v>0.88253043680835097</v>
      </c>
      <c r="J31" s="57"/>
      <c r="K31" s="57"/>
      <c r="M31" s="11" t="e">
        <v>#NUM!</v>
      </c>
      <c r="N31" s="28" t="e">
        <f>_xll.qlYieldTSDiscount(L$4,M31,,Triggers!RTDataTrigger)</f>
        <v>#NUM!</v>
      </c>
      <c r="O31" s="37">
        <v>46448</v>
      </c>
      <c r="P31" s="26">
        <v>0.79172152101531401</v>
      </c>
      <c r="Q31" s="42">
        <f t="shared" si="3"/>
        <v>46448</v>
      </c>
      <c r="R31" s="43">
        <f t="shared" si="1"/>
        <v>0.79172152101531401</v>
      </c>
    </row>
    <row r="32" spans="2:18" x14ac:dyDescent="0.2">
      <c r="B32" s="57"/>
      <c r="D32" s="11" t="e">
        <v>#NUM!</v>
      </c>
      <c r="E32" s="28" t="e">
        <f>_xll.qlYieldTSDiscount(C$4,D32,,Triggers!RTDataTrigger)</f>
        <v>#NUM!</v>
      </c>
      <c r="F32" s="37">
        <v>45719</v>
      </c>
      <c r="G32" s="26">
        <v>0.86258466560874603</v>
      </c>
      <c r="H32" s="42">
        <f t="shared" si="2"/>
        <v>45719</v>
      </c>
      <c r="I32" s="43">
        <f t="shared" si="0"/>
        <v>0.86258466560874603</v>
      </c>
      <c r="J32" s="57"/>
      <c r="K32" s="57"/>
      <c r="M32" s="11" t="e">
        <v>#NUM!</v>
      </c>
      <c r="N32" s="28" t="e">
        <f>_xll.qlYieldTSDiscount(L$4,M32,,Triggers!RTDataTrigger)</f>
        <v>#NUM!</v>
      </c>
      <c r="O32" s="37">
        <v>46814</v>
      </c>
      <c r="P32" s="26">
        <v>0.76935757174448705</v>
      </c>
      <c r="Q32" s="42">
        <f t="shared" si="3"/>
        <v>46814</v>
      </c>
      <c r="R32" s="43">
        <f t="shared" si="1"/>
        <v>0.76935757174448705</v>
      </c>
    </row>
    <row r="33" spans="2:18" x14ac:dyDescent="0.2">
      <c r="B33" s="57"/>
      <c r="D33" s="11" t="e">
        <v>#NUM!</v>
      </c>
      <c r="E33" s="28" t="e">
        <f>_xll.qlYieldTSDiscount(C$4,D33,,Triggers!RTDataTrigger)</f>
        <v>#NUM!</v>
      </c>
      <c r="F33" s="37">
        <v>46083</v>
      </c>
      <c r="G33" s="26">
        <v>0.84270887824719398</v>
      </c>
      <c r="H33" s="42">
        <f t="shared" si="2"/>
        <v>46083</v>
      </c>
      <c r="I33" s="43">
        <f t="shared" si="0"/>
        <v>0.84270887824719398</v>
      </c>
      <c r="J33" s="57"/>
      <c r="K33" s="57"/>
      <c r="M33" s="11" t="e">
        <v>#NUM!</v>
      </c>
      <c r="N33" s="28" t="e">
        <f>_xll.qlYieldTSDiscount(L$4,M33,,Triggers!RTDataTrigger)</f>
        <v>#NUM!</v>
      </c>
      <c r="O33" s="37">
        <v>47179</v>
      </c>
      <c r="P33" s="26">
        <v>0.74760604977419498</v>
      </c>
      <c r="Q33" s="42">
        <f t="shared" si="3"/>
        <v>47179</v>
      </c>
      <c r="R33" s="43">
        <f t="shared" si="1"/>
        <v>0.74760604977419498</v>
      </c>
    </row>
    <row r="34" spans="2:18" x14ac:dyDescent="0.2">
      <c r="B34" s="57"/>
      <c r="D34" s="11" t="e">
        <v>#NUM!</v>
      </c>
      <c r="E34" s="28" t="e">
        <f>_xll.qlYieldTSDiscount(C$4,D34,,Triggers!RTDataTrigger)</f>
        <v>#NUM!</v>
      </c>
      <c r="F34" s="37">
        <v>46448</v>
      </c>
      <c r="G34" s="26">
        <v>0.82302464961514898</v>
      </c>
      <c r="H34" s="42">
        <f t="shared" si="2"/>
        <v>46448</v>
      </c>
      <c r="I34" s="43">
        <f t="shared" si="0"/>
        <v>0.82302464961514898</v>
      </c>
      <c r="J34" s="57"/>
      <c r="K34" s="57"/>
      <c r="M34" s="11" t="e">
        <v>#NUM!</v>
      </c>
      <c r="N34" s="28" t="e">
        <f>_xll.qlYieldTSDiscount(L$4,M34,,Triggers!RTDataTrigger)</f>
        <v>#NUM!</v>
      </c>
      <c r="O34" s="37">
        <v>47546</v>
      </c>
      <c r="P34" s="26">
        <v>0.72647003016301404</v>
      </c>
      <c r="Q34" s="42">
        <f t="shared" si="3"/>
        <v>47546</v>
      </c>
      <c r="R34" s="43">
        <f t="shared" si="1"/>
        <v>0.72647003016301404</v>
      </c>
    </row>
    <row r="35" spans="2:18" x14ac:dyDescent="0.2">
      <c r="B35" s="57"/>
      <c r="D35" s="11" t="e">
        <v>#NUM!</v>
      </c>
      <c r="E35" s="28" t="e">
        <f>_xll.qlYieldTSDiscount(C$4,D35,,Triggers!RTDataTrigger)</f>
        <v>#NUM!</v>
      </c>
      <c r="F35" s="37">
        <v>47179</v>
      </c>
      <c r="G35" s="26">
        <v>0.78411764049185495</v>
      </c>
      <c r="H35" s="42">
        <f t="shared" si="2"/>
        <v>47179</v>
      </c>
      <c r="I35" s="43">
        <f t="shared" si="0"/>
        <v>0.78411764049185495</v>
      </c>
      <c r="J35" s="57"/>
      <c r="K35" s="57"/>
      <c r="M35" s="11" t="e">
        <v>#NUM!</v>
      </c>
      <c r="N35" s="28" t="e">
        <f>_xll.qlYieldTSDiscount(L$4,M35,,Triggers!RTDataTrigger)</f>
        <v>#NUM!</v>
      </c>
      <c r="O35" s="37">
        <v>47910</v>
      </c>
      <c r="P35" s="26">
        <v>0.70618725627952295</v>
      </c>
      <c r="Q35" s="42">
        <f t="shared" si="3"/>
        <v>47910</v>
      </c>
      <c r="R35" s="43">
        <f t="shared" si="1"/>
        <v>0.70618725627952295</v>
      </c>
    </row>
    <row r="36" spans="2:18" x14ac:dyDescent="0.2">
      <c r="B36" s="57"/>
      <c r="D36" s="11" t="e">
        <v>#NUM!</v>
      </c>
      <c r="E36" s="28" t="e">
        <f>_xll.qlYieldTSDiscount(C$4,D36,,Triggers!RTDataTrigger)</f>
        <v>#NUM!</v>
      </c>
      <c r="F36" s="37">
        <v>48275</v>
      </c>
      <c r="G36" s="26">
        <v>0.72989933910243299</v>
      </c>
      <c r="H36" s="42">
        <f t="shared" si="2"/>
        <v>48275</v>
      </c>
      <c r="I36" s="43">
        <f t="shared" si="0"/>
        <v>0.72989933910243299</v>
      </c>
      <c r="J36" s="57"/>
      <c r="K36" s="57"/>
      <c r="M36" s="11" t="e">
        <v>#NUM!</v>
      </c>
      <c r="N36" s="28" t="e">
        <f>_xll.qlYieldTSDiscount(L$4,M36,,Triggers!RTDataTrigger)</f>
        <v>#NUM!</v>
      </c>
      <c r="O36" s="37">
        <v>48275</v>
      </c>
      <c r="P36" s="26">
        <v>0.68643545301602005</v>
      </c>
      <c r="Q36" s="42">
        <f t="shared" si="3"/>
        <v>48275</v>
      </c>
      <c r="R36" s="43">
        <f t="shared" si="1"/>
        <v>0.68643545301602005</v>
      </c>
    </row>
    <row r="37" spans="2:18" x14ac:dyDescent="0.2">
      <c r="B37" s="57"/>
      <c r="D37" s="11" t="e">
        <v>#NUM!</v>
      </c>
      <c r="E37" s="28" t="e">
        <f>_xll.qlYieldTSDiscount(C$4,D37,,Triggers!RTDataTrigger)</f>
        <v>#NUM!</v>
      </c>
      <c r="F37" s="37">
        <v>50101</v>
      </c>
      <c r="G37" s="26">
        <v>0.64862847700164505</v>
      </c>
      <c r="H37" s="42">
        <f t="shared" si="2"/>
        <v>50101</v>
      </c>
      <c r="I37" s="43">
        <f t="shared" si="0"/>
        <v>0.64862847700164505</v>
      </c>
      <c r="J37" s="57"/>
      <c r="K37" s="57"/>
      <c r="M37" s="11" t="e">
        <v>#NUM!</v>
      </c>
      <c r="N37" s="28" t="e">
        <f>_xll.qlYieldTSDiscount(L$4,M37,,Triggers!RTDataTrigger)</f>
        <v>#NUM!</v>
      </c>
      <c r="O37" s="37">
        <v>48640</v>
      </c>
      <c r="P37" s="26">
        <v>0.66720557666428804</v>
      </c>
      <c r="Q37" s="42">
        <f t="shared" si="3"/>
        <v>48640</v>
      </c>
      <c r="R37" s="43">
        <f t="shared" si="1"/>
        <v>0.66720557666428804</v>
      </c>
    </row>
    <row r="38" spans="2:18" x14ac:dyDescent="0.2">
      <c r="B38" s="57"/>
      <c r="D38" s="11" t="e">
        <v>#NUM!</v>
      </c>
      <c r="E38" s="28" t="e">
        <f>_xll.qlYieldTSDiscount(C$4,D38,,Triggers!RTDataTrigger)</f>
        <v>#NUM!</v>
      </c>
      <c r="F38" s="37">
        <v>51928</v>
      </c>
      <c r="G38" s="26">
        <v>0.58057773790848499</v>
      </c>
      <c r="H38" s="42">
        <f t="shared" si="2"/>
        <v>51928</v>
      </c>
      <c r="I38" s="43">
        <f t="shared" si="0"/>
        <v>0.58057773790848499</v>
      </c>
      <c r="J38" s="57"/>
      <c r="K38" s="57"/>
      <c r="M38" s="11" t="e">
        <v>#NUM!</v>
      </c>
      <c r="N38" s="28" t="e">
        <f>_xll.qlYieldTSDiscount(L$4,M38,,Triggers!RTDataTrigger)</f>
        <v>#NUM!</v>
      </c>
      <c r="O38" s="37">
        <v>49005</v>
      </c>
      <c r="P38" s="26">
        <v>0.64853121126554503</v>
      </c>
      <c r="Q38" s="42">
        <f t="shared" si="3"/>
        <v>49005</v>
      </c>
      <c r="R38" s="43">
        <f t="shared" si="1"/>
        <v>0.64853121126554503</v>
      </c>
    </row>
    <row r="39" spans="2:18" x14ac:dyDescent="0.2">
      <c r="B39" s="57"/>
      <c r="D39" s="11" t="e">
        <v>#NUM!</v>
      </c>
      <c r="E39" s="28" t="e">
        <f>_xll.qlYieldTSDiscount(C$4,D39,,Triggers!RTDataTrigger)</f>
        <v>#NUM!</v>
      </c>
      <c r="F39" s="37">
        <v>53755</v>
      </c>
      <c r="G39" s="26">
        <v>0.52160413829325802</v>
      </c>
      <c r="H39" s="42">
        <f t="shared" si="2"/>
        <v>53755</v>
      </c>
      <c r="I39" s="43">
        <f t="shared" si="0"/>
        <v>0.52160413829325802</v>
      </c>
      <c r="J39" s="57"/>
      <c r="K39" s="57"/>
      <c r="M39" s="11" t="e">
        <v>#NUM!</v>
      </c>
      <c r="N39" s="28" t="e">
        <f>_xll.qlYieldTSDiscount(L$4,M39,,Triggers!RTDataTrigger)</f>
        <v>#NUM!</v>
      </c>
      <c r="O39" s="37">
        <v>49370</v>
      </c>
      <c r="P39" s="26">
        <v>0.63045577863495394</v>
      </c>
      <c r="Q39" s="42">
        <f t="shared" si="3"/>
        <v>49370</v>
      </c>
      <c r="R39" s="43">
        <f t="shared" si="1"/>
        <v>0.63045577863495394</v>
      </c>
    </row>
    <row r="40" spans="2:18" x14ac:dyDescent="0.2">
      <c r="B40" s="57"/>
      <c r="D40" s="11" t="e">
        <v>#NUM!</v>
      </c>
      <c r="E40" s="28" t="e">
        <f>_xll.qlYieldTSDiscount(C$4,D40,,Triggers!RTDataTrigger)</f>
        <v>#NUM!</v>
      </c>
      <c r="F40" s="37">
        <v>57406</v>
      </c>
      <c r="G40" s="26">
        <v>0.42379032609473699</v>
      </c>
      <c r="H40" s="42">
        <f t="shared" si="2"/>
        <v>57406</v>
      </c>
      <c r="I40" s="43">
        <f t="shared" si="0"/>
        <v>0.42379032609473699</v>
      </c>
      <c r="J40" s="57"/>
      <c r="K40" s="57"/>
      <c r="M40" s="11" t="e">
        <v>#NUM!</v>
      </c>
      <c r="N40" s="28" t="e">
        <f>_xll.qlYieldTSDiscount(L$4,M40,,Triggers!RTDataTrigger)</f>
        <v>#NUM!</v>
      </c>
      <c r="O40" s="37">
        <v>49737</v>
      </c>
      <c r="P40" s="26">
        <v>0.61292645929258605</v>
      </c>
      <c r="Q40" s="42">
        <f t="shared" si="3"/>
        <v>49737</v>
      </c>
      <c r="R40" s="43">
        <f t="shared" si="1"/>
        <v>0.61292645929258605</v>
      </c>
    </row>
    <row r="41" spans="2:18" x14ac:dyDescent="0.2">
      <c r="B41" s="57"/>
      <c r="D41" s="11" t="e">
        <v>#NUM!</v>
      </c>
      <c r="E41" s="28" t="e">
        <f>_xll.qlYieldTSDiscount(C$4,D41,,Triggers!RTDataTrigger)</f>
        <v>#NUM!</v>
      </c>
      <c r="F41" s="37">
        <v>61058</v>
      </c>
      <c r="G41" s="26">
        <v>0.34884272697838098</v>
      </c>
      <c r="H41" s="42">
        <f t="shared" si="2"/>
        <v>61058</v>
      </c>
      <c r="I41" s="43">
        <f t="shared" si="0"/>
        <v>0.34884272697838098</v>
      </c>
      <c r="J41" s="57"/>
      <c r="K41" s="57"/>
      <c r="M41" s="11" t="e">
        <v>#NUM!</v>
      </c>
      <c r="N41" s="28" t="e">
        <f>_xll.qlYieldTSDiscount(L$4,M41,,Triggers!RTDataTrigger)</f>
        <v>#NUM!</v>
      </c>
      <c r="O41" s="37">
        <v>50101</v>
      </c>
      <c r="P41" s="26">
        <v>0.59621214823910296</v>
      </c>
      <c r="Q41" s="42">
        <f t="shared" si="3"/>
        <v>50101</v>
      </c>
      <c r="R41" s="43">
        <f t="shared" si="1"/>
        <v>0.59621214823910296</v>
      </c>
    </row>
    <row r="42" spans="2:18" x14ac:dyDescent="0.2">
      <c r="B42" s="57"/>
      <c r="D42" s="11" t="e">
        <v>#NUM!</v>
      </c>
      <c r="E42" s="28" t="e">
        <f>_xll.qlYieldTSDiscount(C$4,D42,,Triggers!RTDataTrigger)</f>
        <v>#NUM!</v>
      </c>
      <c r="F42" s="37">
        <v>64711</v>
      </c>
      <c r="G42" s="26">
        <v>0.28803122900599398</v>
      </c>
      <c r="H42" s="42">
        <f t="shared" si="2"/>
        <v>64711</v>
      </c>
      <c r="I42" s="43">
        <f t="shared" si="0"/>
        <v>0.28803122900599398</v>
      </c>
      <c r="J42" s="57"/>
      <c r="K42" s="57"/>
      <c r="M42" s="11" t="e">
        <v>#NUM!</v>
      </c>
      <c r="N42" s="28" t="e">
        <f>_xll.qlYieldTSDiscount(L$4,M42,,Triggers!RTDataTrigger)</f>
        <v>#NUM!</v>
      </c>
      <c r="O42" s="37">
        <v>50466</v>
      </c>
      <c r="P42" s="26">
        <v>0.58013629087644403</v>
      </c>
      <c r="Q42" s="42">
        <f t="shared" si="3"/>
        <v>50466</v>
      </c>
      <c r="R42" s="43">
        <f t="shared" si="1"/>
        <v>0.58013629087644403</v>
      </c>
    </row>
    <row r="43" spans="2:18" x14ac:dyDescent="0.2">
      <c r="B43" s="57"/>
      <c r="D43" s="11" t="e">
        <v>#NUM!</v>
      </c>
      <c r="E43" s="28" t="e">
        <f>_xll.qlYieldTSDiscount(C$4,D43,,Triggers!RTDataTrigger)</f>
        <v>#NUM!</v>
      </c>
      <c r="F43" s="37" t="e">
        <v>#N/A</v>
      </c>
      <c r="G43" s="26" t="e">
        <v>#NUM!</v>
      </c>
      <c r="H43" s="42" t="e">
        <f t="shared" si="2"/>
        <v>#N/A</v>
      </c>
      <c r="I43" s="43" t="e">
        <f t="shared" si="0"/>
        <v>#NUM!</v>
      </c>
      <c r="J43" s="57"/>
      <c r="K43" s="57"/>
      <c r="M43" s="11" t="e">
        <v>#NUM!</v>
      </c>
      <c r="N43" s="28" t="e">
        <f>_xll.qlYieldTSDiscount(L$4,M43,,Triggers!RTDataTrigger)</f>
        <v>#NUM!</v>
      </c>
      <c r="O43" s="37">
        <v>50831</v>
      </c>
      <c r="P43" s="26">
        <v>0.56469540932511897</v>
      </c>
      <c r="Q43" s="42">
        <f t="shared" si="3"/>
        <v>50831</v>
      </c>
      <c r="R43" s="43">
        <f t="shared" si="1"/>
        <v>0.56469540932511897</v>
      </c>
    </row>
    <row r="44" spans="2:18" x14ac:dyDescent="0.2">
      <c r="B44" s="57"/>
      <c r="D44" s="11" t="e">
        <v>#NUM!</v>
      </c>
      <c r="E44" s="28" t="e">
        <f>_xll.qlYieldTSDiscount(C$4,D44,,Triggers!RTDataTrigger)</f>
        <v>#NUM!</v>
      </c>
      <c r="F44" s="37" t="e">
        <v>#N/A</v>
      </c>
      <c r="G44" s="26" t="e">
        <v>#NUM!</v>
      </c>
      <c r="H44" s="42" t="e">
        <f t="shared" si="2"/>
        <v>#N/A</v>
      </c>
      <c r="I44" s="43" t="e">
        <f t="shared" si="0"/>
        <v>#NUM!</v>
      </c>
      <c r="J44" s="57"/>
      <c r="K44" s="57"/>
      <c r="M44" s="11" t="e">
        <v>#NUM!</v>
      </c>
      <c r="N44" s="28" t="e">
        <f>_xll.qlYieldTSDiscount(L$4,M44,,Triggers!RTDataTrigger)</f>
        <v>#NUM!</v>
      </c>
      <c r="O44" s="37">
        <v>51197</v>
      </c>
      <c r="P44" s="26">
        <v>0.54978577156052699</v>
      </c>
      <c r="Q44" s="42">
        <f t="shared" si="3"/>
        <v>51197</v>
      </c>
      <c r="R44" s="43">
        <f t="shared" si="1"/>
        <v>0.54978577156052699</v>
      </c>
    </row>
    <row r="45" spans="2:18" x14ac:dyDescent="0.2">
      <c r="B45" s="57"/>
      <c r="D45" s="11" t="e">
        <v>#NUM!</v>
      </c>
      <c r="E45" s="28" t="e">
        <f>_xll.qlYieldTSDiscount(C$4,D45,,Triggers!RTDataTrigger)</f>
        <v>#NUM!</v>
      </c>
      <c r="F45" s="37" t="e">
        <v>#N/A</v>
      </c>
      <c r="G45" s="26" t="e">
        <v>#NUM!</v>
      </c>
      <c r="H45" s="42" t="e">
        <f t="shared" si="2"/>
        <v>#N/A</v>
      </c>
      <c r="I45" s="43" t="e">
        <f t="shared" si="0"/>
        <v>#NUM!</v>
      </c>
      <c r="J45" s="57"/>
      <c r="K45" s="57"/>
      <c r="M45" s="11" t="e">
        <v>#NUM!</v>
      </c>
      <c r="N45" s="28" t="e">
        <f>_xll.qlYieldTSDiscount(L$4,M45,,Triggers!RTDataTrigger)</f>
        <v>#NUM!</v>
      </c>
      <c r="O45" s="37">
        <v>51564</v>
      </c>
      <c r="P45" s="26">
        <v>0.53535855541084698</v>
      </c>
      <c r="Q45" s="42">
        <f t="shared" si="3"/>
        <v>51564</v>
      </c>
      <c r="R45" s="43">
        <f t="shared" si="1"/>
        <v>0.53535855541084698</v>
      </c>
    </row>
    <row r="46" spans="2:18" x14ac:dyDescent="0.2">
      <c r="B46" s="57"/>
      <c r="D46" s="11" t="e">
        <v>#NUM!</v>
      </c>
      <c r="E46" s="12" t="e">
        <f>_xll.qlYieldTSDiscount(C$4,D46,,Triggers!RTDataTrigger)</f>
        <v>#NUM!</v>
      </c>
      <c r="F46" s="37" t="e">
        <v>#N/A</v>
      </c>
      <c r="G46" s="26" t="e">
        <v>#NUM!</v>
      </c>
      <c r="H46" s="42" t="e">
        <f t="shared" si="2"/>
        <v>#N/A</v>
      </c>
      <c r="I46" s="43" t="e">
        <f t="shared" si="0"/>
        <v>#NUM!</v>
      </c>
      <c r="J46" s="57"/>
      <c r="K46" s="57"/>
      <c r="M46" s="11" t="e">
        <v>#NUM!</v>
      </c>
      <c r="N46" s="12" t="e">
        <f>_xll.qlYieldTSDiscount(L$4,M46,,Triggers!RTDataTrigger)</f>
        <v>#NUM!</v>
      </c>
      <c r="O46" s="37">
        <v>51928</v>
      </c>
      <c r="P46" s="26">
        <v>0.52150975723703097</v>
      </c>
      <c r="Q46" s="42">
        <f t="shared" si="3"/>
        <v>51928</v>
      </c>
      <c r="R46" s="43">
        <f t="shared" si="1"/>
        <v>0.52150975723703097</v>
      </c>
    </row>
    <row r="47" spans="2:18" x14ac:dyDescent="0.2">
      <c r="B47" s="57"/>
      <c r="D47" s="11" t="e">
        <v>#NUM!</v>
      </c>
      <c r="E47" s="12" t="e">
        <f>_xll.qlYieldTSDiscount(C$4,D47,,Triggers!RTDataTrigger)</f>
        <v>#NUM!</v>
      </c>
      <c r="F47" s="37" t="e">
        <v>#N/A</v>
      </c>
      <c r="G47" s="26" t="e">
        <v>#NUM!</v>
      </c>
      <c r="H47" s="42" t="e">
        <f t="shared" si="2"/>
        <v>#N/A</v>
      </c>
      <c r="I47" s="43" t="e">
        <f t="shared" si="0"/>
        <v>#NUM!</v>
      </c>
      <c r="J47" s="57"/>
      <c r="K47" s="57"/>
      <c r="M47" s="11" t="e">
        <v>#NUM!</v>
      </c>
      <c r="N47" s="12" t="e">
        <f>_xll.qlYieldTSDiscount(L$4,M47,,Triggers!RTDataTrigger)</f>
        <v>#NUM!</v>
      </c>
      <c r="O47" s="37">
        <v>52292</v>
      </c>
      <c r="P47" s="26">
        <v>0.50807637934310801</v>
      </c>
      <c r="Q47" s="42">
        <f t="shared" si="3"/>
        <v>52292</v>
      </c>
      <c r="R47" s="43">
        <f t="shared" si="1"/>
        <v>0.50807637934310801</v>
      </c>
    </row>
    <row r="48" spans="2:18" x14ac:dyDescent="0.2">
      <c r="B48" s="57"/>
      <c r="D48" s="11" t="e">
        <v>#NUM!</v>
      </c>
      <c r="E48" s="12" t="e">
        <f>_xll.qlYieldTSDiscount(C$4,D48,,Triggers!RTDataTrigger)</f>
        <v>#NUM!</v>
      </c>
      <c r="F48" s="37" t="e">
        <v>#N/A</v>
      </c>
      <c r="G48" s="26" t="e">
        <v>#NUM!</v>
      </c>
      <c r="H48" s="42" t="e">
        <f t="shared" si="2"/>
        <v>#N/A</v>
      </c>
      <c r="I48" s="43" t="e">
        <f t="shared" si="0"/>
        <v>#NUM!</v>
      </c>
      <c r="J48" s="57"/>
      <c r="K48" s="57"/>
      <c r="M48" s="11" t="e">
        <v>#NUM!</v>
      </c>
      <c r="N48" s="12" t="e">
        <f>_xll.qlYieldTSDiscount(L$4,M48,,Triggers!RTDataTrigger)</f>
        <v>#NUM!</v>
      </c>
      <c r="O48" s="37">
        <v>52658</v>
      </c>
      <c r="P48" s="26">
        <v>0.49497160070711499</v>
      </c>
      <c r="Q48" s="42">
        <f t="shared" si="3"/>
        <v>52658</v>
      </c>
      <c r="R48" s="43">
        <f t="shared" si="1"/>
        <v>0.49497160070711499</v>
      </c>
    </row>
    <row r="49" spans="2:18" x14ac:dyDescent="0.2">
      <c r="B49" s="57"/>
      <c r="D49" s="11" t="e">
        <v>#NUM!</v>
      </c>
      <c r="E49" s="12" t="e">
        <f>_xll.qlYieldTSDiscount(C$4,D49,,Triggers!RTDataTrigger)</f>
        <v>#NUM!</v>
      </c>
      <c r="F49" s="37" t="e">
        <v>#N/A</v>
      </c>
      <c r="G49" s="26" t="e">
        <v>#NUM!</v>
      </c>
      <c r="H49" s="42" t="e">
        <f t="shared" si="2"/>
        <v>#N/A</v>
      </c>
      <c r="I49" s="43" t="e">
        <f t="shared" si="0"/>
        <v>#NUM!</v>
      </c>
      <c r="J49" s="57"/>
      <c r="K49" s="57"/>
      <c r="M49" s="11" t="e">
        <v>#NUM!</v>
      </c>
      <c r="N49" s="12" t="e">
        <f>_xll.qlYieldTSDiscount(L$4,M49,,Triggers!RTDataTrigger)</f>
        <v>#NUM!</v>
      </c>
      <c r="O49" s="37">
        <v>53023</v>
      </c>
      <c r="P49" s="26">
        <v>0.48228966751880298</v>
      </c>
      <c r="Q49" s="42">
        <f t="shared" si="3"/>
        <v>53023</v>
      </c>
      <c r="R49" s="43">
        <f t="shared" si="1"/>
        <v>0.48228966751880298</v>
      </c>
    </row>
    <row r="50" spans="2:18" x14ac:dyDescent="0.2">
      <c r="B50" s="57"/>
      <c r="D50" s="11" t="e">
        <v>#NUM!</v>
      </c>
      <c r="E50" s="12" t="e">
        <f>_xll.qlYieldTSDiscount(C$4,D50,,Triggers!RTDataTrigger)</f>
        <v>#NUM!</v>
      </c>
      <c r="F50" s="37" t="e">
        <v>#N/A</v>
      </c>
      <c r="G50" s="26" t="e">
        <v>#NUM!</v>
      </c>
      <c r="H50" s="42" t="e">
        <f t="shared" si="2"/>
        <v>#N/A</v>
      </c>
      <c r="I50" s="43" t="e">
        <f t="shared" si="0"/>
        <v>#NUM!</v>
      </c>
      <c r="J50" s="57"/>
      <c r="K50" s="57"/>
      <c r="M50" s="11" t="e">
        <v>#NUM!</v>
      </c>
      <c r="N50" s="12" t="e">
        <f>_xll.qlYieldTSDiscount(L$4,M50,,Triggers!RTDataTrigger)</f>
        <v>#NUM!</v>
      </c>
      <c r="O50" s="37">
        <v>53388</v>
      </c>
      <c r="P50" s="26">
        <v>0.46998120734903298</v>
      </c>
      <c r="Q50" s="42">
        <f t="shared" si="3"/>
        <v>53388</v>
      </c>
      <c r="R50" s="43">
        <f t="shared" si="1"/>
        <v>0.46998120734903298</v>
      </c>
    </row>
    <row r="51" spans="2:18" x14ac:dyDescent="0.2">
      <c r="B51" s="57"/>
      <c r="D51" s="11" t="e">
        <v>#NUM!</v>
      </c>
      <c r="E51" s="12" t="e">
        <f>_xll.qlYieldTSDiscount(C$4,D51,,Triggers!RTDataTrigger)</f>
        <v>#NUM!</v>
      </c>
      <c r="F51" s="37" t="e">
        <v>#N/A</v>
      </c>
      <c r="G51" s="26" t="e">
        <v>#NUM!</v>
      </c>
      <c r="H51" s="42" t="e">
        <f t="shared" si="2"/>
        <v>#N/A</v>
      </c>
      <c r="I51" s="43" t="e">
        <f t="shared" si="0"/>
        <v>#NUM!</v>
      </c>
      <c r="J51" s="57"/>
      <c r="K51" s="57"/>
      <c r="M51" s="11" t="e">
        <v>#NUM!</v>
      </c>
      <c r="N51" s="12" t="e">
        <f>_xll.qlYieldTSDiscount(L$4,M51,,Triggers!RTDataTrigger)</f>
        <v>#NUM!</v>
      </c>
      <c r="O51" s="37">
        <v>53755</v>
      </c>
      <c r="P51" s="26">
        <v>0.45797494191754501</v>
      </c>
      <c r="Q51" s="42">
        <f t="shared" si="3"/>
        <v>53755</v>
      </c>
      <c r="R51" s="43">
        <f t="shared" si="1"/>
        <v>0.45797494191754501</v>
      </c>
    </row>
    <row r="52" spans="2:18" x14ac:dyDescent="0.2">
      <c r="B52" s="57"/>
      <c r="D52" s="11" t="e">
        <v>#NUM!</v>
      </c>
      <c r="E52" s="12" t="e">
        <f>_xll.qlYieldTSDiscount(C$4,D52,,Triggers!RTDataTrigger)</f>
        <v>#NUM!</v>
      </c>
      <c r="F52" s="37" t="e">
        <v>#N/A</v>
      </c>
      <c r="G52" s="26" t="e">
        <v>#NUM!</v>
      </c>
      <c r="H52" s="42" t="e">
        <f t="shared" si="2"/>
        <v>#N/A</v>
      </c>
      <c r="I52" s="43" t="e">
        <f t="shared" si="0"/>
        <v>#NUM!</v>
      </c>
      <c r="J52" s="57"/>
      <c r="K52" s="57"/>
      <c r="M52" s="11" t="e">
        <v>#NUM!</v>
      </c>
      <c r="N52" s="12" t="e">
        <f>_xll.qlYieldTSDiscount(L$4,M52,,Triggers!RTDataTrigger)</f>
        <v>#NUM!</v>
      </c>
      <c r="O52" s="37">
        <v>57406</v>
      </c>
      <c r="P52" s="26">
        <v>0.35653594818353102</v>
      </c>
      <c r="Q52" s="42">
        <f t="shared" si="3"/>
        <v>57406</v>
      </c>
      <c r="R52" s="43">
        <f t="shared" si="1"/>
        <v>0.35653594818353102</v>
      </c>
    </row>
    <row r="53" spans="2:18" x14ac:dyDescent="0.2">
      <c r="B53" s="57"/>
      <c r="D53" s="11" t="e">
        <v>#NUM!</v>
      </c>
      <c r="E53" s="12" t="e">
        <f>_xll.qlYieldTSDiscount(C$4,D53,,Triggers!RTDataTrigger)</f>
        <v>#NUM!</v>
      </c>
      <c r="F53" s="37" t="e">
        <v>#N/A</v>
      </c>
      <c r="G53" s="26" t="e">
        <v>#NUM!</v>
      </c>
      <c r="H53" s="42" t="e">
        <f t="shared" si="2"/>
        <v>#N/A</v>
      </c>
      <c r="I53" s="43" t="e">
        <f t="shared" si="0"/>
        <v>#NUM!</v>
      </c>
      <c r="J53" s="57"/>
      <c r="K53" s="57"/>
      <c r="M53" s="11" t="e">
        <v>#NUM!</v>
      </c>
      <c r="N53" s="12" t="e">
        <f>_xll.qlYieldTSDiscount(L$4,M53,,Triggers!RTDataTrigger)</f>
        <v>#NUM!</v>
      </c>
      <c r="O53" s="37">
        <v>61058</v>
      </c>
      <c r="P53" s="26">
        <v>0.28142279695641098</v>
      </c>
      <c r="Q53" s="42">
        <f t="shared" si="3"/>
        <v>61058</v>
      </c>
      <c r="R53" s="43">
        <f t="shared" si="1"/>
        <v>0.28142279695641098</v>
      </c>
    </row>
    <row r="54" spans="2:18" x14ac:dyDescent="0.2">
      <c r="B54" s="57"/>
      <c r="D54" s="11" t="e">
        <v>#NUM!</v>
      </c>
      <c r="E54" s="12" t="e">
        <f>_xll.qlYieldTSDiscount(C$4,D54,,Triggers!RTDataTrigger)</f>
        <v>#NUM!</v>
      </c>
      <c r="F54" s="37" t="e">
        <v>#N/A</v>
      </c>
      <c r="G54" s="26" t="e">
        <v>#NUM!</v>
      </c>
      <c r="H54" s="42" t="e">
        <f t="shared" si="2"/>
        <v>#N/A</v>
      </c>
      <c r="I54" s="43" t="e">
        <f t="shared" si="0"/>
        <v>#NUM!</v>
      </c>
      <c r="J54" s="57"/>
      <c r="K54" s="57"/>
      <c r="M54" s="11" t="e">
        <v>#NUM!</v>
      </c>
      <c r="N54" s="12" t="e">
        <f>_xll.qlYieldTSDiscount(L$4,M54,,Triggers!RTDataTrigger)</f>
        <v>#NUM!</v>
      </c>
      <c r="O54" s="37">
        <v>64711</v>
      </c>
      <c r="P54" s="26">
        <v>0.222797151781924</v>
      </c>
      <c r="Q54" s="42">
        <f t="shared" si="3"/>
        <v>64711</v>
      </c>
      <c r="R54" s="43">
        <f t="shared" si="1"/>
        <v>0.222797151781924</v>
      </c>
    </row>
    <row r="55" spans="2:18" x14ac:dyDescent="0.2">
      <c r="B55" s="57"/>
      <c r="D55" s="11" t="e">
        <v>#NUM!</v>
      </c>
      <c r="E55" s="12" t="e">
        <f>_xll.qlYieldTSDiscount(C$4,D55,,Triggers!RTDataTrigger)</f>
        <v>#NUM!</v>
      </c>
      <c r="F55" s="37" t="e">
        <v>#N/A</v>
      </c>
      <c r="G55" s="26" t="e">
        <v>#NUM!</v>
      </c>
      <c r="H55" s="42" t="e">
        <f t="shared" si="2"/>
        <v>#N/A</v>
      </c>
      <c r="I55" s="43" t="e">
        <f t="shared" si="0"/>
        <v>#NUM!</v>
      </c>
      <c r="J55" s="57"/>
      <c r="K55" s="57"/>
      <c r="M55" s="11" t="e">
        <v>#NUM!</v>
      </c>
      <c r="N55" s="12" t="e">
        <f>_xll.qlYieldTSDiscount(L$4,M55,,Triggers!RTDataTrigger)</f>
        <v>#NUM!</v>
      </c>
      <c r="O55" s="37" t="e">
        <v>#N/A</v>
      </c>
      <c r="P55" s="26" t="e">
        <v>#NUM!</v>
      </c>
      <c r="Q55" s="42" t="e">
        <f t="shared" si="3"/>
        <v>#N/A</v>
      </c>
      <c r="R55" s="43" t="e">
        <f t="shared" si="1"/>
        <v>#NUM!</v>
      </c>
    </row>
    <row r="56" spans="2:18" x14ac:dyDescent="0.2">
      <c r="B56" s="57"/>
      <c r="D56" s="11" t="e">
        <v>#NUM!</v>
      </c>
      <c r="E56" s="12" t="e">
        <f>_xll.qlYieldTSDiscount(C$4,D56,,Triggers!RTDataTrigger)</f>
        <v>#NUM!</v>
      </c>
      <c r="F56" s="37" t="e">
        <v>#N/A</v>
      </c>
      <c r="G56" s="26" t="e">
        <v>#NUM!</v>
      </c>
      <c r="H56" s="42" t="e">
        <f t="shared" si="2"/>
        <v>#N/A</v>
      </c>
      <c r="I56" s="43" t="e">
        <f t="shared" si="0"/>
        <v>#NUM!</v>
      </c>
      <c r="J56" s="57"/>
      <c r="K56" s="57"/>
      <c r="M56" s="11" t="e">
        <v>#NUM!</v>
      </c>
      <c r="N56" s="12" t="e">
        <f>_xll.qlYieldTSDiscount(L$4,M56,,Triggers!RTDataTrigger)</f>
        <v>#NUM!</v>
      </c>
      <c r="O56" s="37" t="e">
        <v>#N/A</v>
      </c>
      <c r="P56" s="26" t="e">
        <v>#NUM!</v>
      </c>
      <c r="Q56" s="42" t="e">
        <f t="shared" si="3"/>
        <v>#N/A</v>
      </c>
      <c r="R56" s="43" t="e">
        <f t="shared" si="1"/>
        <v>#NUM!</v>
      </c>
    </row>
    <row r="57" spans="2:18" x14ac:dyDescent="0.2">
      <c r="D57" s="11" t="e">
        <v>#NUM!</v>
      </c>
      <c r="E57" s="12" t="e">
        <f>_xll.qlYieldTSDiscount(C$4,D57,,Triggers!RTDataTrigger)</f>
        <v>#NUM!</v>
      </c>
      <c r="F57" s="37" t="e">
        <v>#N/A</v>
      </c>
      <c r="G57" s="26" t="e">
        <v>#NUM!</v>
      </c>
      <c r="H57" s="42" t="e">
        <f t="shared" si="2"/>
        <v>#N/A</v>
      </c>
      <c r="I57" s="43" t="e">
        <f t="shared" si="0"/>
        <v>#NUM!</v>
      </c>
      <c r="J57" s="57"/>
      <c r="K57" s="57"/>
      <c r="M57" s="11" t="e">
        <v>#NUM!</v>
      </c>
      <c r="N57" s="12" t="e">
        <f>_xll.qlYieldTSDiscount(L$4,M57,,Triggers!RTDataTrigger)</f>
        <v>#NUM!</v>
      </c>
      <c r="O57" s="37" t="e">
        <v>#N/A</v>
      </c>
      <c r="P57" s="26" t="e">
        <v>#NUM!</v>
      </c>
      <c r="Q57" s="42" t="e">
        <f t="shared" si="3"/>
        <v>#N/A</v>
      </c>
      <c r="R57" s="43" t="e">
        <f t="shared" si="1"/>
        <v>#NUM!</v>
      </c>
    </row>
    <row r="58" spans="2:18" x14ac:dyDescent="0.2">
      <c r="D58" s="11" t="e">
        <v>#NUM!</v>
      </c>
      <c r="E58" s="12" t="e">
        <f>_xll.qlYieldTSDiscount(C$4,D58,,Triggers!RTDataTrigger)</f>
        <v>#NUM!</v>
      </c>
      <c r="F58" s="37" t="e">
        <v>#N/A</v>
      </c>
      <c r="G58" s="26" t="e">
        <v>#NUM!</v>
      </c>
      <c r="H58" s="42" t="e">
        <f t="shared" si="2"/>
        <v>#N/A</v>
      </c>
      <c r="I58" s="43" t="e">
        <f t="shared" si="0"/>
        <v>#NUM!</v>
      </c>
      <c r="J58" s="57"/>
      <c r="K58" s="57"/>
      <c r="M58" s="11" t="e">
        <v>#NUM!</v>
      </c>
      <c r="N58" s="12" t="e">
        <f>_xll.qlYieldTSDiscount(L$4,M58,,Triggers!RTDataTrigger)</f>
        <v>#NUM!</v>
      </c>
      <c r="O58" s="37" t="e">
        <v>#N/A</v>
      </c>
      <c r="P58" s="26" t="e">
        <v>#NUM!</v>
      </c>
      <c r="Q58" s="42" t="e">
        <f t="shared" si="3"/>
        <v>#N/A</v>
      </c>
      <c r="R58" s="43" t="e">
        <f t="shared" si="1"/>
        <v>#NUM!</v>
      </c>
    </row>
    <row r="59" spans="2:18" x14ac:dyDescent="0.2">
      <c r="D59" s="11" t="e">
        <v>#NUM!</v>
      </c>
      <c r="E59" s="12" t="e">
        <f>_xll.qlYieldTSDiscount(C$4,D59,,Triggers!RTDataTrigger)</f>
        <v>#NUM!</v>
      </c>
      <c r="F59" s="37" t="e">
        <v>#N/A</v>
      </c>
      <c r="G59" s="26" t="e">
        <v>#NUM!</v>
      </c>
      <c r="H59" s="42" t="e">
        <f t="shared" si="2"/>
        <v>#N/A</v>
      </c>
      <c r="I59" s="43" t="e">
        <f t="shared" si="0"/>
        <v>#NUM!</v>
      </c>
      <c r="J59" s="57"/>
      <c r="K59" s="57"/>
      <c r="M59" s="11" t="e">
        <v>#NUM!</v>
      </c>
      <c r="N59" s="12" t="e">
        <f>_xll.qlYieldTSDiscount(L$4,M59,,Triggers!RTDataTrigger)</f>
        <v>#NUM!</v>
      </c>
      <c r="O59" s="37" t="e">
        <v>#N/A</v>
      </c>
      <c r="P59" s="26" t="e">
        <v>#NUM!</v>
      </c>
      <c r="Q59" s="42" t="e">
        <f t="shared" si="3"/>
        <v>#N/A</v>
      </c>
      <c r="R59" s="43" t="e">
        <f t="shared" si="1"/>
        <v>#NUM!</v>
      </c>
    </row>
    <row r="60" spans="2:18" x14ac:dyDescent="0.2">
      <c r="D60" s="11" t="e">
        <v>#NUM!</v>
      </c>
      <c r="E60" s="12" t="e">
        <f>_xll.qlYieldTSDiscount(C$4,D60,,Triggers!RTDataTrigger)</f>
        <v>#NUM!</v>
      </c>
      <c r="F60" s="37" t="e">
        <v>#N/A</v>
      </c>
      <c r="G60" s="26" t="e">
        <v>#NUM!</v>
      </c>
      <c r="H60" s="42" t="e">
        <f t="shared" si="2"/>
        <v>#N/A</v>
      </c>
      <c r="I60" s="43" t="e">
        <f t="shared" si="0"/>
        <v>#NUM!</v>
      </c>
      <c r="J60" s="57"/>
      <c r="K60" s="57"/>
      <c r="M60" s="11" t="e">
        <v>#NUM!</v>
      </c>
      <c r="N60" s="12" t="e">
        <f>_xll.qlYieldTSDiscount(L$4,M60,,Triggers!RTDataTrigger)</f>
        <v>#NUM!</v>
      </c>
      <c r="O60" s="37" t="e">
        <v>#N/A</v>
      </c>
      <c r="P60" s="26" t="e">
        <v>#NUM!</v>
      </c>
      <c r="Q60" s="42" t="e">
        <f t="shared" si="3"/>
        <v>#N/A</v>
      </c>
      <c r="R60" s="43" t="e">
        <f t="shared" si="1"/>
        <v>#NUM!</v>
      </c>
    </row>
    <row r="61" spans="2:18" x14ac:dyDescent="0.2">
      <c r="D61" s="11" t="e">
        <v>#NUM!</v>
      </c>
      <c r="E61" s="12" t="e">
        <f>_xll.qlYieldTSDiscount(C$4,D61,,Triggers!RTDataTrigger)</f>
        <v>#NUM!</v>
      </c>
      <c r="F61" s="37" t="e">
        <v>#N/A</v>
      </c>
      <c r="G61" s="26" t="e">
        <v>#NUM!</v>
      </c>
      <c r="H61" s="42" t="e">
        <f t="shared" si="2"/>
        <v>#N/A</v>
      </c>
      <c r="I61" s="43" t="e">
        <f t="shared" si="0"/>
        <v>#NUM!</v>
      </c>
      <c r="J61" s="57"/>
      <c r="K61" s="57"/>
      <c r="M61" s="11" t="e">
        <v>#NUM!</v>
      </c>
      <c r="N61" s="12" t="e">
        <f>_xll.qlYieldTSDiscount(L$4,M61,,Triggers!RTDataTrigger)</f>
        <v>#NUM!</v>
      </c>
      <c r="O61" s="37" t="e">
        <v>#N/A</v>
      </c>
      <c r="P61" s="26" t="e">
        <v>#NUM!</v>
      </c>
      <c r="Q61" s="42" t="e">
        <f t="shared" si="3"/>
        <v>#N/A</v>
      </c>
      <c r="R61" s="43" t="e">
        <f t="shared" si="1"/>
        <v>#NUM!</v>
      </c>
    </row>
    <row r="62" spans="2:18" x14ac:dyDescent="0.2">
      <c r="D62" s="11" t="e">
        <v>#NUM!</v>
      </c>
      <c r="E62" s="12" t="e">
        <f>_xll.qlYieldTSDiscount(C$4,D62,,Triggers!RTDataTrigger)</f>
        <v>#NUM!</v>
      </c>
      <c r="F62" s="37" t="e">
        <v>#N/A</v>
      </c>
      <c r="G62" s="26" t="e">
        <v>#NUM!</v>
      </c>
      <c r="H62" s="42" t="e">
        <f t="shared" si="2"/>
        <v>#N/A</v>
      </c>
      <c r="I62" s="43" t="e">
        <f t="shared" si="0"/>
        <v>#NUM!</v>
      </c>
      <c r="J62" s="57"/>
      <c r="K62" s="57"/>
      <c r="M62" s="11" t="e">
        <v>#NUM!</v>
      </c>
      <c r="N62" s="12" t="e">
        <f>_xll.qlYieldTSDiscount(L$4,M62,,Triggers!RTDataTrigger)</f>
        <v>#NUM!</v>
      </c>
      <c r="O62" s="37" t="e">
        <v>#N/A</v>
      </c>
      <c r="P62" s="26" t="e">
        <v>#NUM!</v>
      </c>
      <c r="Q62" s="42" t="e">
        <f t="shared" si="3"/>
        <v>#N/A</v>
      </c>
      <c r="R62" s="43" t="e">
        <f t="shared" si="1"/>
        <v>#NUM!</v>
      </c>
    </row>
    <row r="63" spans="2:18" x14ac:dyDescent="0.2">
      <c r="D63" s="11" t="e">
        <v>#NUM!</v>
      </c>
      <c r="E63" s="12" t="e">
        <f>_xll.qlYieldTSDiscount(C$4,D63,,Triggers!RTDataTrigger)</f>
        <v>#NUM!</v>
      </c>
      <c r="F63" s="37" t="e">
        <v>#N/A</v>
      </c>
      <c r="G63" s="26" t="e">
        <v>#NUM!</v>
      </c>
      <c r="H63" s="42" t="e">
        <f t="shared" si="2"/>
        <v>#N/A</v>
      </c>
      <c r="I63" s="43" t="e">
        <f t="shared" si="0"/>
        <v>#NUM!</v>
      </c>
      <c r="J63" s="57"/>
      <c r="K63" s="57"/>
      <c r="M63" s="11" t="e">
        <v>#NUM!</v>
      </c>
      <c r="N63" s="12" t="e">
        <f>_xll.qlYieldTSDiscount(L$4,M63,,Triggers!RTDataTrigger)</f>
        <v>#NUM!</v>
      </c>
      <c r="O63" s="37" t="e">
        <v>#N/A</v>
      </c>
      <c r="P63" s="26" t="e">
        <v>#NUM!</v>
      </c>
      <c r="Q63" s="42" t="e">
        <f t="shared" si="3"/>
        <v>#N/A</v>
      </c>
      <c r="R63" s="43" t="e">
        <f t="shared" si="1"/>
        <v>#NUM!</v>
      </c>
    </row>
    <row r="64" spans="2:18" x14ac:dyDescent="0.2">
      <c r="D64" s="11" t="e">
        <v>#NUM!</v>
      </c>
      <c r="E64" s="12" t="e">
        <f>_xll.qlYieldTSDiscount(C$4,D64,,Triggers!RTDataTrigger)</f>
        <v>#NUM!</v>
      </c>
      <c r="F64" s="37" t="e">
        <v>#N/A</v>
      </c>
      <c r="G64" s="26" t="e">
        <v>#NUM!</v>
      </c>
      <c r="H64" s="42" t="e">
        <f t="shared" si="2"/>
        <v>#N/A</v>
      </c>
      <c r="I64" s="43" t="e">
        <f t="shared" si="0"/>
        <v>#NUM!</v>
      </c>
      <c r="J64" s="57"/>
      <c r="K64" s="57"/>
      <c r="M64" s="11" t="e">
        <v>#NUM!</v>
      </c>
      <c r="N64" s="12" t="e">
        <f>_xll.qlYieldTSDiscount(L$4,M64,,Triggers!RTDataTrigger)</f>
        <v>#NUM!</v>
      </c>
      <c r="O64" s="37" t="e">
        <v>#N/A</v>
      </c>
      <c r="P64" s="26" t="e">
        <v>#NUM!</v>
      </c>
      <c r="Q64" s="42" t="e">
        <f t="shared" si="3"/>
        <v>#N/A</v>
      </c>
      <c r="R64" s="43" t="e">
        <f t="shared" si="1"/>
        <v>#NUM!</v>
      </c>
    </row>
    <row r="65" spans="4:18" x14ac:dyDescent="0.2">
      <c r="D65" s="11" t="e">
        <v>#NUM!</v>
      </c>
      <c r="E65" s="12" t="e">
        <f>_xll.qlYieldTSDiscount(C$4,D65,,Triggers!RTDataTrigger)</f>
        <v>#NUM!</v>
      </c>
      <c r="F65" s="37" t="e">
        <v>#N/A</v>
      </c>
      <c r="G65" s="26" t="e">
        <v>#NUM!</v>
      </c>
      <c r="H65" s="42" t="e">
        <f t="shared" si="2"/>
        <v>#N/A</v>
      </c>
      <c r="I65" s="43" t="e">
        <f t="shared" si="0"/>
        <v>#NUM!</v>
      </c>
      <c r="J65" s="57"/>
      <c r="M65" s="11" t="e">
        <v>#NUM!</v>
      </c>
      <c r="N65" s="12" t="e">
        <f>_xll.qlYieldTSDiscount(L$4,M65,,Triggers!RTDataTrigger)</f>
        <v>#NUM!</v>
      </c>
      <c r="O65" s="37" t="e">
        <v>#N/A</v>
      </c>
      <c r="P65" s="26" t="e">
        <v>#NUM!</v>
      </c>
      <c r="Q65" s="42" t="e">
        <f t="shared" si="3"/>
        <v>#N/A</v>
      </c>
      <c r="R65" s="43" t="e">
        <f t="shared" si="1"/>
        <v>#NUM!</v>
      </c>
    </row>
    <row r="66" spans="4:18" x14ac:dyDescent="0.2">
      <c r="D66" s="11" t="e">
        <v>#NUM!</v>
      </c>
      <c r="E66" s="12" t="e">
        <f>_xll.qlYieldTSDiscount(C$4,D66,,Triggers!RTDataTrigger)</f>
        <v>#NUM!</v>
      </c>
      <c r="F66" s="37" t="e">
        <v>#N/A</v>
      </c>
      <c r="G66" s="26" t="e">
        <v>#NUM!</v>
      </c>
      <c r="H66" s="42" t="e">
        <f t="shared" si="2"/>
        <v>#N/A</v>
      </c>
      <c r="I66" s="43" t="e">
        <f t="shared" si="0"/>
        <v>#NUM!</v>
      </c>
      <c r="J66" s="57"/>
      <c r="M66" s="11" t="e">
        <v>#NUM!</v>
      </c>
      <c r="N66" s="12" t="e">
        <f>_xll.qlYieldTSDiscount(L$4,M66,,Triggers!RTDataTrigger)</f>
        <v>#NUM!</v>
      </c>
      <c r="O66" s="37" t="e">
        <v>#N/A</v>
      </c>
      <c r="P66" s="26" t="e">
        <v>#NUM!</v>
      </c>
      <c r="Q66" s="42" t="e">
        <f t="shared" si="3"/>
        <v>#N/A</v>
      </c>
      <c r="R66" s="43" t="e">
        <f t="shared" si="1"/>
        <v>#NUM!</v>
      </c>
    </row>
    <row r="67" spans="4:18" x14ac:dyDescent="0.2">
      <c r="D67" s="11" t="e">
        <v>#NUM!</v>
      </c>
      <c r="E67" s="12" t="e">
        <f>_xll.qlYieldTSDiscount(C$4,D67,,Triggers!RTDataTrigger)</f>
        <v>#NUM!</v>
      </c>
      <c r="F67" s="37" t="e">
        <v>#N/A</v>
      </c>
      <c r="G67" s="26" t="e">
        <v>#NUM!</v>
      </c>
      <c r="H67" s="42" t="e">
        <f t="shared" si="2"/>
        <v>#N/A</v>
      </c>
      <c r="I67" s="43" t="e">
        <f t="shared" si="0"/>
        <v>#NUM!</v>
      </c>
      <c r="M67" s="11" t="e">
        <v>#NUM!</v>
      </c>
      <c r="N67" s="12" t="e">
        <f>_xll.qlYieldTSDiscount(L$4,M67,,Triggers!RTDataTrigger)</f>
        <v>#NUM!</v>
      </c>
      <c r="O67" s="37" t="e">
        <v>#N/A</v>
      </c>
      <c r="P67" s="26" t="e">
        <v>#NUM!</v>
      </c>
      <c r="Q67" s="42" t="e">
        <f t="shared" si="3"/>
        <v>#N/A</v>
      </c>
      <c r="R67" s="43" t="e">
        <f t="shared" si="1"/>
        <v>#NUM!</v>
      </c>
    </row>
    <row r="68" spans="4:18" x14ac:dyDescent="0.2">
      <c r="D68" s="11" t="e">
        <v>#NUM!</v>
      </c>
      <c r="E68" s="12" t="e">
        <f>_xll.qlYieldTSDiscount(C$4,D68,,Triggers!RTDataTrigger)</f>
        <v>#NUM!</v>
      </c>
      <c r="F68" s="37" t="e">
        <v>#N/A</v>
      </c>
      <c r="G68" s="26" t="e">
        <v>#NUM!</v>
      </c>
      <c r="H68" s="42" t="e">
        <f t="shared" si="2"/>
        <v>#N/A</v>
      </c>
      <c r="I68" s="43" t="e">
        <f t="shared" si="2"/>
        <v>#NUM!</v>
      </c>
      <c r="M68" s="11" t="e">
        <v>#NUM!</v>
      </c>
      <c r="N68" s="12" t="e">
        <f>_xll.qlYieldTSDiscount(L$4,M68,,Triggers!RTDataTrigger)</f>
        <v>#NUM!</v>
      </c>
      <c r="O68" s="37" t="e">
        <v>#N/A</v>
      </c>
      <c r="P68" s="26" t="e">
        <v>#NUM!</v>
      </c>
      <c r="Q68" s="42" t="e">
        <f t="shared" si="3"/>
        <v>#N/A</v>
      </c>
      <c r="R68" s="43" t="e">
        <f t="shared" si="3"/>
        <v>#NUM!</v>
      </c>
    </row>
    <row r="69" spans="4:18" x14ac:dyDescent="0.2">
      <c r="D69" s="11" t="e">
        <v>#NUM!</v>
      </c>
      <c r="E69" s="12" t="e">
        <f>_xll.qlYieldTSDiscount(C$4,D69,,Triggers!RTDataTrigger)</f>
        <v>#NUM!</v>
      </c>
      <c r="F69" s="37" t="e">
        <v>#N/A</v>
      </c>
      <c r="G69" s="26" t="e">
        <v>#NUM!</v>
      </c>
      <c r="H69" s="42" t="e">
        <f t="shared" ref="H69:I93" si="4">IF(ISBLANK(F69),D69,F69)</f>
        <v>#N/A</v>
      </c>
      <c r="I69" s="43" t="e">
        <f t="shared" si="4"/>
        <v>#NUM!</v>
      </c>
      <c r="M69" s="11" t="e">
        <v>#NUM!</v>
      </c>
      <c r="N69" s="12" t="e">
        <f>_xll.qlYieldTSDiscount(L$4,M69,,Triggers!RTDataTrigger)</f>
        <v>#NUM!</v>
      </c>
      <c r="O69" s="37" t="e">
        <v>#N/A</v>
      </c>
      <c r="P69" s="26" t="e">
        <v>#NUM!</v>
      </c>
      <c r="Q69" s="42" t="e">
        <f t="shared" ref="Q69:R93" si="5">IF(ISBLANK(O69),M69,O69)</f>
        <v>#N/A</v>
      </c>
      <c r="R69" s="43" t="e">
        <f t="shared" si="5"/>
        <v>#NUM!</v>
      </c>
    </row>
    <row r="70" spans="4:18" x14ac:dyDescent="0.2">
      <c r="D70" s="11" t="e">
        <v>#NUM!</v>
      </c>
      <c r="E70" s="12" t="e">
        <f>_xll.qlYieldTSDiscount(C$4,D70,,Triggers!RTDataTrigger)</f>
        <v>#NUM!</v>
      </c>
      <c r="F70" s="37" t="e">
        <v>#N/A</v>
      </c>
      <c r="G70" s="26" t="e">
        <v>#NUM!</v>
      </c>
      <c r="H70" s="42" t="e">
        <f t="shared" si="4"/>
        <v>#N/A</v>
      </c>
      <c r="I70" s="43" t="e">
        <f t="shared" si="4"/>
        <v>#NUM!</v>
      </c>
      <c r="M70" s="11" t="e">
        <v>#NUM!</v>
      </c>
      <c r="N70" s="12" t="e">
        <f>_xll.qlYieldTSDiscount(L$4,M70,,Triggers!RTDataTrigger)</f>
        <v>#NUM!</v>
      </c>
      <c r="O70" s="37" t="e">
        <v>#N/A</v>
      </c>
      <c r="P70" s="26" t="e">
        <v>#NUM!</v>
      </c>
      <c r="Q70" s="42" t="e">
        <f t="shared" si="5"/>
        <v>#N/A</v>
      </c>
      <c r="R70" s="43" t="e">
        <f t="shared" si="5"/>
        <v>#NUM!</v>
      </c>
    </row>
    <row r="71" spans="4:18" x14ac:dyDescent="0.2">
      <c r="D71" s="11" t="e">
        <v>#NUM!</v>
      </c>
      <c r="E71" s="12" t="e">
        <f>_xll.qlYieldTSDiscount(C$4,D71,,Triggers!RTDataTrigger)</f>
        <v>#NUM!</v>
      </c>
      <c r="F71" s="37" t="e">
        <v>#N/A</v>
      </c>
      <c r="G71" s="26" t="e">
        <v>#NUM!</v>
      </c>
      <c r="H71" s="42" t="e">
        <f t="shared" si="4"/>
        <v>#N/A</v>
      </c>
      <c r="I71" s="43" t="e">
        <f t="shared" si="4"/>
        <v>#NUM!</v>
      </c>
      <c r="M71" s="11" t="e">
        <v>#NUM!</v>
      </c>
      <c r="N71" s="12" t="e">
        <f>_xll.qlYieldTSDiscount(L$4,M71,,Triggers!RTDataTrigger)</f>
        <v>#NUM!</v>
      </c>
      <c r="O71" s="37" t="e">
        <v>#N/A</v>
      </c>
      <c r="P71" s="26" t="e">
        <v>#NUM!</v>
      </c>
      <c r="Q71" s="42" t="e">
        <f t="shared" si="5"/>
        <v>#N/A</v>
      </c>
      <c r="R71" s="43" t="e">
        <f t="shared" si="5"/>
        <v>#NUM!</v>
      </c>
    </row>
    <row r="72" spans="4:18" x14ac:dyDescent="0.2">
      <c r="D72" s="11" t="e">
        <v>#NUM!</v>
      </c>
      <c r="E72" s="12" t="e">
        <f>_xll.qlYieldTSDiscount(C$4,D72,,Triggers!RTDataTrigger)</f>
        <v>#NUM!</v>
      </c>
      <c r="F72" s="37" t="e">
        <v>#N/A</v>
      </c>
      <c r="G72" s="26" t="e">
        <v>#NUM!</v>
      </c>
      <c r="H72" s="42" t="e">
        <f t="shared" si="4"/>
        <v>#N/A</v>
      </c>
      <c r="I72" s="43" t="e">
        <f t="shared" si="4"/>
        <v>#NUM!</v>
      </c>
      <c r="M72" s="11" t="e">
        <v>#NUM!</v>
      </c>
      <c r="N72" s="12" t="e">
        <f>_xll.qlYieldTSDiscount(L$4,M72,,Triggers!RTDataTrigger)</f>
        <v>#NUM!</v>
      </c>
      <c r="O72" s="37" t="e">
        <v>#N/A</v>
      </c>
      <c r="P72" s="26" t="e">
        <v>#NUM!</v>
      </c>
      <c r="Q72" s="42" t="e">
        <f t="shared" si="5"/>
        <v>#N/A</v>
      </c>
      <c r="R72" s="43" t="e">
        <f t="shared" si="5"/>
        <v>#NUM!</v>
      </c>
    </row>
    <row r="73" spans="4:18" x14ac:dyDescent="0.2">
      <c r="D73" s="11" t="e">
        <v>#NUM!</v>
      </c>
      <c r="E73" s="12" t="e">
        <f>_xll.qlYieldTSDiscount(C$4,D73,,Triggers!RTDataTrigger)</f>
        <v>#NUM!</v>
      </c>
      <c r="F73" s="37" t="e">
        <v>#N/A</v>
      </c>
      <c r="G73" s="26" t="e">
        <v>#NUM!</v>
      </c>
      <c r="H73" s="42" t="e">
        <f t="shared" si="4"/>
        <v>#N/A</v>
      </c>
      <c r="I73" s="43" t="e">
        <f t="shared" si="4"/>
        <v>#NUM!</v>
      </c>
      <c r="M73" s="11" t="e">
        <v>#NUM!</v>
      </c>
      <c r="N73" s="12" t="e">
        <f>_xll.qlYieldTSDiscount(L$4,M73,,Triggers!RTDataTrigger)</f>
        <v>#NUM!</v>
      </c>
      <c r="O73" s="37" t="e">
        <v>#N/A</v>
      </c>
      <c r="P73" s="26" t="e">
        <v>#NUM!</v>
      </c>
      <c r="Q73" s="42" t="e">
        <f t="shared" si="5"/>
        <v>#N/A</v>
      </c>
      <c r="R73" s="43" t="e">
        <f t="shared" si="5"/>
        <v>#NUM!</v>
      </c>
    </row>
    <row r="74" spans="4:18" x14ac:dyDescent="0.2">
      <c r="D74" s="11" t="e">
        <v>#NUM!</v>
      </c>
      <c r="E74" s="12" t="e">
        <f>_xll.qlYieldTSDiscount(C$4,D74,,Triggers!RTDataTrigger)</f>
        <v>#NUM!</v>
      </c>
      <c r="F74" s="37" t="e">
        <v>#N/A</v>
      </c>
      <c r="G74" s="26" t="e">
        <v>#NUM!</v>
      </c>
      <c r="H74" s="42" t="e">
        <f t="shared" si="4"/>
        <v>#N/A</v>
      </c>
      <c r="I74" s="43" t="e">
        <f t="shared" si="4"/>
        <v>#NUM!</v>
      </c>
      <c r="M74" s="11" t="e">
        <v>#NUM!</v>
      </c>
      <c r="N74" s="12" t="e">
        <f>_xll.qlYieldTSDiscount(L$4,M74,,Triggers!RTDataTrigger)</f>
        <v>#NUM!</v>
      </c>
      <c r="O74" s="37" t="e">
        <v>#N/A</v>
      </c>
      <c r="P74" s="26" t="e">
        <v>#NUM!</v>
      </c>
      <c r="Q74" s="42" t="e">
        <f t="shared" si="5"/>
        <v>#N/A</v>
      </c>
      <c r="R74" s="43" t="e">
        <f t="shared" si="5"/>
        <v>#NUM!</v>
      </c>
    </row>
    <row r="75" spans="4:18" x14ac:dyDescent="0.2">
      <c r="D75" s="11" t="e">
        <v>#NUM!</v>
      </c>
      <c r="E75" s="12" t="e">
        <f>_xll.qlYieldTSDiscount(C$4,D75,,Triggers!RTDataTrigger)</f>
        <v>#NUM!</v>
      </c>
      <c r="F75" s="37" t="e">
        <v>#N/A</v>
      </c>
      <c r="G75" s="26" t="e">
        <v>#NUM!</v>
      </c>
      <c r="H75" s="42" t="e">
        <f t="shared" si="4"/>
        <v>#N/A</v>
      </c>
      <c r="I75" s="43" t="e">
        <f t="shared" si="4"/>
        <v>#NUM!</v>
      </c>
      <c r="M75" s="11" t="e">
        <v>#NUM!</v>
      </c>
      <c r="N75" s="12" t="e">
        <f>_xll.qlYieldTSDiscount(L$4,M75,,Triggers!RTDataTrigger)</f>
        <v>#NUM!</v>
      </c>
      <c r="O75" s="37" t="e">
        <v>#N/A</v>
      </c>
      <c r="P75" s="26" t="e">
        <v>#NUM!</v>
      </c>
      <c r="Q75" s="42" t="e">
        <f t="shared" si="5"/>
        <v>#N/A</v>
      </c>
      <c r="R75" s="43" t="e">
        <f t="shared" si="5"/>
        <v>#NUM!</v>
      </c>
    </row>
    <row r="76" spans="4:18" x14ac:dyDescent="0.2">
      <c r="D76" s="11" t="e">
        <v>#NUM!</v>
      </c>
      <c r="E76" s="12" t="e">
        <f>_xll.qlYieldTSDiscount(C$4,D76,,Triggers!RTDataTrigger)</f>
        <v>#NUM!</v>
      </c>
      <c r="F76" s="37" t="e">
        <v>#N/A</v>
      </c>
      <c r="G76" s="26" t="e">
        <v>#NUM!</v>
      </c>
      <c r="H76" s="42" t="e">
        <f t="shared" si="4"/>
        <v>#N/A</v>
      </c>
      <c r="I76" s="43" t="e">
        <f t="shared" si="4"/>
        <v>#NUM!</v>
      </c>
      <c r="M76" s="11" t="e">
        <v>#NUM!</v>
      </c>
      <c r="N76" s="12" t="e">
        <f>_xll.qlYieldTSDiscount(L$4,M76,,Triggers!RTDataTrigger)</f>
        <v>#NUM!</v>
      </c>
      <c r="O76" s="37" t="e">
        <v>#N/A</v>
      </c>
      <c r="P76" s="26" t="e">
        <v>#NUM!</v>
      </c>
      <c r="Q76" s="42" t="e">
        <f t="shared" si="5"/>
        <v>#N/A</v>
      </c>
      <c r="R76" s="43" t="e">
        <f t="shared" si="5"/>
        <v>#NUM!</v>
      </c>
    </row>
    <row r="77" spans="4:18" x14ac:dyDescent="0.2">
      <c r="D77" s="11" t="e">
        <v>#NUM!</v>
      </c>
      <c r="E77" s="12" t="e">
        <f>_xll.qlYieldTSDiscount(C$4,D77,,Triggers!RTDataTrigger)</f>
        <v>#NUM!</v>
      </c>
      <c r="F77" s="37" t="e">
        <v>#N/A</v>
      </c>
      <c r="G77" s="26" t="e">
        <v>#NUM!</v>
      </c>
      <c r="H77" s="42" t="e">
        <f t="shared" si="4"/>
        <v>#N/A</v>
      </c>
      <c r="I77" s="43" t="e">
        <f t="shared" si="4"/>
        <v>#NUM!</v>
      </c>
      <c r="M77" s="11" t="e">
        <v>#NUM!</v>
      </c>
      <c r="N77" s="12" t="e">
        <f>_xll.qlYieldTSDiscount(L$4,M77,,Triggers!RTDataTrigger)</f>
        <v>#NUM!</v>
      </c>
      <c r="O77" s="37" t="e">
        <v>#N/A</v>
      </c>
      <c r="P77" s="26" t="e">
        <v>#NUM!</v>
      </c>
      <c r="Q77" s="42" t="e">
        <f t="shared" si="5"/>
        <v>#N/A</v>
      </c>
      <c r="R77" s="43" t="e">
        <f t="shared" si="5"/>
        <v>#NUM!</v>
      </c>
    </row>
    <row r="78" spans="4:18" x14ac:dyDescent="0.2">
      <c r="D78" s="11" t="e">
        <v>#NUM!</v>
      </c>
      <c r="E78" s="12" t="e">
        <f>_xll.qlYieldTSDiscount(C$4,D78,,Triggers!RTDataTrigger)</f>
        <v>#NUM!</v>
      </c>
      <c r="F78" s="37" t="e">
        <v>#N/A</v>
      </c>
      <c r="G78" s="26" t="e">
        <v>#NUM!</v>
      </c>
      <c r="H78" s="42" t="e">
        <f t="shared" si="4"/>
        <v>#N/A</v>
      </c>
      <c r="I78" s="43" t="e">
        <f t="shared" si="4"/>
        <v>#NUM!</v>
      </c>
      <c r="M78" s="11" t="e">
        <v>#NUM!</v>
      </c>
      <c r="N78" s="12" t="e">
        <f>_xll.qlYieldTSDiscount(L$4,M78,,Triggers!RTDataTrigger)</f>
        <v>#NUM!</v>
      </c>
      <c r="O78" s="37" t="e">
        <v>#N/A</v>
      </c>
      <c r="P78" s="26" t="e">
        <v>#NUM!</v>
      </c>
      <c r="Q78" s="42" t="e">
        <f t="shared" si="5"/>
        <v>#N/A</v>
      </c>
      <c r="R78" s="43" t="e">
        <f t="shared" si="5"/>
        <v>#NUM!</v>
      </c>
    </row>
    <row r="79" spans="4:18" x14ac:dyDescent="0.2">
      <c r="D79" s="11" t="e">
        <v>#NUM!</v>
      </c>
      <c r="E79" s="12" t="e">
        <f>_xll.qlYieldTSDiscount(C$4,D79,,Triggers!RTDataTrigger)</f>
        <v>#NUM!</v>
      </c>
      <c r="F79" s="37" t="e">
        <v>#N/A</v>
      </c>
      <c r="G79" s="26" t="e">
        <v>#NUM!</v>
      </c>
      <c r="H79" s="42" t="e">
        <f t="shared" si="4"/>
        <v>#N/A</v>
      </c>
      <c r="I79" s="43" t="e">
        <f t="shared" si="4"/>
        <v>#NUM!</v>
      </c>
      <c r="M79" s="11" t="e">
        <v>#NUM!</v>
      </c>
      <c r="N79" s="12" t="e">
        <f>_xll.qlYieldTSDiscount(L$4,M79,,Triggers!RTDataTrigger)</f>
        <v>#NUM!</v>
      </c>
      <c r="O79" s="37" t="e">
        <v>#N/A</v>
      </c>
      <c r="P79" s="26" t="e">
        <v>#NUM!</v>
      </c>
      <c r="Q79" s="42" t="e">
        <f t="shared" si="5"/>
        <v>#N/A</v>
      </c>
      <c r="R79" s="43" t="e">
        <f t="shared" si="5"/>
        <v>#NUM!</v>
      </c>
    </row>
    <row r="80" spans="4:18" x14ac:dyDescent="0.2">
      <c r="D80" s="11" t="e">
        <v>#NUM!</v>
      </c>
      <c r="E80" s="12" t="e">
        <f>_xll.qlYieldTSDiscount(C$4,D80,,Triggers!RTDataTrigger)</f>
        <v>#NUM!</v>
      </c>
      <c r="F80" s="37" t="e">
        <v>#N/A</v>
      </c>
      <c r="G80" s="26" t="e">
        <v>#NUM!</v>
      </c>
      <c r="H80" s="42" t="e">
        <f t="shared" si="4"/>
        <v>#N/A</v>
      </c>
      <c r="I80" s="43" t="e">
        <f t="shared" si="4"/>
        <v>#NUM!</v>
      </c>
      <c r="M80" s="11" t="e">
        <v>#NUM!</v>
      </c>
      <c r="N80" s="12" t="e">
        <f>_xll.qlYieldTSDiscount(L$4,M80,,Triggers!RTDataTrigger)</f>
        <v>#NUM!</v>
      </c>
      <c r="O80" s="37" t="e">
        <v>#N/A</v>
      </c>
      <c r="P80" s="26" t="e">
        <v>#NUM!</v>
      </c>
      <c r="Q80" s="42" t="e">
        <f t="shared" si="5"/>
        <v>#N/A</v>
      </c>
      <c r="R80" s="43" t="e">
        <f t="shared" si="5"/>
        <v>#NUM!</v>
      </c>
    </row>
    <row r="81" spans="4:18" x14ac:dyDescent="0.2">
      <c r="D81" s="11" t="e">
        <v>#NUM!</v>
      </c>
      <c r="E81" s="12" t="e">
        <f>_xll.qlYieldTSDiscount(C$4,D81,,Triggers!RTDataTrigger)</f>
        <v>#NUM!</v>
      </c>
      <c r="F81" s="37" t="e">
        <v>#N/A</v>
      </c>
      <c r="G81" s="26" t="e">
        <v>#NUM!</v>
      </c>
      <c r="H81" s="42" t="e">
        <f t="shared" si="4"/>
        <v>#N/A</v>
      </c>
      <c r="I81" s="43" t="e">
        <f t="shared" si="4"/>
        <v>#NUM!</v>
      </c>
      <c r="M81" s="11" t="e">
        <v>#NUM!</v>
      </c>
      <c r="N81" s="12" t="e">
        <f>_xll.qlYieldTSDiscount(L$4,M81,,Triggers!RTDataTrigger)</f>
        <v>#NUM!</v>
      </c>
      <c r="O81" s="37" t="e">
        <v>#N/A</v>
      </c>
      <c r="P81" s="26" t="e">
        <v>#NUM!</v>
      </c>
      <c r="Q81" s="42" t="e">
        <f t="shared" si="5"/>
        <v>#N/A</v>
      </c>
      <c r="R81" s="43" t="e">
        <f t="shared" si="5"/>
        <v>#NUM!</v>
      </c>
    </row>
    <row r="82" spans="4:18" x14ac:dyDescent="0.2">
      <c r="D82" s="11" t="e">
        <v>#NUM!</v>
      </c>
      <c r="E82" s="12" t="e">
        <f>_xll.qlYieldTSDiscount(C$4,D82,,Triggers!RTDataTrigger)</f>
        <v>#NUM!</v>
      </c>
      <c r="F82" s="37" t="e">
        <v>#N/A</v>
      </c>
      <c r="G82" s="26" t="e">
        <v>#NUM!</v>
      </c>
      <c r="H82" s="42" t="e">
        <f t="shared" si="4"/>
        <v>#N/A</v>
      </c>
      <c r="I82" s="43" t="e">
        <f t="shared" si="4"/>
        <v>#NUM!</v>
      </c>
      <c r="M82" s="11" t="e">
        <v>#NUM!</v>
      </c>
      <c r="N82" s="12" t="e">
        <f>_xll.qlYieldTSDiscount(L$4,M82,,Triggers!RTDataTrigger)</f>
        <v>#NUM!</v>
      </c>
      <c r="O82" s="37" t="e">
        <v>#N/A</v>
      </c>
      <c r="P82" s="26" t="e">
        <v>#NUM!</v>
      </c>
      <c r="Q82" s="42" t="e">
        <f t="shared" si="5"/>
        <v>#N/A</v>
      </c>
      <c r="R82" s="43" t="e">
        <f t="shared" si="5"/>
        <v>#NUM!</v>
      </c>
    </row>
    <row r="83" spans="4:18" x14ac:dyDescent="0.2">
      <c r="D83" s="11" t="e">
        <v>#NUM!</v>
      </c>
      <c r="E83" s="12" t="e">
        <f>_xll.qlYieldTSDiscount(C$4,D83,,Triggers!RTDataTrigger)</f>
        <v>#NUM!</v>
      </c>
      <c r="F83" s="37" t="e">
        <v>#N/A</v>
      </c>
      <c r="G83" s="26" t="e">
        <v>#NUM!</v>
      </c>
      <c r="H83" s="42" t="e">
        <f t="shared" si="4"/>
        <v>#N/A</v>
      </c>
      <c r="I83" s="43" t="e">
        <f t="shared" si="4"/>
        <v>#NUM!</v>
      </c>
      <c r="M83" s="11" t="e">
        <v>#NUM!</v>
      </c>
      <c r="N83" s="12" t="e">
        <f>_xll.qlYieldTSDiscount(L$4,M83,,Triggers!RTDataTrigger)</f>
        <v>#NUM!</v>
      </c>
      <c r="O83" s="37" t="e">
        <v>#N/A</v>
      </c>
      <c r="P83" s="26" t="e">
        <v>#NUM!</v>
      </c>
      <c r="Q83" s="42" t="e">
        <f t="shared" si="5"/>
        <v>#N/A</v>
      </c>
      <c r="R83" s="43" t="e">
        <f t="shared" si="5"/>
        <v>#NUM!</v>
      </c>
    </row>
    <row r="84" spans="4:18" x14ac:dyDescent="0.2">
      <c r="D84" s="11" t="e">
        <v>#NUM!</v>
      </c>
      <c r="E84" s="12" t="e">
        <f>_xll.qlYieldTSDiscount(C$4,D84,,Triggers!RTDataTrigger)</f>
        <v>#NUM!</v>
      </c>
      <c r="F84" s="37" t="e">
        <v>#N/A</v>
      </c>
      <c r="G84" s="26" t="e">
        <v>#NUM!</v>
      </c>
      <c r="H84" s="42" t="e">
        <f t="shared" si="4"/>
        <v>#N/A</v>
      </c>
      <c r="I84" s="43" t="e">
        <f t="shared" si="4"/>
        <v>#NUM!</v>
      </c>
      <c r="M84" s="11" t="e">
        <v>#NUM!</v>
      </c>
      <c r="N84" s="12" t="e">
        <f>_xll.qlYieldTSDiscount(L$4,M84,,Triggers!RTDataTrigger)</f>
        <v>#NUM!</v>
      </c>
      <c r="O84" s="37" t="e">
        <v>#N/A</v>
      </c>
      <c r="P84" s="26" t="e">
        <v>#NUM!</v>
      </c>
      <c r="Q84" s="42" t="e">
        <f t="shared" si="5"/>
        <v>#N/A</v>
      </c>
      <c r="R84" s="43" t="e">
        <f t="shared" si="5"/>
        <v>#NUM!</v>
      </c>
    </row>
    <row r="85" spans="4:18" x14ac:dyDescent="0.2">
      <c r="D85" s="11" t="e">
        <v>#NUM!</v>
      </c>
      <c r="E85" s="12" t="e">
        <f>_xll.qlYieldTSDiscount(C$4,D85,,Triggers!RTDataTrigger)</f>
        <v>#NUM!</v>
      </c>
      <c r="F85" s="37" t="e">
        <v>#N/A</v>
      </c>
      <c r="G85" s="26" t="e">
        <v>#NUM!</v>
      </c>
      <c r="H85" s="42" t="e">
        <f t="shared" si="4"/>
        <v>#N/A</v>
      </c>
      <c r="I85" s="43" t="e">
        <f t="shared" si="4"/>
        <v>#NUM!</v>
      </c>
      <c r="M85" s="11" t="e">
        <v>#NUM!</v>
      </c>
      <c r="N85" s="12" t="e">
        <f>_xll.qlYieldTSDiscount(L$4,M85,,Triggers!RTDataTrigger)</f>
        <v>#NUM!</v>
      </c>
      <c r="O85" s="37" t="e">
        <v>#N/A</v>
      </c>
      <c r="P85" s="26" t="e">
        <v>#NUM!</v>
      </c>
      <c r="Q85" s="42" t="e">
        <f t="shared" si="5"/>
        <v>#N/A</v>
      </c>
      <c r="R85" s="43" t="e">
        <f t="shared" si="5"/>
        <v>#NUM!</v>
      </c>
    </row>
    <row r="86" spans="4:18" x14ac:dyDescent="0.2">
      <c r="D86" s="11" t="e">
        <v>#NUM!</v>
      </c>
      <c r="E86" s="12" t="e">
        <f>_xll.qlYieldTSDiscount(C$4,D86,,Triggers!RTDataTrigger)</f>
        <v>#NUM!</v>
      </c>
      <c r="F86" s="37" t="e">
        <v>#N/A</v>
      </c>
      <c r="G86" s="26" t="e">
        <v>#NUM!</v>
      </c>
      <c r="H86" s="42" t="e">
        <f t="shared" si="4"/>
        <v>#N/A</v>
      </c>
      <c r="I86" s="43" t="e">
        <f t="shared" si="4"/>
        <v>#NUM!</v>
      </c>
      <c r="M86" s="11" t="e">
        <v>#NUM!</v>
      </c>
      <c r="N86" s="12" t="e">
        <f>_xll.qlYieldTSDiscount(L$4,M86,,Triggers!RTDataTrigger)</f>
        <v>#NUM!</v>
      </c>
      <c r="O86" s="37" t="e">
        <v>#N/A</v>
      </c>
      <c r="P86" s="26" t="e">
        <v>#NUM!</v>
      </c>
      <c r="Q86" s="42" t="e">
        <f t="shared" si="5"/>
        <v>#N/A</v>
      </c>
      <c r="R86" s="43" t="e">
        <f t="shared" si="5"/>
        <v>#NUM!</v>
      </c>
    </row>
    <row r="87" spans="4:18" x14ac:dyDescent="0.2">
      <c r="D87" s="11" t="e">
        <v>#NUM!</v>
      </c>
      <c r="E87" s="12" t="e">
        <f>_xll.qlYieldTSDiscount(C$4,D87,,Triggers!RTDataTrigger)</f>
        <v>#NUM!</v>
      </c>
      <c r="F87" s="37" t="e">
        <v>#N/A</v>
      </c>
      <c r="G87" s="26" t="e">
        <v>#NUM!</v>
      </c>
      <c r="H87" s="42" t="e">
        <f t="shared" si="4"/>
        <v>#N/A</v>
      </c>
      <c r="I87" s="43" t="e">
        <f t="shared" si="4"/>
        <v>#NUM!</v>
      </c>
      <c r="M87" s="11" t="e">
        <v>#NUM!</v>
      </c>
      <c r="N87" s="12" t="e">
        <f>_xll.qlYieldTSDiscount(L$4,M87,,Triggers!RTDataTrigger)</f>
        <v>#NUM!</v>
      </c>
      <c r="O87" s="37" t="e">
        <v>#N/A</v>
      </c>
      <c r="P87" s="26" t="e">
        <v>#NUM!</v>
      </c>
      <c r="Q87" s="42" t="e">
        <f t="shared" si="5"/>
        <v>#N/A</v>
      </c>
      <c r="R87" s="43" t="e">
        <f t="shared" si="5"/>
        <v>#NUM!</v>
      </c>
    </row>
    <row r="88" spans="4:18" x14ac:dyDescent="0.2">
      <c r="D88" s="11" t="e">
        <v>#NUM!</v>
      </c>
      <c r="E88" s="12" t="e">
        <f>_xll.qlYieldTSDiscount(C$4,D88,,Triggers!RTDataTrigger)</f>
        <v>#NUM!</v>
      </c>
      <c r="F88" s="37" t="e">
        <v>#N/A</v>
      </c>
      <c r="G88" s="26" t="e">
        <v>#NUM!</v>
      </c>
      <c r="H88" s="42" t="e">
        <f t="shared" si="4"/>
        <v>#N/A</v>
      </c>
      <c r="I88" s="43" t="e">
        <f t="shared" si="4"/>
        <v>#NUM!</v>
      </c>
      <c r="M88" s="11" t="e">
        <v>#NUM!</v>
      </c>
      <c r="N88" s="12" t="e">
        <f>_xll.qlYieldTSDiscount(L$4,M88,,Triggers!RTDataTrigger)</f>
        <v>#NUM!</v>
      </c>
      <c r="O88" s="37" t="e">
        <v>#N/A</v>
      </c>
      <c r="P88" s="26" t="e">
        <v>#NUM!</v>
      </c>
      <c r="Q88" s="42" t="e">
        <f t="shared" si="5"/>
        <v>#N/A</v>
      </c>
      <c r="R88" s="43" t="e">
        <f t="shared" si="5"/>
        <v>#NUM!</v>
      </c>
    </row>
    <row r="89" spans="4:18" x14ac:dyDescent="0.2">
      <c r="D89" s="11" t="e">
        <v>#NUM!</v>
      </c>
      <c r="E89" s="12" t="e">
        <f>_xll.qlYieldTSDiscount(C$4,D89,,Triggers!RTDataTrigger)</f>
        <v>#NUM!</v>
      </c>
      <c r="F89" s="37" t="e">
        <v>#N/A</v>
      </c>
      <c r="G89" s="26" t="e">
        <v>#NUM!</v>
      </c>
      <c r="H89" s="42" t="e">
        <f t="shared" si="4"/>
        <v>#N/A</v>
      </c>
      <c r="I89" s="43" t="e">
        <f t="shared" si="4"/>
        <v>#NUM!</v>
      </c>
      <c r="M89" s="11" t="e">
        <v>#NUM!</v>
      </c>
      <c r="N89" s="12" t="e">
        <f>_xll.qlYieldTSDiscount(L$4,M89,,Triggers!RTDataTrigger)</f>
        <v>#NUM!</v>
      </c>
      <c r="O89" s="37" t="e">
        <v>#N/A</v>
      </c>
      <c r="P89" s="26" t="e">
        <v>#NUM!</v>
      </c>
      <c r="Q89" s="42" t="e">
        <f t="shared" si="5"/>
        <v>#N/A</v>
      </c>
      <c r="R89" s="43" t="e">
        <f t="shared" si="5"/>
        <v>#NUM!</v>
      </c>
    </row>
    <row r="90" spans="4:18" x14ac:dyDescent="0.2">
      <c r="D90" s="11" t="e">
        <v>#NUM!</v>
      </c>
      <c r="E90" s="12" t="e">
        <f>_xll.qlYieldTSDiscount(C$4,D90,,Triggers!RTDataTrigger)</f>
        <v>#NUM!</v>
      </c>
      <c r="F90" s="37" t="e">
        <v>#N/A</v>
      </c>
      <c r="G90" s="26" t="e">
        <v>#NUM!</v>
      </c>
      <c r="H90" s="42" t="e">
        <f t="shared" si="4"/>
        <v>#N/A</v>
      </c>
      <c r="I90" s="43" t="e">
        <f t="shared" si="4"/>
        <v>#NUM!</v>
      </c>
      <c r="M90" s="11" t="e">
        <v>#NUM!</v>
      </c>
      <c r="N90" s="12" t="e">
        <f>_xll.qlYieldTSDiscount(L$4,M90,,Triggers!RTDataTrigger)</f>
        <v>#NUM!</v>
      </c>
      <c r="O90" s="37" t="e">
        <v>#N/A</v>
      </c>
      <c r="P90" s="26" t="e">
        <v>#NUM!</v>
      </c>
      <c r="Q90" s="42" t="e">
        <f t="shared" si="5"/>
        <v>#N/A</v>
      </c>
      <c r="R90" s="43" t="e">
        <f t="shared" si="5"/>
        <v>#NUM!</v>
      </c>
    </row>
    <row r="91" spans="4:18" x14ac:dyDescent="0.2">
      <c r="D91" s="11" t="e">
        <v>#NUM!</v>
      </c>
      <c r="E91" s="12" t="e">
        <f>_xll.qlYieldTSDiscount(C$4,D91,,Triggers!RTDataTrigger)</f>
        <v>#NUM!</v>
      </c>
      <c r="F91" s="37" t="e">
        <v>#N/A</v>
      </c>
      <c r="G91" s="26" t="e">
        <v>#NUM!</v>
      </c>
      <c r="H91" s="42" t="e">
        <f t="shared" si="4"/>
        <v>#N/A</v>
      </c>
      <c r="I91" s="43" t="e">
        <f t="shared" si="4"/>
        <v>#NUM!</v>
      </c>
      <c r="M91" s="11" t="e">
        <v>#NUM!</v>
      </c>
      <c r="N91" s="12" t="e">
        <f>_xll.qlYieldTSDiscount(L$4,M91,,Triggers!RTDataTrigger)</f>
        <v>#NUM!</v>
      </c>
      <c r="O91" s="37" t="e">
        <v>#N/A</v>
      </c>
      <c r="P91" s="26" t="e">
        <v>#NUM!</v>
      </c>
      <c r="Q91" s="42" t="e">
        <f t="shared" si="5"/>
        <v>#N/A</v>
      </c>
      <c r="R91" s="43" t="e">
        <f t="shared" si="5"/>
        <v>#NUM!</v>
      </c>
    </row>
    <row r="92" spans="4:18" x14ac:dyDescent="0.2">
      <c r="D92" s="11" t="e">
        <v>#NUM!</v>
      </c>
      <c r="E92" s="12" t="e">
        <f>_xll.qlYieldTSDiscount(C$4,D92,,Triggers!RTDataTrigger)</f>
        <v>#NUM!</v>
      </c>
      <c r="F92" s="37" t="e">
        <v>#N/A</v>
      </c>
      <c r="G92" s="26" t="e">
        <v>#NUM!</v>
      </c>
      <c r="H92" s="42" t="e">
        <f t="shared" si="4"/>
        <v>#N/A</v>
      </c>
      <c r="I92" s="43" t="e">
        <f t="shared" si="4"/>
        <v>#NUM!</v>
      </c>
      <c r="M92" s="11" t="e">
        <v>#NUM!</v>
      </c>
      <c r="N92" s="12" t="e">
        <f>_xll.qlYieldTSDiscount(L$4,M92,,Triggers!RTDataTrigger)</f>
        <v>#NUM!</v>
      </c>
      <c r="O92" s="37" t="e">
        <v>#N/A</v>
      </c>
      <c r="P92" s="26" t="e">
        <v>#NUM!</v>
      </c>
      <c r="Q92" s="42" t="e">
        <f t="shared" si="5"/>
        <v>#N/A</v>
      </c>
      <c r="R92" s="43" t="e">
        <f t="shared" si="5"/>
        <v>#NUM!</v>
      </c>
    </row>
    <row r="93" spans="4:18" x14ac:dyDescent="0.2">
      <c r="D93" s="13" t="e">
        <v>#NUM!</v>
      </c>
      <c r="E93" s="14" t="e">
        <f>_xll.qlYieldTSDiscount(C$4,D93,,Triggers!RTDataTrigger)</f>
        <v>#NUM!</v>
      </c>
      <c r="F93" s="38" t="e">
        <v>#N/A</v>
      </c>
      <c r="G93" s="39" t="e">
        <v>#NUM!</v>
      </c>
      <c r="H93" s="44" t="e">
        <f t="shared" si="4"/>
        <v>#N/A</v>
      </c>
      <c r="I93" s="45" t="e">
        <f t="shared" si="4"/>
        <v>#NUM!</v>
      </c>
      <c r="M93" s="13" t="e">
        <v>#NUM!</v>
      </c>
      <c r="N93" s="14" t="e">
        <f>_xll.qlYieldTSDiscount(L$4,M93,,Triggers!RTDataTrigger)</f>
        <v>#NUM!</v>
      </c>
      <c r="O93" s="38" t="e">
        <v>#N/A</v>
      </c>
      <c r="P93" s="39" t="e">
        <v>#NUM!</v>
      </c>
      <c r="Q93" s="44" t="e">
        <f t="shared" si="5"/>
        <v>#N/A</v>
      </c>
      <c r="R93" s="45" t="e">
        <f t="shared" si="5"/>
        <v>#NUM!</v>
      </c>
    </row>
  </sheetData>
  <mergeCells count="6">
    <mergeCell ref="D2:E2"/>
    <mergeCell ref="F2:G2"/>
    <mergeCell ref="H2:I2"/>
    <mergeCell ref="M2:N2"/>
    <mergeCell ref="O2:P2"/>
    <mergeCell ref="Q2:R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5" tint="0.59999389629810485"/>
    <outlinePr summaryRight="0"/>
  </sheetPr>
  <dimension ref="A1:AX97"/>
  <sheetViews>
    <sheetView workbookViewId="0">
      <selection activeCell="AF29" sqref="AF29"/>
    </sheetView>
  </sheetViews>
  <sheetFormatPr defaultColWidth="9.33203125" defaultRowHeight="11.25" customHeight="1" outlineLevelCol="1" x14ac:dyDescent="0.2"/>
  <cols>
    <col min="1" max="1" width="3.83203125" style="60" customWidth="1"/>
    <col min="2" max="2" width="25.83203125" style="60" customWidth="1"/>
    <col min="3" max="3" width="20.83203125" style="60" customWidth="1"/>
    <col min="4" max="4" width="3.83203125" style="60" customWidth="1"/>
    <col min="5" max="5" width="9.33203125" style="59"/>
    <col min="6" max="6" width="9.33203125" style="59" collapsed="1"/>
    <col min="7" max="8" width="9.33203125" style="59" hidden="1" customWidth="1" outlineLevel="1"/>
    <col min="9" max="11" width="9.33203125" style="59"/>
    <col min="12" max="12" width="9.33203125" style="59" collapsed="1"/>
    <col min="13" max="17" width="9.33203125" style="59" hidden="1" customWidth="1" outlineLevel="1"/>
    <col min="18" max="18" width="10.83203125" style="59" hidden="1" customWidth="1" outlineLevel="1"/>
    <col min="19" max="19" width="9.33203125" style="59" hidden="1" customWidth="1" outlineLevel="1"/>
    <col min="20" max="20" width="3.83203125" style="59" customWidth="1"/>
    <col min="21" max="21" width="10.83203125" style="61" customWidth="1"/>
    <col min="22" max="22" width="12.83203125" style="61" customWidth="1"/>
    <col min="23" max="23" width="3.83203125" style="60" customWidth="1"/>
    <col min="24" max="24" width="11.83203125" style="59" hidden="1" customWidth="1"/>
    <col min="25" max="26" width="9.5" style="59" hidden="1" customWidth="1"/>
    <col min="27" max="27" width="2.83203125" style="59" hidden="1" customWidth="1"/>
    <col min="28" max="28" width="10.33203125" style="59" hidden="1" customWidth="1"/>
    <col min="29" max="30" width="0" style="59" hidden="1" customWidth="1"/>
    <col min="31" max="31" width="9.33203125" style="59"/>
    <col min="32" max="32" width="14.6640625" style="59" bestFit="1" customWidth="1"/>
    <col min="33" max="33" width="11.83203125" style="59" customWidth="1"/>
    <col min="34" max="34" width="16.5" style="59" customWidth="1"/>
    <col min="35" max="35" width="11.5" style="59" bestFit="1" customWidth="1"/>
    <col min="36" max="36" width="3.33203125" style="59" bestFit="1" customWidth="1"/>
    <col min="37" max="37" width="9.83203125" style="59" bestFit="1" customWidth="1"/>
    <col min="38" max="38" width="10.6640625" style="59" customWidth="1"/>
    <col min="39" max="39" width="9.83203125" style="59" bestFit="1" customWidth="1"/>
    <col min="40" max="40" width="6.83203125" style="59" bestFit="1" customWidth="1"/>
    <col min="41" max="44" width="12.5" style="59" bestFit="1" customWidth="1"/>
    <col min="45" max="45" width="14.5" style="59" customWidth="1"/>
    <col min="46" max="46" width="14.33203125" style="59" customWidth="1"/>
    <col min="47" max="47" width="12.5" style="59" bestFit="1" customWidth="1"/>
    <col min="48" max="48" width="9.33203125" style="59"/>
    <col min="49" max="49" width="12.6640625" style="59" bestFit="1" customWidth="1"/>
    <col min="50" max="16384" width="9.33203125" style="59"/>
  </cols>
  <sheetData>
    <row r="1" spans="1:50" ht="11.25" customHeight="1" x14ac:dyDescent="0.2">
      <c r="A1"/>
      <c r="B1" s="171"/>
      <c r="C1" s="59"/>
      <c r="D1" s="59"/>
      <c r="F1" s="61"/>
      <c r="G1" s="61"/>
      <c r="H1" s="61"/>
      <c r="I1" s="61"/>
      <c r="J1" s="61"/>
      <c r="K1" s="61"/>
      <c r="L1" s="61"/>
      <c r="U1" s="198" t="b">
        <v>1</v>
      </c>
      <c r="V1" s="192"/>
      <c r="W1"/>
      <c r="AG1" s="59" t="s">
        <v>188</v>
      </c>
      <c r="AH1" s="59" t="s">
        <v>149</v>
      </c>
    </row>
    <row r="2" spans="1:50" ht="11.25" customHeight="1" x14ac:dyDescent="0.2">
      <c r="A2" s="59"/>
      <c r="B2" s="294" t="s">
        <v>97</v>
      </c>
      <c r="C2" s="295"/>
      <c r="D2" s="59"/>
      <c r="E2" s="144" t="s">
        <v>77</v>
      </c>
      <c r="F2" s="61"/>
      <c r="H2" s="61"/>
      <c r="I2" s="144" t="s">
        <v>76</v>
      </c>
      <c r="J2" s="144" t="s">
        <v>75</v>
      </c>
      <c r="K2" s="144" t="s">
        <v>74</v>
      </c>
      <c r="L2" s="144" t="s">
        <v>73</v>
      </c>
      <c r="U2" s="170" t="s">
        <v>96</v>
      </c>
      <c r="V2" s="170" t="str">
        <f>C41</f>
        <v>Discounts</v>
      </c>
      <c r="W2" s="191"/>
      <c r="X2" s="121" t="s">
        <v>82</v>
      </c>
      <c r="Y2" s="123" t="s">
        <v>71</v>
      </c>
      <c r="Z2" s="122" t="s">
        <v>70</v>
      </c>
      <c r="AE2" s="257" t="s">
        <v>146</v>
      </c>
      <c r="AF2" s="258"/>
      <c r="AG2" s="258"/>
      <c r="AH2" s="259"/>
      <c r="AJ2" s="59" t="s">
        <v>204</v>
      </c>
      <c r="AK2" s="59" t="s">
        <v>187</v>
      </c>
      <c r="AL2" s="59" t="s">
        <v>205</v>
      </c>
      <c r="AM2" s="59" t="s">
        <v>180</v>
      </c>
      <c r="AN2" s="59" t="s">
        <v>180</v>
      </c>
      <c r="AO2" s="59" t="s">
        <v>206</v>
      </c>
      <c r="AP2" s="59" t="s">
        <v>207</v>
      </c>
      <c r="AQ2" s="59" t="s">
        <v>213</v>
      </c>
      <c r="AR2" s="59" t="s">
        <v>214</v>
      </c>
      <c r="AS2" s="59" t="s">
        <v>208</v>
      </c>
    </row>
    <row r="3" spans="1:50" ht="11.25" customHeight="1" x14ac:dyDescent="0.2">
      <c r="A3" s="59"/>
      <c r="B3" s="296" t="s">
        <v>95</v>
      </c>
      <c r="C3" s="299">
        <f>EvaluationDate</f>
        <v>42794</v>
      </c>
      <c r="D3" s="59"/>
      <c r="E3" s="152" t="b">
        <v>1</v>
      </c>
      <c r="F3" s="151" t="str">
        <f>C7&amp;C6</f>
        <v>USDEUR</v>
      </c>
      <c r="G3" s="60"/>
      <c r="H3" s="60"/>
      <c r="I3" s="150">
        <f>AVERAGE(Y27:Z27)</f>
        <v>1.0628500000000001</v>
      </c>
      <c r="J3" s="148">
        <v>1.0597000000000001</v>
      </c>
      <c r="K3" s="149"/>
      <c r="L3" s="148">
        <f>IF(ISNUMBER(J3),J3,I3)+K3</f>
        <v>1.0597000000000001</v>
      </c>
      <c r="U3" s="169">
        <f t="array" ref="U3:V79">IF(U1,_xll.xlCCBasisCurveBootstrapper(C4,C3,C6,C7,L3,S5,Q6:S42,0,U2:V2,S46,R47:S88,C12,C13,C14,C45,B48:B71,C48:C71,C16),"-")</f>
        <v>42794</v>
      </c>
      <c r="V3" s="168">
        <v>1</v>
      </c>
      <c r="W3"/>
      <c r="X3" s="117" t="s">
        <v>94</v>
      </c>
      <c r="Y3" s="117">
        <f>_xll.RtGet($AC$3,$AC$4&amp;$X3&amp;$AC$5,Y$2)</f>
        <v>1</v>
      </c>
      <c r="Z3" s="115">
        <f>_xll.RtGet($AC$3,$AC$4&amp;$X3&amp;$AC$5,Z$2)</f>
        <v>1.1000000000000001</v>
      </c>
      <c r="AB3" s="113" t="s">
        <v>68</v>
      </c>
      <c r="AC3" s="112" t="s">
        <v>67</v>
      </c>
      <c r="AE3" s="260" t="s">
        <v>160</v>
      </c>
      <c r="AF3" s="261"/>
      <c r="AG3" s="261"/>
      <c r="AH3" s="262" t="s">
        <v>161</v>
      </c>
      <c r="AJ3" s="59" t="s">
        <v>209</v>
      </c>
      <c r="AK3" s="205">
        <v>42796</v>
      </c>
      <c r="AL3" s="59" t="s">
        <v>210</v>
      </c>
      <c r="AM3" s="205">
        <v>42803</v>
      </c>
      <c r="AN3" s="59" t="s">
        <v>189</v>
      </c>
      <c r="AO3" s="59">
        <v>0.99994884325174305</v>
      </c>
      <c r="AP3" s="59">
        <v>0.20747434150044899</v>
      </c>
      <c r="AQ3" s="59">
        <v>0.99977417796353296</v>
      </c>
      <c r="AR3" s="59">
        <v>0.91593723785916503</v>
      </c>
      <c r="AS3" s="59">
        <v>0.894543749</v>
      </c>
      <c r="AU3" s="206">
        <f>+$AQ3-AG40</f>
        <v>0</v>
      </c>
      <c r="AV3" s="206">
        <f>+$AQ3-AH40</f>
        <v>0</v>
      </c>
      <c r="AW3" s="59">
        <f>+$AQ3-AK40</f>
        <v>-2.230546778392295E-6</v>
      </c>
      <c r="AX3" s="59">
        <f>+$AQ3-AL40</f>
        <v>0</v>
      </c>
    </row>
    <row r="4" spans="1:50" ht="11.25" customHeight="1" x14ac:dyDescent="0.2">
      <c r="A4" s="59"/>
      <c r="B4" s="297" t="s">
        <v>91</v>
      </c>
      <c r="C4" s="300" t="s">
        <v>186</v>
      </c>
      <c r="D4" s="59"/>
      <c r="U4" s="65">
        <v>42803</v>
      </c>
      <c r="V4" s="64">
        <v>0.99977417796353341</v>
      </c>
      <c r="W4"/>
      <c r="X4" s="73" t="s">
        <v>92</v>
      </c>
      <c r="Y4" s="73">
        <f>_xll.RtGet($AC$3,$AC$4&amp;$X4&amp;$AC$5,Y$2)</f>
        <v>1.07</v>
      </c>
      <c r="Z4" s="71">
        <f>_xll.RtGet($AC$3,$AC$4&amp;$X4&amp;$AC$5,Z$2)</f>
        <v>1.17</v>
      </c>
      <c r="AB4" s="110" t="s">
        <v>66</v>
      </c>
      <c r="AC4" s="109" t="s">
        <v>149</v>
      </c>
      <c r="AE4" s="263" t="s">
        <v>123</v>
      </c>
      <c r="AF4" s="264"/>
      <c r="AG4" s="264"/>
      <c r="AH4" s="265">
        <f>_xll.xlDateWorkFw($AH$1,$C$3+1,0)</f>
        <v>42795</v>
      </c>
      <c r="AJ4" s="59" t="s">
        <v>209</v>
      </c>
      <c r="AK4" s="205">
        <v>42796</v>
      </c>
      <c r="AL4" s="59" t="s">
        <v>210</v>
      </c>
      <c r="AM4" s="205">
        <v>42810</v>
      </c>
      <c r="AN4" s="59" t="s">
        <v>190</v>
      </c>
      <c r="AO4" s="59">
        <v>0.999906292863873</v>
      </c>
      <c r="AP4" s="59">
        <v>0.213779420774621</v>
      </c>
      <c r="AQ4" s="59">
        <v>0.99959519690405996</v>
      </c>
      <c r="AR4" s="59">
        <v>0.92364402220762298</v>
      </c>
      <c r="AS4" s="59">
        <v>0.90777535099999995</v>
      </c>
      <c r="AU4" s="206">
        <f t="shared" ref="AU4:AV32" si="0">+$AQ4-AG41</f>
        <v>0</v>
      </c>
      <c r="AV4" s="206">
        <f t="shared" si="0"/>
        <v>0</v>
      </c>
      <c r="AW4" s="59">
        <f t="shared" ref="AW4:AX32" si="1">+$AQ4-AK41</f>
        <v>-2.2301474628116935E-6</v>
      </c>
      <c r="AX4" s="59">
        <f t="shared" si="1"/>
        <v>0</v>
      </c>
    </row>
    <row r="5" spans="1:50" ht="11.25" customHeight="1" x14ac:dyDescent="0.2">
      <c r="A5" s="61"/>
      <c r="B5" s="298" t="s">
        <v>220</v>
      </c>
      <c r="C5" s="301" t="str">
        <f>AH3</f>
        <v>USDON_</v>
      </c>
      <c r="D5" s="59"/>
      <c r="E5" s="144" t="s">
        <v>77</v>
      </c>
      <c r="G5" s="126"/>
      <c r="H5" s="126"/>
      <c r="I5" s="144" t="s">
        <v>76</v>
      </c>
      <c r="J5" s="144" t="s">
        <v>75</v>
      </c>
      <c r="K5" s="144" t="s">
        <v>74</v>
      </c>
      <c r="L5" s="144" t="s">
        <v>73</v>
      </c>
      <c r="M5" s="126"/>
      <c r="N5" s="126"/>
      <c r="P5" s="126"/>
      <c r="Q5" s="126"/>
      <c r="R5" s="126"/>
      <c r="S5" s="66">
        <f t="array" ref="S5">SUM(1*E6:E42)</f>
        <v>12</v>
      </c>
      <c r="U5" s="65">
        <v>42810</v>
      </c>
      <c r="V5" s="64">
        <v>0.99959519690406051</v>
      </c>
      <c r="W5"/>
      <c r="X5" s="68" t="s">
        <v>89</v>
      </c>
      <c r="Y5" s="68">
        <f>_xll.RtGet($AC$3,$AC$4&amp;$X5&amp;$AC$5,Y$2)</f>
        <v>1.04</v>
      </c>
      <c r="Z5" s="69">
        <f>_xll.RtGet($AC$3,$AC$4&amp;$X5&amp;$AC$5,Z$2)</f>
        <v>1.1400000000000001</v>
      </c>
      <c r="AB5" s="107" t="s">
        <v>63</v>
      </c>
      <c r="AC5" s="106" t="s">
        <v>145</v>
      </c>
      <c r="AE5" s="266" t="s">
        <v>124</v>
      </c>
      <c r="AF5" s="267"/>
      <c r="AG5" s="267"/>
      <c r="AH5" s="268">
        <f>_xll.xlDateWorkFw($C$7,$AH$4+1,0)</f>
        <v>42796</v>
      </c>
      <c r="AJ5" s="59" t="s">
        <v>209</v>
      </c>
      <c r="AK5" s="205">
        <v>42796</v>
      </c>
      <c r="AL5" s="59" t="s">
        <v>210</v>
      </c>
      <c r="AM5" s="205">
        <v>42817</v>
      </c>
      <c r="AN5" s="59" t="s">
        <v>191</v>
      </c>
      <c r="AO5" s="59">
        <v>0.99983948006992096</v>
      </c>
      <c r="AP5" s="59">
        <v>0.25475859737133499</v>
      </c>
      <c r="AQ5" s="59">
        <v>0.99938997937963603</v>
      </c>
      <c r="AR5" s="59">
        <v>0.968371595240895</v>
      </c>
      <c r="AS5" s="59">
        <v>0.95732404500000001</v>
      </c>
      <c r="AU5" s="206">
        <f t="shared" si="0"/>
        <v>-9.9920072216264089E-16</v>
      </c>
      <c r="AV5" s="206">
        <f t="shared" si="0"/>
        <v>-8.8817841970012523E-16</v>
      </c>
      <c r="AW5" s="59">
        <f t="shared" si="1"/>
        <v>-2.2296896123874532E-6</v>
      </c>
      <c r="AX5" s="59">
        <f t="shared" si="1"/>
        <v>-8.8817841970012523E-16</v>
      </c>
    </row>
    <row r="6" spans="1:50" ht="11.25" customHeight="1" x14ac:dyDescent="0.2">
      <c r="A6" s="61"/>
      <c r="B6" s="166" t="s">
        <v>98</v>
      </c>
      <c r="C6" s="108" t="s">
        <v>100</v>
      </c>
      <c r="D6" s="59"/>
      <c r="E6" s="172" t="b">
        <v>0</v>
      </c>
      <c r="F6" s="173" t="str">
        <f>X3</f>
        <v>ON</v>
      </c>
      <c r="G6" s="161">
        <v>0</v>
      </c>
      <c r="H6" s="174" t="s">
        <v>24</v>
      </c>
      <c r="I6" s="189"/>
      <c r="J6" s="193">
        <f t="array" ref="J6:J7">100*AH17:AH18</f>
        <v>0.93463695832340932</v>
      </c>
      <c r="K6" s="176"/>
      <c r="L6" s="175">
        <f t="shared" ref="L6:L22" si="2">IF(ISNUMBER(J6),J6,I6)+K6</f>
        <v>0.93463695832340932</v>
      </c>
      <c r="M6" s="117">
        <v>1</v>
      </c>
      <c r="N6" s="115" t="str">
        <f t="shared" ref="N6:N21" si="3">IF(E6,M6,"")</f>
        <v/>
      </c>
      <c r="O6" s="66">
        <f>IF($S$5&gt;0,1,"")</f>
        <v>1</v>
      </c>
      <c r="P6" s="115">
        <f t="shared" ref="P6:P21" si="4">IF(LEN(O6)&gt;0,SMALL($N$6:$N$42,O6),"")</f>
        <v>4</v>
      </c>
      <c r="Q6" s="117">
        <f t="shared" ref="Q6:Q21" si="5">IF(LEN(O6)&gt;0,INDEX($G$6:$G$42,$P6),"")</f>
        <v>1</v>
      </c>
      <c r="R6" s="116" t="str">
        <f t="shared" ref="R6:R21" si="6">IF(LEN(P6)&gt;0,INDEX($H$6:$H$42,$P6),"")</f>
        <v>w</v>
      </c>
      <c r="S6" s="138">
        <f t="shared" ref="S6:S21" si="7">IF(LEN(P6)&gt;0,INDEX($L$6:$L$42,$P6),"")</f>
        <v>0.894543749</v>
      </c>
      <c r="U6" s="65">
        <v>42817</v>
      </c>
      <c r="V6" s="64">
        <v>0.99938997937963692</v>
      </c>
      <c r="W6"/>
      <c r="X6" s="72"/>
      <c r="Y6" s="72"/>
      <c r="Z6" s="72"/>
      <c r="AB6" s="61"/>
      <c r="AC6" s="61"/>
      <c r="AE6" s="269" t="s">
        <v>125</v>
      </c>
      <c r="AF6" s="270"/>
      <c r="AG6" s="270"/>
      <c r="AH6" s="271">
        <f>_xll.xlDateWorkFw($C$7,$AH$5+7,0)</f>
        <v>42803</v>
      </c>
      <c r="AJ6" s="59" t="s">
        <v>209</v>
      </c>
      <c r="AK6" s="205">
        <v>42796</v>
      </c>
      <c r="AL6" s="59" t="s">
        <v>210</v>
      </c>
      <c r="AM6" s="205">
        <v>42828</v>
      </c>
      <c r="AN6" s="59" t="s">
        <v>192</v>
      </c>
      <c r="AO6" s="59">
        <v>0.99943818385479399</v>
      </c>
      <c r="AP6" s="59">
        <v>0.60329564237224997</v>
      </c>
      <c r="AQ6" s="59">
        <v>0.99876820639832098</v>
      </c>
      <c r="AR6" s="59">
        <v>1.32318177145585</v>
      </c>
      <c r="AS6" s="59">
        <v>1.3289923109999999</v>
      </c>
      <c r="AU6" s="206">
        <f t="shared" si="0"/>
        <v>0</v>
      </c>
      <c r="AV6" s="206">
        <f t="shared" si="0"/>
        <v>0</v>
      </c>
      <c r="AW6" s="59">
        <f t="shared" si="1"/>
        <v>-2.2283024051494849E-6</v>
      </c>
      <c r="AX6" s="59">
        <f t="shared" si="1"/>
        <v>0</v>
      </c>
    </row>
    <row r="7" spans="1:50" ht="11.25" customHeight="1" x14ac:dyDescent="0.2">
      <c r="A7" s="61"/>
      <c r="B7" s="166" t="s">
        <v>99</v>
      </c>
      <c r="C7" s="108" t="s">
        <v>149</v>
      </c>
      <c r="D7" s="59"/>
      <c r="E7" s="177" t="b">
        <v>0</v>
      </c>
      <c r="F7" s="178" t="str">
        <f>X4</f>
        <v>TN</v>
      </c>
      <c r="G7" s="179">
        <v>0</v>
      </c>
      <c r="H7" s="180" t="s">
        <v>93</v>
      </c>
      <c r="I7" s="190"/>
      <c r="J7" s="194">
        <v>0.93463695830742211</v>
      </c>
      <c r="K7" s="182"/>
      <c r="L7" s="181">
        <f t="shared" si="2"/>
        <v>0.93463695830742211</v>
      </c>
      <c r="M7" s="73">
        <f t="shared" ref="M7:M42" si="8">M6+1</f>
        <v>2</v>
      </c>
      <c r="N7" s="71" t="str">
        <f t="shared" si="3"/>
        <v/>
      </c>
      <c r="O7" s="73">
        <f t="shared" ref="O7:O21" si="9">IF(O6&lt;$S$5,O6+1,"")</f>
        <v>2</v>
      </c>
      <c r="P7" s="71">
        <f t="shared" si="4"/>
        <v>5</v>
      </c>
      <c r="Q7" s="73">
        <f t="shared" si="5"/>
        <v>2</v>
      </c>
      <c r="R7" s="72" t="str">
        <f t="shared" si="6"/>
        <v>w</v>
      </c>
      <c r="S7" s="86">
        <f t="shared" si="7"/>
        <v>0.90777535099999995</v>
      </c>
      <c r="U7" s="65">
        <v>42828</v>
      </c>
      <c r="V7" s="64">
        <v>0.99876820639832142</v>
      </c>
      <c r="W7"/>
      <c r="X7" s="121" t="s">
        <v>82</v>
      </c>
      <c r="Y7" s="123" t="s">
        <v>71</v>
      </c>
      <c r="Z7" s="122" t="s">
        <v>70</v>
      </c>
      <c r="AE7" s="263" t="s">
        <v>151</v>
      </c>
      <c r="AF7" s="264"/>
      <c r="AG7" s="264"/>
      <c r="AH7" s="272">
        <f t="array" ref="AH7:AH9">_xll.xlShmInterpDisc($AH$3,AH4:AH6+0*TYPE(ObjectsTrigger))</f>
        <v>0.99997972263340196</v>
      </c>
      <c r="AJ7" s="59" t="s">
        <v>209</v>
      </c>
      <c r="AK7" s="205">
        <v>42796</v>
      </c>
      <c r="AL7" s="59" t="s">
        <v>210</v>
      </c>
      <c r="AM7" s="205">
        <v>42857</v>
      </c>
      <c r="AN7" s="59" t="s">
        <v>193</v>
      </c>
      <c r="AO7" s="59">
        <v>0.99904617660308404</v>
      </c>
      <c r="AP7" s="59">
        <v>0.55287568287188404</v>
      </c>
      <c r="AQ7" s="59">
        <v>0.99777316166477403</v>
      </c>
      <c r="AR7" s="59">
        <v>1.29159098530539</v>
      </c>
      <c r="AS7" s="59">
        <v>1.2864216850000001</v>
      </c>
      <c r="AU7" s="206">
        <f t="shared" si="0"/>
        <v>-8.8817841970012523E-16</v>
      </c>
      <c r="AV7" s="206">
        <f t="shared" si="0"/>
        <v>-8.8817841970012523E-16</v>
      </c>
      <c r="AW7" s="59">
        <f t="shared" si="1"/>
        <v>-2.2260824101838494E-6</v>
      </c>
      <c r="AX7" s="59">
        <f t="shared" si="1"/>
        <v>0</v>
      </c>
    </row>
    <row r="8" spans="1:50" ht="11.25" customHeight="1" x14ac:dyDescent="0.2">
      <c r="A8" s="61"/>
      <c r="B8" s="135" t="s">
        <v>121</v>
      </c>
      <c r="C8" s="124" t="s">
        <v>100</v>
      </c>
      <c r="D8" s="59"/>
      <c r="E8" s="84" t="b">
        <v>0</v>
      </c>
      <c r="F8" s="167" t="str">
        <f>X5</f>
        <v>SN</v>
      </c>
      <c r="G8" s="68">
        <v>0</v>
      </c>
      <c r="H8" s="69" t="s">
        <v>90</v>
      </c>
      <c r="I8" s="83">
        <f>AVERAGE(Y5:Z5)</f>
        <v>1.0900000000000001</v>
      </c>
      <c r="J8" s="195"/>
      <c r="K8" s="82"/>
      <c r="L8" s="81">
        <f t="shared" si="2"/>
        <v>1.0900000000000001</v>
      </c>
      <c r="M8" s="73">
        <f t="shared" si="8"/>
        <v>3</v>
      </c>
      <c r="N8" s="71" t="str">
        <f t="shared" si="3"/>
        <v/>
      </c>
      <c r="O8" s="73">
        <f t="shared" si="9"/>
        <v>3</v>
      </c>
      <c r="P8" s="71">
        <f t="shared" si="4"/>
        <v>6</v>
      </c>
      <c r="Q8" s="73">
        <f t="shared" si="5"/>
        <v>3</v>
      </c>
      <c r="R8" s="72" t="str">
        <f t="shared" si="6"/>
        <v>w</v>
      </c>
      <c r="S8" s="86">
        <f t="shared" si="7"/>
        <v>0.95732404500000001</v>
      </c>
      <c r="U8" s="65">
        <v>42857</v>
      </c>
      <c r="V8" s="64">
        <v>0.99777316166477481</v>
      </c>
      <c r="W8"/>
      <c r="X8" s="161" t="s">
        <v>85</v>
      </c>
      <c r="Y8" s="117">
        <f>_xll.RtGet($AC$8,$AC$9&amp;$X8&amp;$AC$10,Y$7)</f>
        <v>1.2132259620000001</v>
      </c>
      <c r="Z8" s="115">
        <f>_xll.RtGet($AC$8,$AC$9&amp;$X8&amp;$AC$10,Z$7)</f>
        <v>1.2132259620000001</v>
      </c>
      <c r="AB8" s="113" t="s">
        <v>68</v>
      </c>
      <c r="AC8" s="112" t="s">
        <v>102</v>
      </c>
      <c r="AE8" s="273" t="s">
        <v>152</v>
      </c>
      <c r="AF8" s="267"/>
      <c r="AG8" s="267"/>
      <c r="AH8" s="274">
        <v>0.99995944567797601</v>
      </c>
      <c r="AJ8" s="59" t="s">
        <v>209</v>
      </c>
      <c r="AK8" s="205">
        <v>42796</v>
      </c>
      <c r="AL8" s="59" t="s">
        <v>210</v>
      </c>
      <c r="AM8" s="205">
        <v>42888</v>
      </c>
      <c r="AN8" s="59" t="s">
        <v>194</v>
      </c>
      <c r="AO8" s="59">
        <v>0.99861849080907805</v>
      </c>
      <c r="AP8" s="59">
        <v>0.53680796746107595</v>
      </c>
      <c r="AQ8" s="59">
        <v>0.99664229170666296</v>
      </c>
      <c r="AR8" s="59">
        <v>1.3059847732538901</v>
      </c>
      <c r="AS8" s="59">
        <v>1.2979265090000001</v>
      </c>
      <c r="AU8" s="206">
        <f t="shared" si="0"/>
        <v>0</v>
      </c>
      <c r="AV8" s="206">
        <f t="shared" si="0"/>
        <v>0</v>
      </c>
      <c r="AW8" s="59">
        <f t="shared" si="1"/>
        <v>-2.2235593816199994E-6</v>
      </c>
      <c r="AX8" s="59">
        <f t="shared" si="1"/>
        <v>0</v>
      </c>
    </row>
    <row r="9" spans="1:50" ht="11.25" customHeight="1" x14ac:dyDescent="0.2">
      <c r="A9" s="61"/>
      <c r="B9" s="128" t="s">
        <v>105</v>
      </c>
      <c r="C9" s="108" t="s">
        <v>137</v>
      </c>
      <c r="D9" s="59"/>
      <c r="E9" s="165" t="b">
        <v>1</v>
      </c>
      <c r="F9" s="164">
        <v>1</v>
      </c>
      <c r="G9" s="117">
        <v>1</v>
      </c>
      <c r="H9" s="115" t="s">
        <v>86</v>
      </c>
      <c r="I9" s="142">
        <f>AVERAGE(Y8:Z8)</f>
        <v>1.2132259620000001</v>
      </c>
      <c r="J9" s="196">
        <f t="array" ref="J9:J20">AS3:AS14</f>
        <v>0.894543749</v>
      </c>
      <c r="K9" s="141"/>
      <c r="L9" s="140">
        <f t="shared" si="2"/>
        <v>0.894543749</v>
      </c>
      <c r="M9" s="73">
        <f t="shared" si="8"/>
        <v>4</v>
      </c>
      <c r="N9" s="71">
        <f t="shared" si="3"/>
        <v>4</v>
      </c>
      <c r="O9" s="73">
        <f t="shared" si="9"/>
        <v>4</v>
      </c>
      <c r="P9" s="71">
        <f t="shared" si="4"/>
        <v>7</v>
      </c>
      <c r="Q9" s="73">
        <f t="shared" si="5"/>
        <v>1</v>
      </c>
      <c r="R9" s="72" t="str">
        <f t="shared" si="6"/>
        <v>m</v>
      </c>
      <c r="S9" s="86">
        <f t="shared" si="7"/>
        <v>1.3289923109999999</v>
      </c>
      <c r="U9" s="65">
        <v>42888</v>
      </c>
      <c r="V9" s="64">
        <v>0.9966422917066633</v>
      </c>
      <c r="W9"/>
      <c r="X9" s="73">
        <v>2</v>
      </c>
      <c r="Y9" s="73">
        <f>_xll.RtGet($AC$8,$AC$9&amp;$X9&amp;$AC$10,Y$7)</f>
        <v>1.236099703</v>
      </c>
      <c r="Z9" s="71">
        <f>_xll.RtGet($AC$8,$AC$9&amp;$X9&amp;$AC$10,Z$7)</f>
        <v>1.236099703</v>
      </c>
      <c r="AB9" s="110" t="s">
        <v>66</v>
      </c>
      <c r="AC9" s="109" t="s">
        <v>173</v>
      </c>
      <c r="AE9" s="275" t="s">
        <v>153</v>
      </c>
      <c r="AF9" s="270"/>
      <c r="AG9" s="270"/>
      <c r="AH9" s="276">
        <v>0.99982532577602501</v>
      </c>
      <c r="AJ9" s="59" t="s">
        <v>209</v>
      </c>
      <c r="AK9" s="205">
        <v>42796</v>
      </c>
      <c r="AL9" s="59" t="s">
        <v>210</v>
      </c>
      <c r="AM9" s="205">
        <v>42919</v>
      </c>
      <c r="AN9" s="59" t="s">
        <v>197</v>
      </c>
      <c r="AO9" s="59">
        <v>0.99791599056263902</v>
      </c>
      <c r="AP9" s="59">
        <v>0.60916572997673302</v>
      </c>
      <c r="AQ9" s="59">
        <v>0.99519272995442998</v>
      </c>
      <c r="AR9" s="59">
        <v>1.407107743129</v>
      </c>
      <c r="AS9" s="59">
        <v>1.398532232</v>
      </c>
      <c r="AU9" s="206">
        <f t="shared" si="0"/>
        <v>0</v>
      </c>
      <c r="AV9" s="206">
        <f t="shared" si="0"/>
        <v>0</v>
      </c>
      <c r="AW9" s="59">
        <f t="shared" si="1"/>
        <v>-2.2203253358110686E-6</v>
      </c>
      <c r="AX9" s="59">
        <f t="shared" si="1"/>
        <v>0</v>
      </c>
    </row>
    <row r="10" spans="1:50" ht="11.25" customHeight="1" x14ac:dyDescent="0.2">
      <c r="A10" s="61"/>
      <c r="B10" s="128" t="s">
        <v>106</v>
      </c>
      <c r="C10" s="108" t="s">
        <v>138</v>
      </c>
      <c r="D10" s="59"/>
      <c r="E10" s="91" t="b">
        <v>1</v>
      </c>
      <c r="F10" s="163">
        <f>X9</f>
        <v>2</v>
      </c>
      <c r="G10" s="73">
        <v>2</v>
      </c>
      <c r="H10" s="71" t="s">
        <v>86</v>
      </c>
      <c r="I10" s="90">
        <f>AVERAGE(Y9:Z9)</f>
        <v>1.236099703</v>
      </c>
      <c r="J10" s="197">
        <v>0.90777535099999995</v>
      </c>
      <c r="K10" s="89"/>
      <c r="L10" s="88">
        <f t="shared" si="2"/>
        <v>0.90777535099999995</v>
      </c>
      <c r="M10" s="73">
        <f t="shared" si="8"/>
        <v>5</v>
      </c>
      <c r="N10" s="71">
        <f t="shared" si="3"/>
        <v>5</v>
      </c>
      <c r="O10" s="73">
        <f t="shared" si="9"/>
        <v>5</v>
      </c>
      <c r="P10" s="71">
        <f t="shared" si="4"/>
        <v>8</v>
      </c>
      <c r="Q10" s="73">
        <f t="shared" si="5"/>
        <v>2</v>
      </c>
      <c r="R10" s="72" t="str">
        <f t="shared" si="6"/>
        <v>m</v>
      </c>
      <c r="S10" s="86">
        <f t="shared" si="7"/>
        <v>1.2864216850000001</v>
      </c>
      <c r="U10" s="65">
        <v>42919</v>
      </c>
      <c r="V10" s="64">
        <v>0.9951927299544302</v>
      </c>
      <c r="W10"/>
      <c r="X10" s="68">
        <v>3</v>
      </c>
      <c r="Y10" s="68">
        <f>_xll.RtGet($AC$8,$AC$9&amp;$X10&amp;$AC$10,Y$7)</f>
        <v>1.2767088240000002</v>
      </c>
      <c r="Z10" s="69">
        <f>_xll.RtGet($AC$8,$AC$9&amp;$X10&amp;$AC$10,Z$7)</f>
        <v>1.2767088240000002</v>
      </c>
      <c r="AB10" s="107" t="s">
        <v>63</v>
      </c>
      <c r="AC10" s="106" t="s">
        <v>175</v>
      </c>
      <c r="AE10" s="277" t="s">
        <v>154</v>
      </c>
      <c r="AF10" s="264"/>
      <c r="AG10" s="264"/>
      <c r="AH10" s="278">
        <v>4</v>
      </c>
      <c r="AJ10" s="59" t="s">
        <v>209</v>
      </c>
      <c r="AK10" s="205">
        <v>42796</v>
      </c>
      <c r="AL10" s="59" t="s">
        <v>210</v>
      </c>
      <c r="AM10" s="205">
        <v>42949</v>
      </c>
      <c r="AN10" s="59" t="s">
        <v>198</v>
      </c>
      <c r="AO10" s="59">
        <v>0.99745296994991595</v>
      </c>
      <c r="AP10" s="59">
        <v>0.60054962972099801</v>
      </c>
      <c r="AQ10" s="59">
        <v>0.99397386633039897</v>
      </c>
      <c r="AR10" s="59">
        <v>1.42335025328635</v>
      </c>
      <c r="AS10" s="59">
        <v>1.414219077</v>
      </c>
      <c r="AU10" s="206">
        <f t="shared" si="0"/>
        <v>0</v>
      </c>
      <c r="AV10" s="206">
        <f t="shared" si="0"/>
        <v>0</v>
      </c>
      <c r="AW10" s="59">
        <f t="shared" si="1"/>
        <v>-2.217605989396354E-6</v>
      </c>
      <c r="AX10" s="59">
        <f t="shared" si="1"/>
        <v>0</v>
      </c>
    </row>
    <row r="11" spans="1:50" ht="11.25" customHeight="1" x14ac:dyDescent="0.2">
      <c r="A11" s="61"/>
      <c r="B11" s="160" t="s">
        <v>107</v>
      </c>
      <c r="C11" s="108" t="s">
        <v>150</v>
      </c>
      <c r="D11" s="59"/>
      <c r="E11" s="84" t="b">
        <v>1</v>
      </c>
      <c r="F11" s="162">
        <f>X10</f>
        <v>3</v>
      </c>
      <c r="G11" s="68">
        <v>3</v>
      </c>
      <c r="H11" s="69" t="s">
        <v>86</v>
      </c>
      <c r="I11" s="83">
        <f>AVERAGE(Y10:Z10)</f>
        <v>1.2767088240000002</v>
      </c>
      <c r="J11" s="195">
        <v>0.95732404500000001</v>
      </c>
      <c r="K11" s="82"/>
      <c r="L11" s="81">
        <f t="shared" si="2"/>
        <v>0.95732404500000001</v>
      </c>
      <c r="M11" s="73">
        <f t="shared" si="8"/>
        <v>6</v>
      </c>
      <c r="N11" s="71">
        <f t="shared" si="3"/>
        <v>6</v>
      </c>
      <c r="O11" s="73">
        <f t="shared" si="9"/>
        <v>6</v>
      </c>
      <c r="P11" s="71">
        <f t="shared" si="4"/>
        <v>9</v>
      </c>
      <c r="Q11" s="73">
        <f t="shared" si="5"/>
        <v>3</v>
      </c>
      <c r="R11" s="72" t="str">
        <f t="shared" si="6"/>
        <v>m</v>
      </c>
      <c r="S11" s="86">
        <f t="shared" si="7"/>
        <v>1.2979265090000001</v>
      </c>
      <c r="U11" s="65">
        <v>42949</v>
      </c>
      <c r="V11" s="64">
        <v>0.99397386633039908</v>
      </c>
      <c r="W11"/>
      <c r="X11" s="72"/>
      <c r="Y11" s="72"/>
      <c r="Z11" s="72"/>
      <c r="AE11" s="269" t="s">
        <v>177</v>
      </c>
      <c r="AF11" s="270"/>
      <c r="AG11" s="270"/>
      <c r="AH11" s="279">
        <v>5</v>
      </c>
      <c r="AJ11" s="59" t="s">
        <v>209</v>
      </c>
      <c r="AK11" s="205">
        <v>42796</v>
      </c>
      <c r="AL11" s="59" t="s">
        <v>210</v>
      </c>
      <c r="AM11" s="205">
        <v>42983</v>
      </c>
      <c r="AN11" s="59" t="s">
        <v>199</v>
      </c>
      <c r="AO11" s="59">
        <v>0.99698241416552202</v>
      </c>
      <c r="AP11" s="59">
        <v>0.58364232444796305</v>
      </c>
      <c r="AQ11" s="59">
        <v>0.99261089003612102</v>
      </c>
      <c r="AR11" s="59">
        <v>1.4322956629733801</v>
      </c>
      <c r="AS11" s="59">
        <v>1.4230215879999999</v>
      </c>
      <c r="AU11" s="206">
        <f t="shared" si="0"/>
        <v>0</v>
      </c>
      <c r="AV11" s="206">
        <f t="shared" si="0"/>
        <v>0</v>
      </c>
      <c r="AW11" s="59">
        <f t="shared" si="1"/>
        <v>-2.2145651206173511E-6</v>
      </c>
      <c r="AX11" s="59">
        <f t="shared" si="1"/>
        <v>0</v>
      </c>
    </row>
    <row r="12" spans="1:50" ht="11.25" customHeight="1" x14ac:dyDescent="0.2">
      <c r="A12" s="61"/>
      <c r="B12" s="146" t="s">
        <v>88</v>
      </c>
      <c r="C12" s="145" t="s">
        <v>58</v>
      </c>
      <c r="D12" s="59"/>
      <c r="E12" s="91" t="b">
        <v>1</v>
      </c>
      <c r="F12" s="155">
        <f t="shared" ref="F12:F22" si="10">X13</f>
        <v>1</v>
      </c>
      <c r="G12" s="73">
        <v>1</v>
      </c>
      <c r="H12" s="71" t="s">
        <v>81</v>
      </c>
      <c r="I12" s="90">
        <f t="shared" ref="I12:I22" si="11">AVERAGE(Y13:Z13)</f>
        <v>1.2779827640000001</v>
      </c>
      <c r="J12" s="197">
        <v>1.3289923109999999</v>
      </c>
      <c r="K12" s="89"/>
      <c r="L12" s="88">
        <f t="shared" si="2"/>
        <v>1.3289923109999999</v>
      </c>
      <c r="M12" s="73">
        <f t="shared" si="8"/>
        <v>7</v>
      </c>
      <c r="N12" s="71">
        <f t="shared" si="3"/>
        <v>7</v>
      </c>
      <c r="O12" s="73">
        <f t="shared" si="9"/>
        <v>7</v>
      </c>
      <c r="P12" s="71">
        <f t="shared" si="4"/>
        <v>10</v>
      </c>
      <c r="Q12" s="73">
        <f t="shared" si="5"/>
        <v>4</v>
      </c>
      <c r="R12" s="72" t="str">
        <f t="shared" si="6"/>
        <v>m</v>
      </c>
      <c r="S12" s="86">
        <f t="shared" si="7"/>
        <v>1.398532232</v>
      </c>
      <c r="U12" s="65">
        <v>42983</v>
      </c>
      <c r="V12" s="64">
        <v>0.99261089003612157</v>
      </c>
      <c r="W12"/>
      <c r="X12" s="121" t="s">
        <v>82</v>
      </c>
      <c r="Y12" s="137" t="s">
        <v>71</v>
      </c>
      <c r="Z12" s="136" t="s">
        <v>70</v>
      </c>
      <c r="AE12" s="277" t="s">
        <v>176</v>
      </c>
      <c r="AF12" s="264"/>
      <c r="AG12" s="264"/>
      <c r="AH12" s="272">
        <f>_xll.xlYrfDayCount(AH5,AH6,AH10)</f>
        <v>1.9444444444444445E-2</v>
      </c>
      <c r="AJ12" s="59" t="s">
        <v>209</v>
      </c>
      <c r="AK12" s="205">
        <v>42796</v>
      </c>
      <c r="AL12" s="59" t="s">
        <v>210</v>
      </c>
      <c r="AM12" s="205">
        <v>43010</v>
      </c>
      <c r="AN12" s="59" t="s">
        <v>200</v>
      </c>
      <c r="AO12" s="59">
        <v>0.99621894816741996</v>
      </c>
      <c r="AP12" s="59">
        <v>0.64013870311862398</v>
      </c>
      <c r="AQ12" s="59">
        <v>0.99111762527826697</v>
      </c>
      <c r="AR12" s="59">
        <v>1.5076626083973499</v>
      </c>
      <c r="AS12" s="59">
        <v>1.4988096660000001</v>
      </c>
      <c r="AU12" s="206">
        <f t="shared" si="0"/>
        <v>0</v>
      </c>
      <c r="AV12" s="206">
        <f t="shared" si="0"/>
        <v>0</v>
      </c>
      <c r="AW12" s="59">
        <f t="shared" si="1"/>
        <v>-2.2112335710255948E-6</v>
      </c>
      <c r="AX12" s="59">
        <f t="shared" si="1"/>
        <v>0</v>
      </c>
    </row>
    <row r="13" spans="1:50" ht="11.25" customHeight="1" x14ac:dyDescent="0.2">
      <c r="A13" s="61"/>
      <c r="B13" s="159" t="s">
        <v>87</v>
      </c>
      <c r="C13" s="108" t="s">
        <v>221</v>
      </c>
      <c r="D13" s="59"/>
      <c r="E13" s="91" t="b">
        <v>1</v>
      </c>
      <c r="F13" s="155">
        <f t="shared" si="10"/>
        <v>2</v>
      </c>
      <c r="G13" s="73">
        <v>2</v>
      </c>
      <c r="H13" s="71" t="s">
        <v>81</v>
      </c>
      <c r="I13" s="90">
        <f t="shared" si="11"/>
        <v>1.2922161430000001</v>
      </c>
      <c r="J13" s="197">
        <v>1.2864216850000001</v>
      </c>
      <c r="K13" s="89"/>
      <c r="L13" s="88">
        <f t="shared" si="2"/>
        <v>1.2864216850000001</v>
      </c>
      <c r="M13" s="73">
        <f t="shared" si="8"/>
        <v>8</v>
      </c>
      <c r="N13" s="71">
        <f t="shared" si="3"/>
        <v>8</v>
      </c>
      <c r="O13" s="73">
        <f t="shared" si="9"/>
        <v>8</v>
      </c>
      <c r="P13" s="71">
        <f t="shared" si="4"/>
        <v>11</v>
      </c>
      <c r="Q13" s="73">
        <f t="shared" si="5"/>
        <v>5</v>
      </c>
      <c r="R13" s="72" t="str">
        <f t="shared" si="6"/>
        <v>m</v>
      </c>
      <c r="S13" s="86">
        <f t="shared" si="7"/>
        <v>1.414219077</v>
      </c>
      <c r="U13" s="65">
        <v>43010</v>
      </c>
      <c r="V13" s="64">
        <v>0.99111762527826719</v>
      </c>
      <c r="W13"/>
      <c r="X13" s="73">
        <v>1</v>
      </c>
      <c r="Y13" s="73">
        <f>_xll.RtGet($AC$13,$AC$14&amp;$X13&amp;$AC$15,Y$12)</f>
        <v>1.2779827640000001</v>
      </c>
      <c r="Z13" s="71">
        <f>_xll.RtGet($AC$13,$AC$14&amp;$X13&amp;$AC$15,Z$12)</f>
        <v>1.2779827640000001</v>
      </c>
      <c r="AB13" s="113" t="s">
        <v>68</v>
      </c>
      <c r="AC13" s="112" t="s">
        <v>102</v>
      </c>
      <c r="AE13" s="280" t="s">
        <v>126</v>
      </c>
      <c r="AF13" s="270"/>
      <c r="AG13" s="270"/>
      <c r="AH13" s="276">
        <f>LN((1+$AH$12*L9/100)*(AH9/AH8))/_xll.xlYrfDayCount($AH$5,$AH$6,$AH$11)</f>
        <v>2.0747434149840233E-3</v>
      </c>
      <c r="AJ13" s="59" t="s">
        <v>209</v>
      </c>
      <c r="AK13" s="205">
        <v>42796</v>
      </c>
      <c r="AL13" s="59" t="s">
        <v>210</v>
      </c>
      <c r="AM13" s="205">
        <v>43041</v>
      </c>
      <c r="AN13" s="59" t="s">
        <v>201</v>
      </c>
      <c r="AO13" s="59">
        <v>0.99578960632069102</v>
      </c>
      <c r="AP13" s="59">
        <v>0.62349718869356796</v>
      </c>
      <c r="AQ13" s="59">
        <v>0.98980790082363401</v>
      </c>
      <c r="AR13" s="59">
        <v>1.5138477338466001</v>
      </c>
      <c r="AS13" s="59">
        <v>1.5053276289999999</v>
      </c>
      <c r="AU13" s="206">
        <f t="shared" si="0"/>
        <v>0</v>
      </c>
      <c r="AV13" s="206">
        <f t="shared" si="0"/>
        <v>0</v>
      </c>
      <c r="AW13" s="59">
        <f t="shared" si="1"/>
        <v>-2.2083115100990369E-6</v>
      </c>
      <c r="AX13" s="59">
        <f t="shared" si="1"/>
        <v>0</v>
      </c>
    </row>
    <row r="14" spans="1:50" ht="11.25" customHeight="1" x14ac:dyDescent="0.2">
      <c r="A14" s="61"/>
      <c r="B14" s="159" t="s">
        <v>84</v>
      </c>
      <c r="C14" s="108" t="s">
        <v>13</v>
      </c>
      <c r="D14" s="59"/>
      <c r="E14" s="91" t="b">
        <v>1</v>
      </c>
      <c r="F14" s="155">
        <f t="shared" si="10"/>
        <v>3</v>
      </c>
      <c r="G14" s="73">
        <v>3</v>
      </c>
      <c r="H14" s="71" t="s">
        <v>81</v>
      </c>
      <c r="I14" s="90">
        <f t="shared" si="11"/>
        <v>1.384706593</v>
      </c>
      <c r="J14" s="197">
        <v>1.2979265090000001</v>
      </c>
      <c r="K14" s="89"/>
      <c r="L14" s="88">
        <f t="shared" si="2"/>
        <v>1.2979265090000001</v>
      </c>
      <c r="M14" s="73">
        <f t="shared" si="8"/>
        <v>9</v>
      </c>
      <c r="N14" s="71">
        <f t="shared" si="3"/>
        <v>9</v>
      </c>
      <c r="O14" s="73">
        <f t="shared" si="9"/>
        <v>9</v>
      </c>
      <c r="P14" s="71">
        <f t="shared" si="4"/>
        <v>12</v>
      </c>
      <c r="Q14" s="73">
        <f t="shared" si="5"/>
        <v>6</v>
      </c>
      <c r="R14" s="72" t="str">
        <f t="shared" si="6"/>
        <v>m</v>
      </c>
      <c r="S14" s="86">
        <f t="shared" si="7"/>
        <v>1.4230215879999999</v>
      </c>
      <c r="U14" s="65">
        <v>43041</v>
      </c>
      <c r="V14" s="64">
        <v>0.98980790082363457</v>
      </c>
      <c r="W14"/>
      <c r="X14" s="73">
        <v>2</v>
      </c>
      <c r="Y14" s="73">
        <f>_xll.RtGet($AC$13,$AC$14&amp;$X14&amp;$AC$15,Y$12)</f>
        <v>1.2922161430000001</v>
      </c>
      <c r="Z14" s="71">
        <f>_xll.RtGet($AC$13,$AC$14&amp;$X14&amp;$AC$15,Z$12)</f>
        <v>1.2922161430000001</v>
      </c>
      <c r="AB14" s="110" t="s">
        <v>66</v>
      </c>
      <c r="AC14" s="109" t="s">
        <v>173</v>
      </c>
      <c r="AE14" s="273" t="s">
        <v>155</v>
      </c>
      <c r="AF14" s="267"/>
      <c r="AG14" s="267"/>
      <c r="AH14" s="274">
        <f>AH7*EXP(-$AH$13*_xll.xlYrfDayCount($C$3,AH4,$AH$11))</f>
        <v>0.99997403853628386</v>
      </c>
      <c r="AJ14" s="59" t="s">
        <v>209</v>
      </c>
      <c r="AK14" s="205">
        <v>42796</v>
      </c>
      <c r="AL14" s="59" t="s">
        <v>210</v>
      </c>
      <c r="AM14" s="205">
        <v>43073</v>
      </c>
      <c r="AN14" s="59" t="s">
        <v>202</v>
      </c>
      <c r="AO14" s="59">
        <v>0.99532602322374897</v>
      </c>
      <c r="AP14" s="59">
        <v>0.61290354692864701</v>
      </c>
      <c r="AQ14" s="59">
        <v>0.988402942020561</v>
      </c>
      <c r="AR14" s="59">
        <v>1.5260438487848</v>
      </c>
      <c r="AS14" s="59">
        <v>1.5180558340000001</v>
      </c>
      <c r="AU14" s="206">
        <f t="shared" si="0"/>
        <v>0</v>
      </c>
      <c r="AV14" s="206">
        <f t="shared" si="0"/>
        <v>0</v>
      </c>
      <c r="AW14" s="59">
        <f t="shared" si="1"/>
        <v>-2.205176975689227E-6</v>
      </c>
      <c r="AX14" s="59">
        <f t="shared" si="1"/>
        <v>0</v>
      </c>
    </row>
    <row r="15" spans="1:50" ht="11.25" customHeight="1" x14ac:dyDescent="0.2">
      <c r="A15" s="158">
        <v>90</v>
      </c>
      <c r="B15" s="143" t="s">
        <v>69</v>
      </c>
      <c r="C15" s="124" t="s">
        <v>50</v>
      </c>
      <c r="D15" s="59"/>
      <c r="E15" s="91" t="b">
        <v>1</v>
      </c>
      <c r="F15" s="155">
        <f t="shared" si="10"/>
        <v>4</v>
      </c>
      <c r="G15" s="73">
        <v>4</v>
      </c>
      <c r="H15" s="71" t="s">
        <v>81</v>
      </c>
      <c r="I15" s="90">
        <f t="shared" si="11"/>
        <v>1.409238263</v>
      </c>
      <c r="J15" s="197">
        <v>1.398532232</v>
      </c>
      <c r="K15" s="89"/>
      <c r="L15" s="88">
        <f t="shared" si="2"/>
        <v>1.398532232</v>
      </c>
      <c r="M15" s="73">
        <f t="shared" si="8"/>
        <v>10</v>
      </c>
      <c r="N15" s="71">
        <f t="shared" si="3"/>
        <v>10</v>
      </c>
      <c r="O15" s="73">
        <f t="shared" si="9"/>
        <v>10</v>
      </c>
      <c r="P15" s="71">
        <f t="shared" si="4"/>
        <v>13</v>
      </c>
      <c r="Q15" s="73">
        <f t="shared" si="5"/>
        <v>7</v>
      </c>
      <c r="R15" s="72" t="str">
        <f t="shared" si="6"/>
        <v>m</v>
      </c>
      <c r="S15" s="86">
        <f t="shared" si="7"/>
        <v>1.4988096660000001</v>
      </c>
      <c r="U15" s="65">
        <v>43073</v>
      </c>
      <c r="V15" s="64">
        <v>0.98840294202056145</v>
      </c>
      <c r="W15"/>
      <c r="X15" s="73">
        <v>3</v>
      </c>
      <c r="Y15" s="73">
        <f>_xll.RtGet($AC$13,$AC$14&amp;$X15&amp;$AC$15,Y$12)</f>
        <v>1.384706593</v>
      </c>
      <c r="Z15" s="71">
        <f>_xll.RtGet($AC$13,$AC$14&amp;$X15&amp;$AC$15,Z$12)</f>
        <v>1.384706593</v>
      </c>
      <c r="AA15" s="60"/>
      <c r="AB15" s="107" t="s">
        <v>63</v>
      </c>
      <c r="AC15" s="106" t="s">
        <v>174</v>
      </c>
      <c r="AE15" s="273" t="s">
        <v>156</v>
      </c>
      <c r="AF15" s="267"/>
      <c r="AG15" s="267"/>
      <c r="AH15" s="274">
        <f>AH8*EXP(-$AH$13*_xll.xlYrfDayCount($C$3,AH5,$AH$11))</f>
        <v>0.99994807774656569</v>
      </c>
      <c r="AJ15" s="59" t="s">
        <v>211</v>
      </c>
      <c r="AK15" s="205">
        <v>42797</v>
      </c>
      <c r="AL15" s="59" t="s">
        <v>212</v>
      </c>
      <c r="AM15" s="205">
        <v>43164</v>
      </c>
      <c r="AN15" s="59" t="s">
        <v>162</v>
      </c>
      <c r="AO15" s="59">
        <v>0.99321223943095405</v>
      </c>
      <c r="AP15" s="59">
        <v>0.67188629762924001</v>
      </c>
      <c r="AQ15" s="59">
        <v>0.98337846064060097</v>
      </c>
      <c r="AR15" s="59">
        <v>1.6534724122343201</v>
      </c>
      <c r="AS15" s="59">
        <v>-0.39624999999999999</v>
      </c>
      <c r="AU15" s="206">
        <f t="shared" si="0"/>
        <v>-3.8136122537668626E-7</v>
      </c>
      <c r="AV15" s="206">
        <f t="shared" si="0"/>
        <v>-1.6125786928000707E-8</v>
      </c>
      <c r="AW15" s="59">
        <f t="shared" si="1"/>
        <v>-3.3056135315678858E-6</v>
      </c>
      <c r="AX15" s="59">
        <f t="shared" si="1"/>
        <v>-1.6125786705956102E-8</v>
      </c>
    </row>
    <row r="16" spans="1:50" ht="11.25" customHeight="1" x14ac:dyDescent="0.2">
      <c r="A16" s="61"/>
      <c r="B16" s="157" t="s">
        <v>101</v>
      </c>
      <c r="C16" s="156">
        <f>_xll.RtNow(A15&amp;"s")</f>
        <v>0.68070601851650281</v>
      </c>
      <c r="D16" s="59"/>
      <c r="E16" s="91" t="b">
        <v>1</v>
      </c>
      <c r="F16" s="155">
        <f t="shared" si="10"/>
        <v>5</v>
      </c>
      <c r="G16" s="73">
        <v>5</v>
      </c>
      <c r="H16" s="71" t="s">
        <v>81</v>
      </c>
      <c r="I16" s="90">
        <f t="shared" si="11"/>
        <v>1.4303761880000001</v>
      </c>
      <c r="J16" s="197">
        <v>1.414219077</v>
      </c>
      <c r="K16" s="89"/>
      <c r="L16" s="88">
        <f t="shared" si="2"/>
        <v>1.414219077</v>
      </c>
      <c r="M16" s="73">
        <f t="shared" si="8"/>
        <v>11</v>
      </c>
      <c r="N16" s="71">
        <f t="shared" si="3"/>
        <v>11</v>
      </c>
      <c r="O16" s="73">
        <f t="shared" si="9"/>
        <v>11</v>
      </c>
      <c r="P16" s="71">
        <f t="shared" si="4"/>
        <v>14</v>
      </c>
      <c r="Q16" s="73">
        <f t="shared" si="5"/>
        <v>8</v>
      </c>
      <c r="R16" s="72" t="str">
        <f t="shared" si="6"/>
        <v>m</v>
      </c>
      <c r="S16" s="86">
        <f t="shared" si="7"/>
        <v>1.5053276289999999</v>
      </c>
      <c r="U16" s="65">
        <v>43164</v>
      </c>
      <c r="V16" s="64">
        <v>0.98337847676638768</v>
      </c>
      <c r="W16"/>
      <c r="X16" s="73">
        <v>4</v>
      </c>
      <c r="Y16" s="73">
        <f>_xll.RtGet($AC$13,$AC$14&amp;$X16&amp;$AC$15,Y$12)</f>
        <v>1.409238263</v>
      </c>
      <c r="Z16" s="71">
        <f>_xll.RtGet($AC$13,$AC$14&amp;$X16&amp;$AC$15,Z$12)</f>
        <v>1.409238263</v>
      </c>
      <c r="AA16" s="60"/>
      <c r="AB16" s="60"/>
      <c r="AC16" s="60"/>
      <c r="AE16" s="275" t="s">
        <v>157</v>
      </c>
      <c r="AF16" s="270"/>
      <c r="AG16" s="270"/>
      <c r="AH16" s="276">
        <f>AH9*EXP(-$AH$13*_xll.xlYrfDayCount($C$3,AH6,$AH$11))</f>
        <v>0.99977417796353363</v>
      </c>
      <c r="AJ16" s="59" t="s">
        <v>211</v>
      </c>
      <c r="AK16" s="205">
        <v>42797</v>
      </c>
      <c r="AL16" s="59" t="s">
        <v>212</v>
      </c>
      <c r="AM16" s="205">
        <v>43347</v>
      </c>
      <c r="AN16" s="59" t="s">
        <v>203</v>
      </c>
      <c r="AO16" s="59">
        <v>0.98991956626802802</v>
      </c>
      <c r="AP16" s="59">
        <v>0.66872127523385705</v>
      </c>
      <c r="AQ16" s="59">
        <v>0.97353971160535901</v>
      </c>
      <c r="AR16" s="59">
        <v>1.7699967040169999</v>
      </c>
      <c r="AS16" s="59">
        <v>-0.39874999999999999</v>
      </c>
      <c r="AU16" s="206">
        <f t="shared" si="0"/>
        <v>-3.9957314357241813E-7</v>
      </c>
      <c r="AV16" s="206">
        <f t="shared" si="0"/>
        <v>-2.3378497249204599E-8</v>
      </c>
      <c r="AW16" s="59">
        <f t="shared" si="1"/>
        <v>-3.2946649807241712E-6</v>
      </c>
      <c r="AX16" s="59">
        <f t="shared" si="1"/>
        <v>-2.3378496916137692E-8</v>
      </c>
    </row>
    <row r="17" spans="1:50" ht="11.25" customHeight="1" x14ac:dyDescent="0.2">
      <c r="A17" s="61"/>
      <c r="D17" s="59"/>
      <c r="E17" s="91" t="b">
        <v>1</v>
      </c>
      <c r="F17" s="155">
        <f t="shared" si="10"/>
        <v>6</v>
      </c>
      <c r="G17" s="73">
        <v>6</v>
      </c>
      <c r="H17" s="71" t="s">
        <v>81</v>
      </c>
      <c r="I17" s="90">
        <f t="shared" si="11"/>
        <v>1.4700365870000001</v>
      </c>
      <c r="J17" s="197">
        <v>1.4230215879999999</v>
      </c>
      <c r="K17" s="89"/>
      <c r="L17" s="88">
        <f t="shared" si="2"/>
        <v>1.4230215879999999</v>
      </c>
      <c r="M17" s="73">
        <f t="shared" si="8"/>
        <v>12</v>
      </c>
      <c r="N17" s="71">
        <f t="shared" si="3"/>
        <v>12</v>
      </c>
      <c r="O17" s="73">
        <f t="shared" si="9"/>
        <v>12</v>
      </c>
      <c r="P17" s="71">
        <f t="shared" si="4"/>
        <v>15</v>
      </c>
      <c r="Q17" s="73">
        <f t="shared" si="5"/>
        <v>9</v>
      </c>
      <c r="R17" s="72" t="str">
        <f t="shared" si="6"/>
        <v>m</v>
      </c>
      <c r="S17" s="86">
        <f t="shared" si="7"/>
        <v>1.5180558340000001</v>
      </c>
      <c r="U17" s="65">
        <v>43347</v>
      </c>
      <c r="V17" s="64">
        <v>0.97353973498385593</v>
      </c>
      <c r="W17"/>
      <c r="X17" s="73">
        <v>5</v>
      </c>
      <c r="Y17" s="73">
        <f>_xll.RtGet($AC$13,$AC$14&amp;$X17&amp;$AC$15,Y$12)</f>
        <v>1.4303761880000001</v>
      </c>
      <c r="Z17" s="71">
        <f>_xll.RtGet($AC$13,$AC$14&amp;$X17&amp;$AC$15,Z$12)</f>
        <v>1.4303761880000001</v>
      </c>
      <c r="AA17" s="60"/>
      <c r="AB17" s="60"/>
      <c r="AC17" s="60"/>
      <c r="AE17" s="281" t="s">
        <v>158</v>
      </c>
      <c r="AF17" s="264"/>
      <c r="AG17" s="264"/>
      <c r="AH17" s="272">
        <f>(1/AH14-1)/_xll.xlYrfDayCount($C$3,AH4,$AH$10)</f>
        <v>9.3463695832340932E-3</v>
      </c>
      <c r="AJ17" s="59" t="s">
        <v>211</v>
      </c>
      <c r="AK17" s="205">
        <v>42797</v>
      </c>
      <c r="AL17" s="59" t="s">
        <v>212</v>
      </c>
      <c r="AM17" s="205">
        <v>43528</v>
      </c>
      <c r="AN17" s="59" t="s">
        <v>164</v>
      </c>
      <c r="AO17" s="59">
        <v>0.98661290194034301</v>
      </c>
      <c r="AP17" s="59">
        <v>0.67020330778422899</v>
      </c>
      <c r="AQ17" s="59">
        <v>0.96292664420691798</v>
      </c>
      <c r="AR17" s="59">
        <v>1.87860847122106</v>
      </c>
      <c r="AS17" s="59">
        <v>-0.40375</v>
      </c>
      <c r="AU17" s="206">
        <f t="shared" si="0"/>
        <v>-4.1597722078012822E-7</v>
      </c>
      <c r="AV17" s="206">
        <f t="shared" si="0"/>
        <v>-3.0430084119181799E-8</v>
      </c>
      <c r="AW17" s="59">
        <f t="shared" si="1"/>
        <v>-3.2795526816453702E-6</v>
      </c>
      <c r="AX17" s="59">
        <f t="shared" si="1"/>
        <v>-3.0430083786114892E-8</v>
      </c>
    </row>
    <row r="18" spans="1:50" ht="11.25" customHeight="1" x14ac:dyDescent="0.2">
      <c r="A18" s="61"/>
      <c r="C18" s="185" t="s">
        <v>122</v>
      </c>
      <c r="D18" s="59"/>
      <c r="E18" s="91" t="b">
        <v>1</v>
      </c>
      <c r="F18" s="155">
        <f t="shared" si="10"/>
        <v>7</v>
      </c>
      <c r="G18" s="73">
        <v>7</v>
      </c>
      <c r="H18" s="71" t="s">
        <v>81</v>
      </c>
      <c r="I18" s="90">
        <f t="shared" si="11"/>
        <v>1.4944319860000002</v>
      </c>
      <c r="J18" s="197">
        <v>1.4988096660000001</v>
      </c>
      <c r="K18" s="89"/>
      <c r="L18" s="88">
        <f t="shared" si="2"/>
        <v>1.4988096660000001</v>
      </c>
      <c r="M18" s="73">
        <f t="shared" si="8"/>
        <v>13</v>
      </c>
      <c r="N18" s="71">
        <f t="shared" si="3"/>
        <v>13</v>
      </c>
      <c r="O18" s="73" t="str">
        <f t="shared" si="9"/>
        <v/>
      </c>
      <c r="P18" s="71" t="str">
        <f t="shared" si="4"/>
        <v/>
      </c>
      <c r="Q18" s="73" t="str">
        <f t="shared" si="5"/>
        <v/>
      </c>
      <c r="R18" s="72" t="str">
        <f t="shared" si="6"/>
        <v/>
      </c>
      <c r="S18" s="86" t="str">
        <f t="shared" si="7"/>
        <v/>
      </c>
      <c r="U18" s="65">
        <v>43528</v>
      </c>
      <c r="V18" s="64">
        <v>0.96292667463700177</v>
      </c>
      <c r="W18"/>
      <c r="X18" s="73">
        <v>6</v>
      </c>
      <c r="Y18" s="73">
        <f>_xll.RtGet($AC$13,$AC$14&amp;$X18&amp;$AC$15,Y$12)</f>
        <v>1.4700365870000001</v>
      </c>
      <c r="Z18" s="71">
        <f>_xll.RtGet($AC$13,$AC$14&amp;$X18&amp;$AC$15,Z$12)</f>
        <v>1.4700365870000001</v>
      </c>
      <c r="AA18" s="60"/>
      <c r="AB18" s="60"/>
      <c r="AC18" s="60"/>
      <c r="AE18" s="275" t="s">
        <v>159</v>
      </c>
      <c r="AF18" s="270"/>
      <c r="AG18" s="270"/>
      <c r="AH18" s="276">
        <f>(AH14/AH15-1)/_xll.xlYrfDayCount(AH4,AH5,$AH$10)</f>
        <v>9.3463695830742211E-3</v>
      </c>
      <c r="AJ18" s="59" t="s">
        <v>211</v>
      </c>
      <c r="AK18" s="205">
        <v>42797</v>
      </c>
      <c r="AL18" s="59" t="s">
        <v>212</v>
      </c>
      <c r="AM18" s="205">
        <v>43893</v>
      </c>
      <c r="AN18" s="59" t="s">
        <v>165</v>
      </c>
      <c r="AO18" s="59">
        <v>0.98033976145313895</v>
      </c>
      <c r="AP18" s="59">
        <v>0.65946008147177404</v>
      </c>
      <c r="AQ18" s="59">
        <v>0.94049442000959604</v>
      </c>
      <c r="AR18" s="59">
        <v>2.0375423649611801</v>
      </c>
      <c r="AS18" s="59">
        <v>-0.40125</v>
      </c>
      <c r="AU18" s="206">
        <f t="shared" si="0"/>
        <v>-7.1173814419900339E-7</v>
      </c>
      <c r="AV18" s="206">
        <f t="shared" si="0"/>
        <v>-4.2097582531042121E-8</v>
      </c>
      <c r="AW18" s="59">
        <f t="shared" si="1"/>
        <v>-3.5087490370955265E-6</v>
      </c>
      <c r="AX18" s="59">
        <f t="shared" si="1"/>
        <v>-4.2097582086952912E-8</v>
      </c>
    </row>
    <row r="19" spans="1:50" ht="11.25" customHeight="1" x14ac:dyDescent="0.2">
      <c r="A19" s="61"/>
      <c r="C19" s="186" t="b">
        <v>0</v>
      </c>
      <c r="D19" s="59"/>
      <c r="E19" s="91" t="b">
        <v>1</v>
      </c>
      <c r="F19" s="155">
        <f t="shared" si="10"/>
        <v>8</v>
      </c>
      <c r="G19" s="73">
        <v>8</v>
      </c>
      <c r="H19" s="71" t="s">
        <v>81</v>
      </c>
      <c r="I19" s="90">
        <f t="shared" si="11"/>
        <v>1.5059112810000002</v>
      </c>
      <c r="J19" s="197">
        <v>1.5053276289999999</v>
      </c>
      <c r="K19" s="89"/>
      <c r="L19" s="88">
        <f t="shared" si="2"/>
        <v>1.5053276289999999</v>
      </c>
      <c r="M19" s="73">
        <f t="shared" si="8"/>
        <v>14</v>
      </c>
      <c r="N19" s="71">
        <f t="shared" si="3"/>
        <v>14</v>
      </c>
      <c r="O19" s="73" t="str">
        <f t="shared" si="9"/>
        <v/>
      </c>
      <c r="P19" s="71" t="str">
        <f t="shared" si="4"/>
        <v/>
      </c>
      <c r="Q19" s="73" t="str">
        <f t="shared" si="5"/>
        <v/>
      </c>
      <c r="R19" s="72" t="str">
        <f t="shared" si="6"/>
        <v/>
      </c>
      <c r="S19" s="86" t="str">
        <f t="shared" si="7"/>
        <v/>
      </c>
      <c r="U19" s="65">
        <v>43893</v>
      </c>
      <c r="V19" s="64">
        <v>0.94049446210717813</v>
      </c>
      <c r="W19"/>
      <c r="X19" s="73">
        <v>7</v>
      </c>
      <c r="Y19" s="73">
        <f>_xll.RtGet($AC$13,$AC$14&amp;$X19&amp;$AC$15,Y$12)</f>
        <v>1.4944319860000002</v>
      </c>
      <c r="Z19" s="71">
        <f>_xll.RtGet($AC$13,$AC$14&amp;$X19&amp;$AC$15,Z$12)</f>
        <v>1.4944319860000002</v>
      </c>
      <c r="AA19" s="60"/>
      <c r="AB19" s="60"/>
      <c r="AC19" s="60"/>
      <c r="AJ19" s="59" t="s">
        <v>211</v>
      </c>
      <c r="AK19" s="205">
        <v>42797</v>
      </c>
      <c r="AL19" s="59" t="s">
        <v>212</v>
      </c>
      <c r="AM19" s="205">
        <v>44258</v>
      </c>
      <c r="AN19" s="59" t="s">
        <v>166</v>
      </c>
      <c r="AO19" s="59">
        <v>0.974109372220474</v>
      </c>
      <c r="AP19" s="59">
        <v>0.65400046381701804</v>
      </c>
      <c r="AQ19" s="59">
        <v>0.916884748919776</v>
      </c>
      <c r="AR19" s="59">
        <v>2.1634102828587798</v>
      </c>
      <c r="AS19" s="59">
        <v>-0.39874999999999999</v>
      </c>
      <c r="AU19" s="206">
        <f t="shared" si="0"/>
        <v>-7.5997288051521394E-7</v>
      </c>
      <c r="AV19" s="206">
        <f t="shared" si="0"/>
        <v>-5.2524895099992364E-8</v>
      </c>
      <c r="AW19" s="59">
        <f t="shared" si="1"/>
        <v>-3.4867925945425426E-6</v>
      </c>
      <c r="AX19" s="59">
        <f t="shared" si="1"/>
        <v>-5.2524894322836246E-8</v>
      </c>
    </row>
    <row r="20" spans="1:50" ht="11.25" customHeight="1" x14ac:dyDescent="0.2">
      <c r="A20" s="61"/>
      <c r="D20" s="59"/>
      <c r="E20" s="91" t="b">
        <v>1</v>
      </c>
      <c r="F20" s="155">
        <f t="shared" si="10"/>
        <v>9</v>
      </c>
      <c r="G20" s="73">
        <v>9</v>
      </c>
      <c r="H20" s="71" t="s">
        <v>81</v>
      </c>
      <c r="I20" s="90">
        <f t="shared" si="11"/>
        <v>1.5695381890000002</v>
      </c>
      <c r="J20" s="197">
        <v>1.5180558340000001</v>
      </c>
      <c r="K20" s="89"/>
      <c r="L20" s="88">
        <f t="shared" si="2"/>
        <v>1.5180558340000001</v>
      </c>
      <c r="M20" s="73">
        <f t="shared" si="8"/>
        <v>15</v>
      </c>
      <c r="N20" s="71">
        <f t="shared" si="3"/>
        <v>15</v>
      </c>
      <c r="O20" s="73" t="str">
        <f t="shared" si="9"/>
        <v/>
      </c>
      <c r="P20" s="71" t="str">
        <f t="shared" si="4"/>
        <v/>
      </c>
      <c r="Q20" s="73" t="str">
        <f t="shared" si="5"/>
        <v/>
      </c>
      <c r="R20" s="72" t="str">
        <f t="shared" si="6"/>
        <v/>
      </c>
      <c r="S20" s="86" t="str">
        <f t="shared" si="7"/>
        <v/>
      </c>
      <c r="U20" s="65">
        <v>44258</v>
      </c>
      <c r="V20" s="64">
        <v>0.91688480144467033</v>
      </c>
      <c r="W20"/>
      <c r="X20" s="73">
        <v>8</v>
      </c>
      <c r="Y20" s="73">
        <f>_xll.RtGet($AC$13,$AC$14&amp;$X20&amp;$AC$15,Y$12)</f>
        <v>1.5059112810000002</v>
      </c>
      <c r="Z20" s="71">
        <f>_xll.RtGet($AC$13,$AC$14&amp;$X20&amp;$AC$15,Z$12)</f>
        <v>1.5059112810000002</v>
      </c>
      <c r="AA20" s="60"/>
      <c r="AB20" s="60"/>
      <c r="AC20" s="60"/>
      <c r="AE20" s="242" t="s">
        <v>230</v>
      </c>
      <c r="AF20" s="243"/>
      <c r="AG20" s="243"/>
      <c r="AH20" s="244"/>
      <c r="AJ20" s="59" t="s">
        <v>211</v>
      </c>
      <c r="AK20" s="205">
        <v>42797</v>
      </c>
      <c r="AL20" s="59" t="s">
        <v>212</v>
      </c>
      <c r="AM20" s="205">
        <v>44623</v>
      </c>
      <c r="AN20" s="59" t="s">
        <v>167</v>
      </c>
      <c r="AO20" s="59">
        <v>0.96816114168193401</v>
      </c>
      <c r="AP20" s="59">
        <v>0.64571946207167497</v>
      </c>
      <c r="AQ20" s="59">
        <v>0.89295010040726497</v>
      </c>
      <c r="AR20" s="59">
        <v>2.2595391508266802</v>
      </c>
      <c r="AS20" s="59">
        <v>-0.39624999999999999</v>
      </c>
      <c r="AU20" s="206">
        <f t="shared" si="0"/>
        <v>-6.7042662510452544E-7</v>
      </c>
      <c r="AV20" s="206">
        <f t="shared" si="0"/>
        <v>-6.1120360217437053E-8</v>
      </c>
      <c r="AW20" s="59">
        <f t="shared" si="1"/>
        <v>-3.3260336239626653E-6</v>
      </c>
      <c r="AX20" s="59">
        <f t="shared" si="1"/>
        <v>-6.1120359551303238E-8</v>
      </c>
    </row>
    <row r="21" spans="1:50" ht="11.25" customHeight="1" x14ac:dyDescent="0.2">
      <c r="A21" s="61"/>
      <c r="B21" s="233" t="s">
        <v>228</v>
      </c>
      <c r="C21" s="234" t="b">
        <v>1</v>
      </c>
      <c r="D21" s="59"/>
      <c r="E21" s="91" t="b">
        <v>0</v>
      </c>
      <c r="F21" s="155">
        <f t="shared" si="10"/>
        <v>10</v>
      </c>
      <c r="G21" s="73">
        <v>10</v>
      </c>
      <c r="H21" s="71" t="s">
        <v>81</v>
      </c>
      <c r="I21" s="90" t="e">
        <f t="shared" si="11"/>
        <v>#DIV/0!</v>
      </c>
      <c r="J21" s="197"/>
      <c r="K21" s="89"/>
      <c r="L21" s="88" t="e">
        <f t="shared" si="2"/>
        <v>#DIV/0!</v>
      </c>
      <c r="M21" s="73">
        <f t="shared" si="8"/>
        <v>16</v>
      </c>
      <c r="N21" s="71" t="str">
        <f t="shared" si="3"/>
        <v/>
      </c>
      <c r="O21" s="73" t="str">
        <f t="shared" si="9"/>
        <v/>
      </c>
      <c r="P21" s="71" t="str">
        <f t="shared" si="4"/>
        <v/>
      </c>
      <c r="Q21" s="73" t="str">
        <f t="shared" si="5"/>
        <v/>
      </c>
      <c r="R21" s="72" t="str">
        <f t="shared" si="6"/>
        <v/>
      </c>
      <c r="S21" s="86" t="str">
        <f t="shared" si="7"/>
        <v/>
      </c>
      <c r="U21" s="65">
        <v>44623</v>
      </c>
      <c r="V21" s="64">
        <v>0.89295016152762452</v>
      </c>
      <c r="W21"/>
      <c r="X21" s="73">
        <v>9</v>
      </c>
      <c r="Y21" s="73">
        <f>_xll.RtGet($AC$13,$AC$14&amp;$X21&amp;$AC$15,Y$12)</f>
        <v>1.5695381890000002</v>
      </c>
      <c r="Z21" s="71">
        <f>_xll.RtGet($AC$13,$AC$14&amp;$X21&amp;$AC$15,Z$12)</f>
        <v>1.5695381890000002</v>
      </c>
      <c r="AA21" s="60"/>
      <c r="AB21" s="60"/>
      <c r="AC21" s="60"/>
      <c r="AE21" s="245" t="s">
        <v>231</v>
      </c>
      <c r="AF21" s="246"/>
      <c r="AG21" s="246"/>
      <c r="AH21" s="247"/>
      <c r="AJ21" s="59" t="s">
        <v>211</v>
      </c>
      <c r="AK21" s="205">
        <v>42797</v>
      </c>
      <c r="AL21" s="59" t="s">
        <v>212</v>
      </c>
      <c r="AM21" s="205">
        <v>44988</v>
      </c>
      <c r="AN21" s="59" t="s">
        <v>181</v>
      </c>
      <c r="AO21" s="59">
        <v>0.96207029006917</v>
      </c>
      <c r="AP21" s="59">
        <v>0.64328778490332195</v>
      </c>
      <c r="AQ21" s="59">
        <v>0.86838133049510602</v>
      </c>
      <c r="AR21" s="59">
        <v>2.34778414225317</v>
      </c>
      <c r="AS21" s="59">
        <v>-0.39124999999999999</v>
      </c>
      <c r="AU21" s="206">
        <f t="shared" si="0"/>
        <v>-1.019482417596862E-6</v>
      </c>
      <c r="AV21" s="206">
        <f t="shared" si="0"/>
        <v>-6.74881359796764E-7</v>
      </c>
      <c r="AW21" s="59">
        <f t="shared" si="1"/>
        <v>-3.6019607817516786E-6</v>
      </c>
      <c r="AX21" s="59">
        <f t="shared" si="1"/>
        <v>-6.7488135901960788E-7</v>
      </c>
    </row>
    <row r="22" spans="1:50" ht="11.25" customHeight="1" x14ac:dyDescent="0.2">
      <c r="A22" s="61"/>
      <c r="D22" s="59"/>
      <c r="E22" s="91" t="b">
        <v>0</v>
      </c>
      <c r="F22" s="155">
        <f t="shared" si="10"/>
        <v>11</v>
      </c>
      <c r="G22" s="73">
        <v>11</v>
      </c>
      <c r="H22" s="71" t="s">
        <v>81</v>
      </c>
      <c r="I22" s="90" t="e">
        <f t="shared" si="11"/>
        <v>#DIV/0!</v>
      </c>
      <c r="J22" s="197"/>
      <c r="K22" s="89"/>
      <c r="L22" s="88" t="e">
        <f t="shared" si="2"/>
        <v>#DIV/0!</v>
      </c>
      <c r="M22" s="73">
        <f t="shared" si="8"/>
        <v>17</v>
      </c>
      <c r="N22" s="71" t="str">
        <f t="shared" ref="N22:N41" si="12">IF(E22,M22,"")</f>
        <v/>
      </c>
      <c r="O22" s="73" t="str">
        <f t="shared" ref="O22:O41" si="13">IF(O21&lt;$S$5,O21+1,"")</f>
        <v/>
      </c>
      <c r="P22" s="71" t="str">
        <f t="shared" ref="P22:P42" si="14">IF(LEN(O22)&gt;0,SMALL($N$6:$N$42,O22),"")</f>
        <v/>
      </c>
      <c r="Q22" s="73" t="str">
        <f t="shared" ref="Q22:Q41" si="15">IF(LEN(O22)&gt;0,INDEX($G$6:$G$42,$P22),"")</f>
        <v/>
      </c>
      <c r="R22" s="72" t="str">
        <f t="shared" ref="R22:R41" si="16">IF(LEN(P22)&gt;0,INDEX($H$6:$H$42,$P22),"")</f>
        <v/>
      </c>
      <c r="S22" s="86" t="str">
        <f t="shared" ref="S22:S41" si="17">IF(LEN(P22)&gt;0,INDEX($L$6:$L$42,$P22),"")</f>
        <v/>
      </c>
      <c r="U22" s="65">
        <v>44988</v>
      </c>
      <c r="V22" s="64">
        <v>0.86838200537646504</v>
      </c>
      <c r="W22"/>
      <c r="X22" s="73">
        <v>10</v>
      </c>
      <c r="Y22" s="73" t="str">
        <f>_xll.RtGet($AC$13,$AC$14&amp;$X22&amp;$AC$15,Y$12)</f>
        <v>#N/A RIC Not Found</v>
      </c>
      <c r="Z22" s="71" t="str">
        <f>_xll.RtGet($AC$13,$AC$14&amp;$X22&amp;$AC$15,Z$12)</f>
        <v>#N/A RIC Not Found</v>
      </c>
      <c r="AA22" s="60"/>
      <c r="AB22" s="60"/>
      <c r="AC22" s="60"/>
      <c r="AE22" s="245" t="s">
        <v>232</v>
      </c>
      <c r="AF22" s="246"/>
      <c r="AG22" s="246"/>
      <c r="AH22" s="247"/>
      <c r="AJ22" s="59" t="s">
        <v>211</v>
      </c>
      <c r="AK22" s="205">
        <v>42797</v>
      </c>
      <c r="AL22" s="59" t="s">
        <v>212</v>
      </c>
      <c r="AM22" s="205">
        <v>45355</v>
      </c>
      <c r="AN22" s="59" t="s">
        <v>168</v>
      </c>
      <c r="AO22" s="59">
        <v>0.95582920787460501</v>
      </c>
      <c r="AP22" s="59">
        <v>0.64385992506011303</v>
      </c>
      <c r="AQ22" s="59">
        <v>0.84354836833975499</v>
      </c>
      <c r="AR22" s="59">
        <v>2.4248490127557698</v>
      </c>
      <c r="AS22" s="59">
        <v>-0.38500000000000001</v>
      </c>
      <c r="AU22" s="206">
        <f t="shared" si="0"/>
        <v>-5.4141596872447906E-7</v>
      </c>
      <c r="AV22" s="206">
        <f t="shared" si="0"/>
        <v>-6.6526702224845025E-7</v>
      </c>
      <c r="AW22" s="59">
        <f t="shared" si="1"/>
        <v>-3.0499660956806451E-6</v>
      </c>
      <c r="AX22" s="59">
        <f t="shared" si="1"/>
        <v>-6.6526702124924952E-7</v>
      </c>
    </row>
    <row r="23" spans="1:50" ht="11.25" customHeight="1" x14ac:dyDescent="0.2">
      <c r="A23" s="61"/>
      <c r="D23" s="59"/>
      <c r="E23" s="91" t="b">
        <v>0</v>
      </c>
      <c r="F23" s="155">
        <f>X24</f>
        <v>12</v>
      </c>
      <c r="G23" s="73">
        <v>12</v>
      </c>
      <c r="H23" s="71" t="s">
        <v>81</v>
      </c>
      <c r="I23" s="90" t="e">
        <f t="shared" ref="I23:I41" si="18">AVERAGE(Y24:Z24)</f>
        <v>#DIV/0!</v>
      </c>
      <c r="J23" s="197"/>
      <c r="K23" s="89"/>
      <c r="L23" s="88" t="e">
        <f t="shared" ref="L23:L41" si="19">IF(ISNUMBER(J23),J23,I23)+K23</f>
        <v>#DIV/0!</v>
      </c>
      <c r="M23" s="73">
        <f t="shared" si="8"/>
        <v>18</v>
      </c>
      <c r="N23" s="71" t="str">
        <f t="shared" si="12"/>
        <v/>
      </c>
      <c r="O23" s="73" t="str">
        <f t="shared" si="13"/>
        <v/>
      </c>
      <c r="P23" s="71" t="str">
        <f t="shared" si="14"/>
        <v/>
      </c>
      <c r="Q23" s="73" t="str">
        <f t="shared" si="15"/>
        <v/>
      </c>
      <c r="R23" s="72" t="str">
        <f t="shared" si="16"/>
        <v/>
      </c>
      <c r="S23" s="86" t="str">
        <f t="shared" si="17"/>
        <v/>
      </c>
      <c r="U23" s="65">
        <v>45355</v>
      </c>
      <c r="V23" s="64">
        <v>0.84354903360677624</v>
      </c>
      <c r="W23"/>
      <c r="X23" s="73">
        <v>11</v>
      </c>
      <c r="Y23" s="73" t="str">
        <f>_xll.RtGet($AC$13,$AC$14&amp;$X23&amp;$AC$15,Y$12)</f>
        <v>#N/A RIC Not Found</v>
      </c>
      <c r="Z23" s="71" t="str">
        <f>_xll.RtGet($AC$13,$AC$14&amp;$X23&amp;$AC$15,Z$12)</f>
        <v>#N/A RIC Not Found</v>
      </c>
      <c r="AA23" s="60"/>
      <c r="AB23" s="60"/>
      <c r="AC23" s="60"/>
      <c r="AE23" s="245" t="s">
        <v>233</v>
      </c>
      <c r="AF23" s="246"/>
      <c r="AG23" s="246"/>
      <c r="AH23" s="247"/>
      <c r="AJ23" s="59" t="s">
        <v>211</v>
      </c>
      <c r="AK23" s="205">
        <v>42797</v>
      </c>
      <c r="AL23" s="59" t="s">
        <v>212</v>
      </c>
      <c r="AM23" s="205">
        <v>45719</v>
      </c>
      <c r="AN23" s="59" t="s">
        <v>182</v>
      </c>
      <c r="AO23" s="59">
        <v>0.94993492412430003</v>
      </c>
      <c r="AP23" s="59">
        <v>0.64092499638656097</v>
      </c>
      <c r="AQ23" s="59">
        <v>0.81939929887582896</v>
      </c>
      <c r="AR23" s="59">
        <v>2.4855410556148398</v>
      </c>
      <c r="AS23" s="59">
        <v>-0.37624999999999997</v>
      </c>
      <c r="AU23" s="206">
        <f t="shared" si="0"/>
        <v>3.689228811332157E-9</v>
      </c>
      <c r="AV23" s="206">
        <f t="shared" si="0"/>
        <v>-6.5399997517534558E-7</v>
      </c>
      <c r="AW23" s="59">
        <f t="shared" si="1"/>
        <v>-2.4329709068515726E-6</v>
      </c>
      <c r="AX23" s="59">
        <f t="shared" si="1"/>
        <v>-6.5399997439818947E-7</v>
      </c>
    </row>
    <row r="24" spans="1:50" ht="11.25" customHeight="1" x14ac:dyDescent="0.2">
      <c r="A24" s="61"/>
      <c r="B24" s="287" t="s">
        <v>80</v>
      </c>
      <c r="C24" s="288"/>
      <c r="D24" s="59"/>
      <c r="E24" s="91" t="b">
        <v>0</v>
      </c>
      <c r="F24" s="155">
        <v>15</v>
      </c>
      <c r="G24" s="73">
        <v>15</v>
      </c>
      <c r="H24" s="71" t="s">
        <v>81</v>
      </c>
      <c r="I24" s="90" t="e">
        <f t="shared" si="18"/>
        <v>#DIV/0!</v>
      </c>
      <c r="J24" s="197"/>
      <c r="K24" s="89"/>
      <c r="L24" s="88" t="e">
        <f t="shared" si="19"/>
        <v>#DIV/0!</v>
      </c>
      <c r="M24" s="73">
        <f t="shared" si="8"/>
        <v>19</v>
      </c>
      <c r="N24" s="71" t="str">
        <f t="shared" si="12"/>
        <v/>
      </c>
      <c r="O24" s="73" t="str">
        <f t="shared" si="13"/>
        <v/>
      </c>
      <c r="P24" s="71" t="str">
        <f t="shared" si="14"/>
        <v/>
      </c>
      <c r="Q24" s="73" t="str">
        <f t="shared" si="15"/>
        <v/>
      </c>
      <c r="R24" s="72" t="str">
        <f t="shared" si="16"/>
        <v/>
      </c>
      <c r="S24" s="86" t="str">
        <f t="shared" si="17"/>
        <v/>
      </c>
      <c r="U24" s="65">
        <v>45719</v>
      </c>
      <c r="V24" s="64">
        <v>0.81939995287580336</v>
      </c>
      <c r="W24"/>
      <c r="X24" s="68">
        <v>12</v>
      </c>
      <c r="Y24" s="80" t="str">
        <f>_xll.RtGet($AC$13,$AC$14&amp;$X24&amp;$AC$15,Y$12)</f>
        <v>#N/A RIC Not Found</v>
      </c>
      <c r="Z24" s="147" t="str">
        <f>_xll.RtGet($AC$13,$AC$14&amp;$X24&amp;$AC$15,Z$12)</f>
        <v>#N/A RIC Not Found</v>
      </c>
      <c r="AA24" s="60"/>
      <c r="AB24" s="60"/>
      <c r="AC24" s="60"/>
      <c r="AE24" s="245" t="s">
        <v>234</v>
      </c>
      <c r="AF24" s="246"/>
      <c r="AG24" s="246"/>
      <c r="AH24" s="247"/>
      <c r="AJ24" s="59" t="s">
        <v>211</v>
      </c>
      <c r="AK24" s="205">
        <v>42797</v>
      </c>
      <c r="AL24" s="59" t="s">
        <v>212</v>
      </c>
      <c r="AM24" s="205">
        <v>46084</v>
      </c>
      <c r="AN24" s="59" t="s">
        <v>183</v>
      </c>
      <c r="AO24" s="59">
        <v>0.94359072499246499</v>
      </c>
      <c r="AP24" s="59">
        <v>0.64416132893144595</v>
      </c>
      <c r="AQ24" s="59">
        <v>0.79512107641822105</v>
      </c>
      <c r="AR24" s="59">
        <v>2.5434717528267199</v>
      </c>
      <c r="AS24" s="59">
        <v>-0.3725</v>
      </c>
      <c r="AU24" s="206">
        <f t="shared" si="0"/>
        <v>6.108253157721677E-7</v>
      </c>
      <c r="AV24" s="206">
        <f t="shared" si="0"/>
        <v>-6.4356431217493792E-7</v>
      </c>
      <c r="AW24" s="59">
        <f t="shared" si="1"/>
        <v>-1.7535672233170985E-6</v>
      </c>
      <c r="AX24" s="59">
        <f t="shared" si="1"/>
        <v>-6.435643111757372E-7</v>
      </c>
    </row>
    <row r="25" spans="1:50" ht="11.25" customHeight="1" x14ac:dyDescent="0.2">
      <c r="A25" s="59"/>
      <c r="B25" s="159" t="s">
        <v>79</v>
      </c>
      <c r="C25" s="108">
        <v>312</v>
      </c>
      <c r="D25" s="59"/>
      <c r="E25" s="91" t="b">
        <v>0</v>
      </c>
      <c r="F25" s="155">
        <v>18</v>
      </c>
      <c r="G25" s="73">
        <v>18</v>
      </c>
      <c r="H25" s="71" t="s">
        <v>81</v>
      </c>
      <c r="I25" s="90" t="e">
        <f t="shared" si="18"/>
        <v>#DIV/0!</v>
      </c>
      <c r="J25" s="197"/>
      <c r="K25" s="89"/>
      <c r="L25" s="88" t="e">
        <f t="shared" si="19"/>
        <v>#DIV/0!</v>
      </c>
      <c r="M25" s="73">
        <f t="shared" si="8"/>
        <v>20</v>
      </c>
      <c r="N25" s="71" t="str">
        <f t="shared" si="12"/>
        <v/>
      </c>
      <c r="O25" s="73" t="str">
        <f t="shared" si="13"/>
        <v/>
      </c>
      <c r="P25" s="71" t="str">
        <f t="shared" si="14"/>
        <v/>
      </c>
      <c r="Q25" s="73" t="str">
        <f t="shared" si="15"/>
        <v/>
      </c>
      <c r="R25" s="72" t="str">
        <f t="shared" si="16"/>
        <v/>
      </c>
      <c r="S25" s="86" t="str">
        <f t="shared" si="17"/>
        <v/>
      </c>
      <c r="U25" s="65">
        <v>46084</v>
      </c>
      <c r="V25" s="64">
        <v>0.79512171998253223</v>
      </c>
      <c r="W25"/>
      <c r="X25" s="72"/>
      <c r="Y25" s="72"/>
      <c r="Z25" s="72"/>
      <c r="AA25" s="60"/>
      <c r="AB25" s="60"/>
      <c r="AC25" s="60"/>
      <c r="AE25" s="245" t="s">
        <v>235</v>
      </c>
      <c r="AF25" s="246"/>
      <c r="AG25" s="246"/>
      <c r="AH25" s="247"/>
      <c r="AJ25" s="59" t="s">
        <v>211</v>
      </c>
      <c r="AK25" s="205">
        <v>42797</v>
      </c>
      <c r="AL25" s="59" t="s">
        <v>212</v>
      </c>
      <c r="AM25" s="205">
        <v>46449</v>
      </c>
      <c r="AN25" s="59" t="s">
        <v>169</v>
      </c>
      <c r="AO25" s="59">
        <v>0.93694037069634095</v>
      </c>
      <c r="AP25" s="59">
        <v>0.65046532460864304</v>
      </c>
      <c r="AQ25" s="59">
        <v>0.77107451690073803</v>
      </c>
      <c r="AR25" s="59">
        <v>2.59614623941231</v>
      </c>
      <c r="AS25" s="59">
        <v>-0.36875000000000002</v>
      </c>
      <c r="AU25" s="206">
        <f t="shared" si="0"/>
        <v>1.0747949952261138E-6</v>
      </c>
      <c r="AV25" s="206">
        <f t="shared" si="0"/>
        <v>-6.3324524590679943E-7</v>
      </c>
      <c r="AW25" s="59">
        <f t="shared" si="1"/>
        <v>-1.2180285180463102E-6</v>
      </c>
      <c r="AX25" s="59">
        <f t="shared" si="1"/>
        <v>-6.3324524512964331E-7</v>
      </c>
    </row>
    <row r="26" spans="1:50" ht="11.25" customHeight="1" x14ac:dyDescent="0.2">
      <c r="A26" s="61"/>
      <c r="B26" s="143" t="s">
        <v>78</v>
      </c>
      <c r="C26" s="124" t="s">
        <v>24</v>
      </c>
      <c r="D26" s="59"/>
      <c r="E26" s="84" t="b">
        <v>0</v>
      </c>
      <c r="F26" s="154">
        <v>21</v>
      </c>
      <c r="G26" s="68">
        <v>21</v>
      </c>
      <c r="H26" s="69" t="s">
        <v>81</v>
      </c>
      <c r="I26" s="83">
        <f t="shared" si="18"/>
        <v>1.0628500000000001</v>
      </c>
      <c r="J26" s="195"/>
      <c r="K26" s="82"/>
      <c r="L26" s="81">
        <f t="shared" si="19"/>
        <v>1.0628500000000001</v>
      </c>
      <c r="M26" s="73">
        <f t="shared" si="8"/>
        <v>21</v>
      </c>
      <c r="N26" s="71" t="str">
        <f t="shared" si="12"/>
        <v/>
      </c>
      <c r="O26" s="73" t="str">
        <f t="shared" si="13"/>
        <v/>
      </c>
      <c r="P26" s="71" t="str">
        <f t="shared" si="14"/>
        <v/>
      </c>
      <c r="Q26" s="73" t="str">
        <f t="shared" si="15"/>
        <v/>
      </c>
      <c r="R26" s="72" t="str">
        <f t="shared" si="16"/>
        <v/>
      </c>
      <c r="S26" s="86" t="str">
        <f t="shared" si="17"/>
        <v/>
      </c>
      <c r="U26" s="65">
        <v>46449</v>
      </c>
      <c r="V26" s="64">
        <v>0.77107515014598316</v>
      </c>
      <c r="W26"/>
      <c r="X26" s="121" t="s">
        <v>104</v>
      </c>
      <c r="Y26" s="137" t="s">
        <v>71</v>
      </c>
      <c r="Z26" s="136" t="s">
        <v>70</v>
      </c>
      <c r="AB26" s="113" t="s">
        <v>68</v>
      </c>
      <c r="AC26" s="112" t="s">
        <v>67</v>
      </c>
      <c r="AE26" s="248"/>
      <c r="AF26" s="249"/>
      <c r="AG26" s="249"/>
      <c r="AH26" s="250"/>
      <c r="AJ26" s="59" t="s">
        <v>211</v>
      </c>
      <c r="AK26" s="205">
        <v>42797</v>
      </c>
      <c r="AL26" s="59" t="s">
        <v>212</v>
      </c>
      <c r="AM26" s="205">
        <v>47182</v>
      </c>
      <c r="AN26" s="59" t="s">
        <v>184</v>
      </c>
      <c r="AO26" s="59">
        <v>0.92514073303215305</v>
      </c>
      <c r="AP26" s="59">
        <v>0.64722958903169203</v>
      </c>
      <c r="AQ26" s="59">
        <v>0.72527596820066698</v>
      </c>
      <c r="AR26" s="59">
        <v>2.6718120676309098</v>
      </c>
      <c r="AS26" s="59">
        <v>-0.35375000000000001</v>
      </c>
      <c r="AU26" s="206">
        <f t="shared" si="0"/>
        <v>7.0735466868310226E-6</v>
      </c>
      <c r="AV26" s="206">
        <f t="shared" si="0"/>
        <v>-6.0829961257002907E-7</v>
      </c>
      <c r="AW26" s="59">
        <f t="shared" si="1"/>
        <v>4.9173367292487669E-6</v>
      </c>
      <c r="AX26" s="59">
        <f t="shared" si="1"/>
        <v>-6.0829961179287295E-7</v>
      </c>
    </row>
    <row r="27" spans="1:50" ht="11.25" customHeight="1" x14ac:dyDescent="0.2">
      <c r="A27" s="61"/>
      <c r="B27" s="135" t="s">
        <v>108</v>
      </c>
      <c r="C27" s="124">
        <v>2</v>
      </c>
      <c r="D27" s="59"/>
      <c r="E27" s="91" t="b">
        <v>0</v>
      </c>
      <c r="F27" s="155">
        <v>24</v>
      </c>
      <c r="G27" s="73">
        <v>24</v>
      </c>
      <c r="H27" s="71" t="s">
        <v>81</v>
      </c>
      <c r="I27" s="90" t="e">
        <f t="shared" si="18"/>
        <v>#DIV/0!</v>
      </c>
      <c r="J27" s="197"/>
      <c r="K27" s="89"/>
      <c r="L27" s="88" t="e">
        <f t="shared" si="19"/>
        <v>#DIV/0!</v>
      </c>
      <c r="M27" s="73">
        <f t="shared" si="8"/>
        <v>22</v>
      </c>
      <c r="N27" s="71" t="str">
        <f t="shared" si="12"/>
        <v/>
      </c>
      <c r="O27" s="73" t="str">
        <f t="shared" si="13"/>
        <v/>
      </c>
      <c r="P27" s="71" t="str">
        <f t="shared" si="14"/>
        <v/>
      </c>
      <c r="Q27" s="73" t="str">
        <f t="shared" si="15"/>
        <v/>
      </c>
      <c r="R27" s="72" t="str">
        <f t="shared" si="16"/>
        <v/>
      </c>
      <c r="S27" s="86" t="str">
        <f t="shared" si="17"/>
        <v/>
      </c>
      <c r="U27" s="65">
        <v>47182</v>
      </c>
      <c r="V27" s="64">
        <v>0.72527657650027877</v>
      </c>
      <c r="W27"/>
      <c r="X27" s="134" t="s">
        <v>100</v>
      </c>
      <c r="Y27" s="133">
        <f>_xll.RtGet($AC$26,$AC$27&amp;$X27&amp;$AC$28,Y$26)</f>
        <v>1.0628</v>
      </c>
      <c r="Z27" s="132">
        <f>_xll.RtGet($AC$26,$AC$27&amp;$X27&amp;$AC$28,Z$26)</f>
        <v>1.0629</v>
      </c>
      <c r="AB27" s="110" t="s">
        <v>66</v>
      </c>
      <c r="AC27" s="109"/>
      <c r="AJ27" s="59" t="s">
        <v>211</v>
      </c>
      <c r="AK27" s="205">
        <v>42797</v>
      </c>
      <c r="AL27" s="59" t="s">
        <v>212</v>
      </c>
      <c r="AM27" s="205">
        <v>48276</v>
      </c>
      <c r="AN27" s="59" t="s">
        <v>170</v>
      </c>
      <c r="AO27" s="59">
        <v>0.91003535867253205</v>
      </c>
      <c r="AP27" s="59">
        <v>0.62767632174080401</v>
      </c>
      <c r="AQ27" s="59">
        <v>0.66419102596648905</v>
      </c>
      <c r="AR27" s="59">
        <v>2.72441993118822</v>
      </c>
      <c r="AS27" s="59">
        <v>-0.31874999999999998</v>
      </c>
      <c r="AU27" s="206">
        <f t="shared" si="0"/>
        <v>2.2181300068702114E-5</v>
      </c>
      <c r="AV27" s="206">
        <f t="shared" si="0"/>
        <v>-5.6551840199592363E-7</v>
      </c>
      <c r="AW27" s="59">
        <f t="shared" si="1"/>
        <v>2.0207637291380642E-5</v>
      </c>
      <c r="AX27" s="59">
        <f t="shared" si="1"/>
        <v>-5.655184008857006E-7</v>
      </c>
    </row>
    <row r="28" spans="1:50" ht="11.25" customHeight="1" x14ac:dyDescent="0.2">
      <c r="A28" s="131"/>
      <c r="B28" s="130" t="s">
        <v>109</v>
      </c>
      <c r="C28" s="129"/>
      <c r="D28" s="59"/>
      <c r="E28" s="91" t="b">
        <v>0</v>
      </c>
      <c r="F28" s="155">
        <v>36</v>
      </c>
      <c r="G28" s="73">
        <v>36</v>
      </c>
      <c r="H28" s="71" t="s">
        <v>81</v>
      </c>
      <c r="I28" s="90">
        <f t="shared" si="18"/>
        <v>0.01</v>
      </c>
      <c r="J28" s="197"/>
      <c r="K28" s="89"/>
      <c r="L28" s="88">
        <f t="shared" si="19"/>
        <v>0.01</v>
      </c>
      <c r="M28" s="73">
        <f t="shared" si="8"/>
        <v>23</v>
      </c>
      <c r="N28" s="71" t="str">
        <f t="shared" si="12"/>
        <v/>
      </c>
      <c r="O28" s="73" t="str">
        <f t="shared" si="13"/>
        <v/>
      </c>
      <c r="P28" s="71" t="str">
        <f t="shared" si="14"/>
        <v/>
      </c>
      <c r="Q28" s="73" t="str">
        <f t="shared" si="15"/>
        <v/>
      </c>
      <c r="R28" s="72" t="str">
        <f t="shared" si="16"/>
        <v/>
      </c>
      <c r="S28" s="86" t="str">
        <f t="shared" si="17"/>
        <v/>
      </c>
      <c r="U28" s="65">
        <v>48276</v>
      </c>
      <c r="V28" s="64">
        <v>0.66419159148488993</v>
      </c>
      <c r="W28"/>
      <c r="AB28" s="107" t="s">
        <v>63</v>
      </c>
      <c r="AC28" s="183" t="s">
        <v>103</v>
      </c>
      <c r="AF28" s="59">
        <f>_xll.xlShmCCSwapNPV(AK15,,F63,C9,C10,C4,C11,{4,4},{4,4},{1,1},{1,1},J63:K63,{1,1},{1,1},{0,0},{0,0},1,+C30)</f>
        <v>-3.9968028886505635E-15</v>
      </c>
      <c r="AJ28" s="59" t="s">
        <v>211</v>
      </c>
      <c r="AK28" s="205">
        <v>42797</v>
      </c>
      <c r="AL28" s="59" t="s">
        <v>212</v>
      </c>
      <c r="AM28" s="205">
        <v>50102</v>
      </c>
      <c r="AN28" s="59" t="s">
        <v>171</v>
      </c>
      <c r="AO28" s="59">
        <v>0.88716204759170902</v>
      </c>
      <c r="AP28" s="59">
        <v>0.59798278439067198</v>
      </c>
      <c r="AQ28" s="59">
        <v>0.57540255112064997</v>
      </c>
      <c r="AR28" s="59">
        <v>2.7604018731929201</v>
      </c>
      <c r="AS28" s="59">
        <v>-0.26874999999999999</v>
      </c>
      <c r="AU28" s="206">
        <f t="shared" si="0"/>
        <v>6.5040958750151034E-5</v>
      </c>
      <c r="AV28" s="206">
        <f t="shared" si="0"/>
        <v>-6.5426020678938102E-7</v>
      </c>
      <c r="AW28" s="59">
        <f t="shared" si="1"/>
        <v>6.3333357943173851E-5</v>
      </c>
      <c r="AX28" s="59">
        <f t="shared" si="1"/>
        <v>-6.5426020567915799E-7</v>
      </c>
    </row>
    <row r="29" spans="1:50" ht="11.25" customHeight="1" x14ac:dyDescent="0.2">
      <c r="A29" s="111"/>
      <c r="B29" s="128" t="s">
        <v>110</v>
      </c>
      <c r="C29" s="127"/>
      <c r="E29" s="91" t="b">
        <v>0</v>
      </c>
      <c r="F29" s="155">
        <v>48</v>
      </c>
      <c r="G29" s="73">
        <v>48</v>
      </c>
      <c r="H29" s="71" t="s">
        <v>81</v>
      </c>
      <c r="I29" s="90" t="e">
        <f t="shared" si="18"/>
        <v>#DIV/0!</v>
      </c>
      <c r="J29" s="197"/>
      <c r="K29" s="89"/>
      <c r="L29" s="88" t="e">
        <f t="shared" si="19"/>
        <v>#DIV/0!</v>
      </c>
      <c r="M29" s="73">
        <f t="shared" si="8"/>
        <v>24</v>
      </c>
      <c r="N29" s="71" t="str">
        <f t="shared" si="12"/>
        <v/>
      </c>
      <c r="O29" s="73" t="str">
        <f t="shared" si="13"/>
        <v/>
      </c>
      <c r="P29" s="71" t="str">
        <f t="shared" si="14"/>
        <v/>
      </c>
      <c r="Q29" s="73" t="str">
        <f t="shared" si="15"/>
        <v/>
      </c>
      <c r="R29" s="72" t="str">
        <f t="shared" si="16"/>
        <v/>
      </c>
      <c r="S29" s="86" t="str">
        <f t="shared" si="17"/>
        <v/>
      </c>
      <c r="U29" s="65">
        <v>50102</v>
      </c>
      <c r="V29" s="64">
        <v>0.57540320538085565</v>
      </c>
      <c r="W29"/>
      <c r="X29" s="121" t="s">
        <v>127</v>
      </c>
      <c r="Y29" s="66">
        <v>0.01</v>
      </c>
      <c r="AJ29" s="59" t="s">
        <v>211</v>
      </c>
      <c r="AK29" s="205">
        <v>42797</v>
      </c>
      <c r="AL29" s="59" t="s">
        <v>212</v>
      </c>
      <c r="AM29" s="205">
        <v>51928</v>
      </c>
      <c r="AN29" s="59" t="s">
        <v>185</v>
      </c>
      <c r="AO29" s="59">
        <v>0.86859596457574395</v>
      </c>
      <c r="AP29" s="59">
        <v>0.56295357726376005</v>
      </c>
      <c r="AQ29" s="59">
        <v>0.50428748026982395</v>
      </c>
      <c r="AR29" s="59">
        <v>2.7357368436625</v>
      </c>
      <c r="AS29" s="59">
        <v>-0.2225</v>
      </c>
      <c r="AU29" s="206">
        <f t="shared" si="0"/>
        <v>7.7885245106545931E-5</v>
      </c>
      <c r="AV29" s="206">
        <f t="shared" si="0"/>
        <v>-6.4742865268918592E-7</v>
      </c>
      <c r="AW29" s="59">
        <f t="shared" si="1"/>
        <v>7.6389715143121428E-5</v>
      </c>
      <c r="AX29" s="59">
        <f t="shared" si="1"/>
        <v>-6.474286516899852E-7</v>
      </c>
    </row>
    <row r="30" spans="1:50" ht="11.25" customHeight="1" x14ac:dyDescent="0.2">
      <c r="A30" s="111"/>
      <c r="B30" s="125" t="s">
        <v>111</v>
      </c>
      <c r="C30" s="124" t="s">
        <v>149</v>
      </c>
      <c r="E30" s="91" t="b">
        <v>0</v>
      </c>
      <c r="F30" s="155">
        <v>60</v>
      </c>
      <c r="G30" s="73">
        <v>60</v>
      </c>
      <c r="H30" s="71" t="s">
        <v>81</v>
      </c>
      <c r="I30" s="90">
        <f t="shared" si="18"/>
        <v>-0.29000000000000004</v>
      </c>
      <c r="J30" s="197"/>
      <c r="K30" s="89"/>
      <c r="L30" s="88">
        <f t="shared" si="19"/>
        <v>-0.29000000000000004</v>
      </c>
      <c r="M30" s="73">
        <f t="shared" si="8"/>
        <v>25</v>
      </c>
      <c r="N30" s="71" t="str">
        <f t="shared" si="12"/>
        <v/>
      </c>
      <c r="O30" s="73" t="str">
        <f t="shared" si="13"/>
        <v/>
      </c>
      <c r="P30" s="71" t="str">
        <f t="shared" si="14"/>
        <v/>
      </c>
      <c r="Q30" s="73" t="str">
        <f t="shared" si="15"/>
        <v/>
      </c>
      <c r="R30" s="72" t="str">
        <f t="shared" si="16"/>
        <v/>
      </c>
      <c r="S30" s="86" t="str">
        <f t="shared" si="17"/>
        <v/>
      </c>
      <c r="U30" s="65">
        <v>51928</v>
      </c>
      <c r="V30" s="64">
        <v>0.50428812769847564</v>
      </c>
      <c r="W30"/>
      <c r="X30" s="121" t="s">
        <v>72</v>
      </c>
      <c r="Y30" s="123" t="s">
        <v>71</v>
      </c>
      <c r="Z30" s="122" t="s">
        <v>70</v>
      </c>
      <c r="AJ30" s="59" t="s">
        <v>211</v>
      </c>
      <c r="AK30" s="205">
        <v>42797</v>
      </c>
      <c r="AL30" s="59" t="s">
        <v>212</v>
      </c>
      <c r="AM30" s="205">
        <v>53755</v>
      </c>
      <c r="AN30" s="59" t="s">
        <v>172</v>
      </c>
      <c r="AO30" s="59">
        <v>0.84953140705832297</v>
      </c>
      <c r="AP30" s="59">
        <v>0.543022389141263</v>
      </c>
      <c r="AQ30" s="59">
        <v>0.44311909753171602</v>
      </c>
      <c r="AR30" s="59">
        <v>2.7103329640268301</v>
      </c>
      <c r="AS30" s="59">
        <v>-0.19375000000000001</v>
      </c>
      <c r="AU30" s="206">
        <f t="shared" si="0"/>
        <v>7.589356030218708E-5</v>
      </c>
      <c r="AV30" s="206">
        <f t="shared" si="0"/>
        <v>-6.4219257184250367E-7</v>
      </c>
      <c r="AW30" s="59">
        <f t="shared" si="1"/>
        <v>7.4579970137822471E-5</v>
      </c>
      <c r="AX30" s="59">
        <f t="shared" si="1"/>
        <v>-6.4219257073228064E-7</v>
      </c>
    </row>
    <row r="31" spans="1:50" ht="11.25" customHeight="1" x14ac:dyDescent="0.2">
      <c r="A31" s="59"/>
      <c r="B31" s="120" t="s">
        <v>112</v>
      </c>
      <c r="C31" s="119" t="s">
        <v>29</v>
      </c>
      <c r="E31" s="91" t="b">
        <v>0</v>
      </c>
      <c r="F31" s="155">
        <v>72</v>
      </c>
      <c r="G31" s="73">
        <v>72</v>
      </c>
      <c r="H31" s="71" t="s">
        <v>81</v>
      </c>
      <c r="I31" s="90">
        <f t="shared" si="18"/>
        <v>-0.30125000000000002</v>
      </c>
      <c r="J31" s="197"/>
      <c r="K31" s="89"/>
      <c r="L31" s="88">
        <f t="shared" si="19"/>
        <v>-0.30125000000000002</v>
      </c>
      <c r="M31" s="73">
        <f t="shared" si="8"/>
        <v>26</v>
      </c>
      <c r="N31" s="71" t="str">
        <f t="shared" si="12"/>
        <v/>
      </c>
      <c r="O31" s="73" t="str">
        <f t="shared" si="13"/>
        <v/>
      </c>
      <c r="P31" s="71" t="str">
        <f t="shared" si="14"/>
        <v/>
      </c>
      <c r="Q31" s="73" t="str">
        <f t="shared" si="15"/>
        <v/>
      </c>
      <c r="R31" s="72" t="str">
        <f t="shared" si="16"/>
        <v/>
      </c>
      <c r="S31" s="86" t="str">
        <f t="shared" si="17"/>
        <v/>
      </c>
      <c r="U31" s="65">
        <v>53755</v>
      </c>
      <c r="V31" s="64">
        <v>0.44311973972428675</v>
      </c>
      <c r="W31"/>
      <c r="X31" s="118" t="s">
        <v>162</v>
      </c>
      <c r="Y31" s="117">
        <f>$Y$29*_xll.RtGet($AC$32,$AC$33&amp;$X31&amp;$AC$34,Y$30)</f>
        <v>-0.315</v>
      </c>
      <c r="Z31" s="115">
        <f>$Y$29*_xll.RtGet($AC$32,$AC$33&amp;$X31&amp;$AC$34,Z$30)</f>
        <v>-0.26500000000000001</v>
      </c>
      <c r="AJ31" s="59" t="s">
        <v>211</v>
      </c>
      <c r="AK31" s="205">
        <v>42797</v>
      </c>
      <c r="AL31" s="59" t="s">
        <v>212</v>
      </c>
      <c r="AM31" s="205">
        <v>57409</v>
      </c>
      <c r="AN31" s="59" t="s">
        <v>195</v>
      </c>
      <c r="AO31" s="59">
        <v>0.79208628190796404</v>
      </c>
      <c r="AP31" s="59">
        <v>0.58211431559312798</v>
      </c>
      <c r="AQ31" s="59">
        <v>0.33562309660966699</v>
      </c>
      <c r="AR31" s="59">
        <v>2.7266148956182099</v>
      </c>
      <c r="AS31" s="59">
        <v>-0.21249999999999999</v>
      </c>
      <c r="AU31" s="206">
        <f t="shared" si="0"/>
        <v>7.6127843836926168E-5</v>
      </c>
      <c r="AV31" s="206">
        <f t="shared" si="0"/>
        <v>-4.7840195821491349E-7</v>
      </c>
      <c r="AW31" s="59">
        <f t="shared" si="1"/>
        <v>7.5134739232762815E-5</v>
      </c>
      <c r="AX31" s="59">
        <f t="shared" si="1"/>
        <v>-4.7840195749326853E-7</v>
      </c>
    </row>
    <row r="32" spans="1:50" ht="11.25" customHeight="1" x14ac:dyDescent="0.2">
      <c r="A32" s="111"/>
      <c r="B32" s="105" t="s">
        <v>225</v>
      </c>
      <c r="C32" s="114">
        <v>3</v>
      </c>
      <c r="D32" s="218"/>
      <c r="E32" s="91" t="b">
        <v>0</v>
      </c>
      <c r="F32" s="155">
        <v>84</v>
      </c>
      <c r="G32" s="73">
        <v>84</v>
      </c>
      <c r="H32" s="71" t="s">
        <v>81</v>
      </c>
      <c r="I32" s="90">
        <f t="shared" si="18"/>
        <v>-0.31125000000000003</v>
      </c>
      <c r="J32" s="197"/>
      <c r="K32" s="89"/>
      <c r="L32" s="88">
        <f t="shared" si="19"/>
        <v>-0.31125000000000003</v>
      </c>
      <c r="M32" s="73">
        <f t="shared" si="8"/>
        <v>27</v>
      </c>
      <c r="N32" s="71" t="str">
        <f t="shared" si="12"/>
        <v/>
      </c>
      <c r="O32" s="73" t="str">
        <f t="shared" si="13"/>
        <v/>
      </c>
      <c r="P32" s="71" t="str">
        <f t="shared" si="14"/>
        <v/>
      </c>
      <c r="Q32" s="73" t="str">
        <f t="shared" si="15"/>
        <v/>
      </c>
      <c r="R32" s="72" t="str">
        <f t="shared" si="16"/>
        <v/>
      </c>
      <c r="S32" s="86" t="str">
        <f t="shared" si="17"/>
        <v/>
      </c>
      <c r="U32" s="65">
        <v>57409</v>
      </c>
      <c r="V32" s="64">
        <v>0.33562357501162449</v>
      </c>
      <c r="X32" s="74" t="s">
        <v>164</v>
      </c>
      <c r="Y32" s="73">
        <f>$Y$29*_xll.RtGet($AC$32,$AC$33&amp;$X32&amp;$AC$34,Y$30)</f>
        <v>-0.32624999999999998</v>
      </c>
      <c r="Z32" s="71">
        <f>$Y$29*_xll.RtGet($AC$32,$AC$33&amp;$X32&amp;$AC$34,Z$30)</f>
        <v>-0.27625</v>
      </c>
      <c r="AB32" s="113" t="s">
        <v>68</v>
      </c>
      <c r="AC32" s="112" t="s">
        <v>67</v>
      </c>
      <c r="AJ32" s="59" t="s">
        <v>211</v>
      </c>
      <c r="AK32" s="205">
        <v>42797</v>
      </c>
      <c r="AL32" s="59" t="s">
        <v>212</v>
      </c>
      <c r="AM32" s="205">
        <v>61059</v>
      </c>
      <c r="AN32" s="59" t="s">
        <v>196</v>
      </c>
      <c r="AO32" s="59">
        <v>0.73018881080460096</v>
      </c>
      <c r="AP32" s="59">
        <v>0.62838778357965996</v>
      </c>
      <c r="AQ32" s="59">
        <v>0.25470759171562801</v>
      </c>
      <c r="AR32" s="59">
        <v>2.7330318543297398</v>
      </c>
      <c r="AS32" s="59">
        <v>-0.24</v>
      </c>
      <c r="AU32" s="206">
        <f t="shared" si="0"/>
        <v>5.7864468887003362E-5</v>
      </c>
      <c r="AV32" s="206">
        <f t="shared" si="0"/>
        <v>-4.2023255575340812E-7</v>
      </c>
      <c r="AW32" s="59">
        <f t="shared" si="1"/>
        <v>5.7111375390161978E-5</v>
      </c>
      <c r="AX32" s="59">
        <f t="shared" si="1"/>
        <v>-4.2023255536483006E-7</v>
      </c>
    </row>
    <row r="33" spans="1:47" ht="11.25" customHeight="1" x14ac:dyDescent="0.2">
      <c r="A33" s="111"/>
      <c r="B33" s="105" t="s">
        <v>113</v>
      </c>
      <c r="C33" s="114"/>
      <c r="E33" s="91" t="b">
        <v>0</v>
      </c>
      <c r="F33" s="155">
        <v>96</v>
      </c>
      <c r="G33" s="73">
        <v>96</v>
      </c>
      <c r="H33" s="71" t="s">
        <v>81</v>
      </c>
      <c r="I33" s="90">
        <f t="shared" si="18"/>
        <v>-0.31874999999999998</v>
      </c>
      <c r="J33" s="197"/>
      <c r="K33" s="89"/>
      <c r="L33" s="88">
        <f t="shared" si="19"/>
        <v>-0.31874999999999998</v>
      </c>
      <c r="M33" s="73">
        <f t="shared" si="8"/>
        <v>28</v>
      </c>
      <c r="N33" s="71" t="str">
        <f t="shared" si="12"/>
        <v/>
      </c>
      <c r="O33" s="73" t="str">
        <f t="shared" si="13"/>
        <v/>
      </c>
      <c r="P33" s="71" t="str">
        <f t="shared" si="14"/>
        <v/>
      </c>
      <c r="Q33" s="73" t="str">
        <f t="shared" si="15"/>
        <v/>
      </c>
      <c r="R33" s="72" t="str">
        <f t="shared" si="16"/>
        <v/>
      </c>
      <c r="S33" s="86" t="str">
        <f t="shared" si="17"/>
        <v/>
      </c>
      <c r="U33" s="65">
        <v>61059</v>
      </c>
      <c r="V33" s="64">
        <v>0.25470801194818338</v>
      </c>
      <c r="X33" s="74" t="s">
        <v>165</v>
      </c>
      <c r="Y33" s="73">
        <f>$Y$29*_xll.RtGet($AC$32,$AC$33&amp;$X33&amp;$AC$34,Y$30)</f>
        <v>-0.33624999999999999</v>
      </c>
      <c r="Z33" s="71">
        <f>$Y$29*_xll.RtGet($AC$32,$AC$33&amp;$X33&amp;$AC$34,Z$30)</f>
        <v>-0.28625</v>
      </c>
      <c r="AB33" s="110" t="s">
        <v>66</v>
      </c>
      <c r="AC33" s="109" t="s">
        <v>179</v>
      </c>
    </row>
    <row r="34" spans="1:47" ht="11.25" customHeight="1" x14ac:dyDescent="0.2">
      <c r="A34" s="59"/>
      <c r="B34" s="105" t="s">
        <v>114</v>
      </c>
      <c r="C34" s="108"/>
      <c r="E34" s="91" t="b">
        <v>0</v>
      </c>
      <c r="F34" s="155">
        <v>108</v>
      </c>
      <c r="G34" s="73">
        <v>108</v>
      </c>
      <c r="H34" s="71" t="s">
        <v>81</v>
      </c>
      <c r="I34" s="90">
        <f t="shared" si="18"/>
        <v>-0.32125000000000004</v>
      </c>
      <c r="J34" s="197"/>
      <c r="K34" s="89"/>
      <c r="L34" s="88">
        <f t="shared" si="19"/>
        <v>-0.32125000000000004</v>
      </c>
      <c r="M34" s="73">
        <f t="shared" si="8"/>
        <v>29</v>
      </c>
      <c r="N34" s="71" t="str">
        <f t="shared" si="12"/>
        <v/>
      </c>
      <c r="O34" s="73" t="str">
        <f t="shared" si="13"/>
        <v/>
      </c>
      <c r="P34" s="71" t="str">
        <f t="shared" si="14"/>
        <v/>
      </c>
      <c r="Q34" s="73" t="str">
        <f t="shared" si="15"/>
        <v/>
      </c>
      <c r="R34" s="72" t="str">
        <f t="shared" si="16"/>
        <v/>
      </c>
      <c r="S34" s="86" t="str">
        <f t="shared" si="17"/>
        <v/>
      </c>
      <c r="U34" s="65" t="e">
        <v>#N/A</v>
      </c>
      <c r="V34" s="64" t="e">
        <v>#N/A</v>
      </c>
      <c r="X34" s="74" t="s">
        <v>166</v>
      </c>
      <c r="Y34" s="73">
        <f>$Y$29*_xll.RtGet($AC$32,$AC$33&amp;$X34&amp;$AC$34,Y$30)</f>
        <v>-0.34375</v>
      </c>
      <c r="Z34" s="71">
        <f>$Y$29*_xll.RtGet($AC$32,$AC$33&amp;$X34&amp;$AC$34,Z$30)</f>
        <v>-0.29375000000000001</v>
      </c>
      <c r="AB34" s="107" t="s">
        <v>63</v>
      </c>
      <c r="AC34" s="183" t="s">
        <v>163</v>
      </c>
    </row>
    <row r="35" spans="1:47" ht="11.25" customHeight="1" x14ac:dyDescent="0.2">
      <c r="A35" s="59"/>
      <c r="B35" s="105" t="s">
        <v>115</v>
      </c>
      <c r="C35" s="108"/>
      <c r="E35" s="91" t="b">
        <v>0</v>
      </c>
      <c r="F35" s="155">
        <v>120</v>
      </c>
      <c r="G35" s="73">
        <v>120</v>
      </c>
      <c r="H35" s="71" t="s">
        <v>81</v>
      </c>
      <c r="I35" s="90">
        <f t="shared" si="18"/>
        <v>-0.31625000000000003</v>
      </c>
      <c r="J35" s="197"/>
      <c r="K35" s="89"/>
      <c r="L35" s="88">
        <f t="shared" si="19"/>
        <v>-0.31625000000000003</v>
      </c>
      <c r="M35" s="73">
        <f t="shared" si="8"/>
        <v>30</v>
      </c>
      <c r="N35" s="71" t="str">
        <f t="shared" si="12"/>
        <v/>
      </c>
      <c r="O35" s="73" t="str">
        <f t="shared" si="13"/>
        <v/>
      </c>
      <c r="P35" s="71" t="str">
        <f t="shared" si="14"/>
        <v/>
      </c>
      <c r="Q35" s="73" t="str">
        <f t="shared" si="15"/>
        <v/>
      </c>
      <c r="R35" s="72" t="str">
        <f t="shared" si="16"/>
        <v/>
      </c>
      <c r="S35" s="86" t="str">
        <f t="shared" si="17"/>
        <v/>
      </c>
      <c r="U35" s="65" t="e">
        <v>#N/A</v>
      </c>
      <c r="V35" s="64" t="e">
        <v>#N/A</v>
      </c>
      <c r="X35" s="74" t="s">
        <v>167</v>
      </c>
      <c r="Y35" s="73">
        <f>$Y$29*_xll.RtGet($AC$32,$AC$33&amp;$X35&amp;$AC$34,Y$30)</f>
        <v>-0.34625</v>
      </c>
      <c r="Z35" s="71">
        <f>$Y$29*_xll.RtGet($AC$32,$AC$33&amp;$X35&amp;$AC$34,Z$30)</f>
        <v>-0.29625000000000001</v>
      </c>
      <c r="AG35" s="289" t="s">
        <v>236</v>
      </c>
      <c r="AH35" s="290"/>
      <c r="AI35" s="291"/>
      <c r="AK35" s="289" t="s">
        <v>237</v>
      </c>
      <c r="AL35" s="291"/>
    </row>
    <row r="36" spans="1:47" ht="11.25" customHeight="1" x14ac:dyDescent="0.2">
      <c r="A36" s="59"/>
      <c r="B36" s="105" t="s">
        <v>116</v>
      </c>
      <c r="C36" s="104"/>
      <c r="E36" s="91" t="b">
        <v>0</v>
      </c>
      <c r="F36" s="155">
        <v>144</v>
      </c>
      <c r="G36" s="73">
        <v>144</v>
      </c>
      <c r="H36" s="71" t="s">
        <v>81</v>
      </c>
      <c r="I36" s="90">
        <f t="shared" si="18"/>
        <v>-0.31000000000000005</v>
      </c>
      <c r="J36" s="197"/>
      <c r="K36" s="89"/>
      <c r="L36" s="88">
        <f t="shared" si="19"/>
        <v>-0.31000000000000005</v>
      </c>
      <c r="M36" s="73">
        <f t="shared" si="8"/>
        <v>31</v>
      </c>
      <c r="N36" s="71" t="str">
        <f t="shared" si="12"/>
        <v/>
      </c>
      <c r="O36" s="73" t="str">
        <f t="shared" si="13"/>
        <v/>
      </c>
      <c r="P36" s="71" t="str">
        <f t="shared" si="14"/>
        <v/>
      </c>
      <c r="Q36" s="73" t="str">
        <f t="shared" si="15"/>
        <v/>
      </c>
      <c r="R36" s="72" t="str">
        <f t="shared" si="16"/>
        <v/>
      </c>
      <c r="S36" s="86" t="str">
        <f t="shared" si="17"/>
        <v/>
      </c>
      <c r="U36" s="65" t="e">
        <v>#N/A</v>
      </c>
      <c r="V36" s="64" t="e">
        <v>#N/A</v>
      </c>
      <c r="X36" s="74" t="s">
        <v>181</v>
      </c>
      <c r="Y36" s="73">
        <f>$Y$29*_xll.RtGet($AC$32,$AC$33&amp;$X36&amp;$AC$34,Y$30)</f>
        <v>-0.34125</v>
      </c>
      <c r="Z36" s="71">
        <f>$Y$29*_xll.RtGet($AC$32,$AC$33&amp;$X36&amp;$AC$34,Z$30)</f>
        <v>-0.29125000000000001</v>
      </c>
      <c r="AF36" s="227"/>
      <c r="AG36" s="219" t="s">
        <v>219</v>
      </c>
      <c r="AH36" s="219" t="s">
        <v>224</v>
      </c>
      <c r="AI36" s="219" t="s">
        <v>227</v>
      </c>
      <c r="AK36" s="219" t="s">
        <v>219</v>
      </c>
      <c r="AL36" s="219" t="s">
        <v>224</v>
      </c>
    </row>
    <row r="37" spans="1:47" ht="11.25" customHeight="1" x14ac:dyDescent="0.2">
      <c r="A37" s="59"/>
      <c r="B37" s="103" t="s">
        <v>117</v>
      </c>
      <c r="C37" s="102"/>
      <c r="E37" s="91" t="b">
        <v>0</v>
      </c>
      <c r="F37" s="155">
        <v>180</v>
      </c>
      <c r="G37" s="73">
        <v>180</v>
      </c>
      <c r="H37" s="71" t="s">
        <v>81</v>
      </c>
      <c r="I37" s="90">
        <f t="shared" si="18"/>
        <v>-0.30249999999999999</v>
      </c>
      <c r="J37" s="197"/>
      <c r="K37" s="89"/>
      <c r="L37" s="88">
        <f t="shared" si="19"/>
        <v>-0.30249999999999999</v>
      </c>
      <c r="M37" s="73">
        <f t="shared" si="8"/>
        <v>32</v>
      </c>
      <c r="N37" s="71" t="str">
        <f t="shared" si="12"/>
        <v/>
      </c>
      <c r="O37" s="73" t="str">
        <f t="shared" si="13"/>
        <v/>
      </c>
      <c r="P37" s="71" t="str">
        <f t="shared" si="14"/>
        <v/>
      </c>
      <c r="Q37" s="73" t="str">
        <f t="shared" si="15"/>
        <v/>
      </c>
      <c r="R37" s="72" t="str">
        <f t="shared" si="16"/>
        <v/>
      </c>
      <c r="S37" s="86" t="str">
        <f t="shared" si="17"/>
        <v/>
      </c>
      <c r="U37" s="65" t="e">
        <v>#N/A</v>
      </c>
      <c r="V37" s="64" t="e">
        <v>#N/A</v>
      </c>
      <c r="X37" s="74" t="s">
        <v>168</v>
      </c>
      <c r="Y37" s="73">
        <f>$Y$29*_xll.RtGet($AC$32,$AC$33&amp;$X37&amp;$AC$34,Y$30)</f>
        <v>-0.33500000000000002</v>
      </c>
      <c r="Z37" s="71">
        <f>$Y$29*_xll.RtGet($AC$32,$AC$33&amp;$X37&amp;$AC$34,Z$30)</f>
        <v>-0.28500000000000003</v>
      </c>
      <c r="AF37" s="220" t="s">
        <v>226</v>
      </c>
      <c r="AG37" s="227">
        <v>1</v>
      </c>
      <c r="AH37" s="231">
        <v>1</v>
      </c>
      <c r="AI37" s="232">
        <f>+AH37-AG37</f>
        <v>0</v>
      </c>
      <c r="AK37" s="251">
        <v>1</v>
      </c>
      <c r="AL37" s="252">
        <v>1</v>
      </c>
    </row>
    <row r="38" spans="1:47" ht="11.25" customHeight="1" x14ac:dyDescent="0.2">
      <c r="A38" s="59"/>
      <c r="B38" s="103" t="s">
        <v>118</v>
      </c>
      <c r="C38" s="102"/>
      <c r="E38" s="91" t="b">
        <v>0</v>
      </c>
      <c r="F38" s="155">
        <v>240</v>
      </c>
      <c r="G38" s="73">
        <v>240</v>
      </c>
      <c r="H38" s="71" t="s">
        <v>81</v>
      </c>
      <c r="I38" s="90">
        <f t="shared" si="18"/>
        <v>-0.29749999999999999</v>
      </c>
      <c r="J38" s="197"/>
      <c r="K38" s="89"/>
      <c r="L38" s="88">
        <f t="shared" si="19"/>
        <v>-0.29749999999999999</v>
      </c>
      <c r="M38" s="73">
        <f t="shared" si="8"/>
        <v>33</v>
      </c>
      <c r="N38" s="71" t="str">
        <f t="shared" si="12"/>
        <v/>
      </c>
      <c r="O38" s="73" t="str">
        <f t="shared" si="13"/>
        <v/>
      </c>
      <c r="P38" s="71" t="str">
        <f t="shared" si="14"/>
        <v/>
      </c>
      <c r="Q38" s="73" t="str">
        <f t="shared" si="15"/>
        <v/>
      </c>
      <c r="R38" s="72" t="str">
        <f t="shared" si="16"/>
        <v/>
      </c>
      <c r="S38" s="86" t="str">
        <f t="shared" si="17"/>
        <v/>
      </c>
      <c r="U38" s="65" t="e">
        <v>#N/A</v>
      </c>
      <c r="V38" s="64" t="e">
        <v>#N/A</v>
      </c>
      <c r="X38" s="74" t="s">
        <v>182</v>
      </c>
      <c r="Y38" s="73">
        <f>$Y$29*_xll.RtGet($AC$32,$AC$33&amp;$X38&amp;$AC$34,Y$30)</f>
        <v>-0.32750000000000001</v>
      </c>
      <c r="Z38" s="71">
        <f>$Y$29*_xll.RtGet($AC$32,$AC$33&amp;$X38&amp;$AC$34,Z$30)</f>
        <v>-0.27750000000000002</v>
      </c>
      <c r="AF38" s="224" t="s">
        <v>94</v>
      </c>
      <c r="AG38" s="237">
        <v>0.99997403853628397</v>
      </c>
      <c r="AH38" s="221">
        <v>0.99997403853628386</v>
      </c>
      <c r="AI38" s="228">
        <f t="shared" ref="AI38:AI69" si="20">+AH38-AG38</f>
        <v>0</v>
      </c>
      <c r="AK38" s="253"/>
      <c r="AL38" s="254"/>
    </row>
    <row r="39" spans="1:47" ht="11.25" customHeight="1" x14ac:dyDescent="0.2">
      <c r="A39" s="59"/>
      <c r="B39" s="103" t="s">
        <v>119</v>
      </c>
      <c r="C39" s="102"/>
      <c r="E39" s="91" t="b">
        <v>0</v>
      </c>
      <c r="F39" s="155"/>
      <c r="G39" s="73"/>
      <c r="H39" s="71"/>
      <c r="I39" s="90">
        <f t="shared" si="18"/>
        <v>-0.29375000000000001</v>
      </c>
      <c r="J39" s="197"/>
      <c r="K39" s="89"/>
      <c r="L39" s="88">
        <f t="shared" si="19"/>
        <v>-0.29375000000000001</v>
      </c>
      <c r="M39" s="73">
        <f t="shared" si="8"/>
        <v>34</v>
      </c>
      <c r="N39" s="71" t="str">
        <f t="shared" si="12"/>
        <v/>
      </c>
      <c r="O39" s="73" t="str">
        <f t="shared" si="13"/>
        <v/>
      </c>
      <c r="P39" s="71" t="str">
        <f t="shared" si="14"/>
        <v/>
      </c>
      <c r="Q39" s="73" t="str">
        <f t="shared" si="15"/>
        <v/>
      </c>
      <c r="R39" s="72" t="str">
        <f t="shared" si="16"/>
        <v/>
      </c>
      <c r="S39" s="86" t="str">
        <f t="shared" si="17"/>
        <v/>
      </c>
      <c r="U39" s="65" t="e">
        <v>#N/A</v>
      </c>
      <c r="V39" s="64" t="e">
        <v>#N/A</v>
      </c>
      <c r="X39" s="74" t="s">
        <v>183</v>
      </c>
      <c r="Y39" s="73">
        <f>$Y$29*_xll.RtGet($AC$32,$AC$33&amp;$X39&amp;$AC$34,Y$30)</f>
        <v>-0.32250000000000001</v>
      </c>
      <c r="Z39" s="71">
        <f>$Y$29*_xll.RtGet($AC$32,$AC$33&amp;$X39&amp;$AC$34,Z$30)</f>
        <v>-0.27250000000000002</v>
      </c>
      <c r="AF39" s="238" t="s">
        <v>92</v>
      </c>
      <c r="AG39" s="236">
        <v>0.9999480777465658</v>
      </c>
      <c r="AH39" s="223">
        <v>0.9999480777465658</v>
      </c>
      <c r="AI39" s="230">
        <f t="shared" si="20"/>
        <v>0</v>
      </c>
      <c r="AK39" s="253"/>
      <c r="AL39" s="254"/>
      <c r="AM39" s="59" t="s">
        <v>216</v>
      </c>
      <c r="AO39" s="59" t="s">
        <v>229</v>
      </c>
      <c r="AP39" s="59" t="s">
        <v>215</v>
      </c>
      <c r="AQ39" s="59" t="s">
        <v>215</v>
      </c>
      <c r="AR39" s="59" t="s">
        <v>215</v>
      </c>
      <c r="AT39" s="59" t="s">
        <v>229</v>
      </c>
    </row>
    <row r="40" spans="1:47" ht="11.25" customHeight="1" x14ac:dyDescent="0.2">
      <c r="A40" s="59"/>
      <c r="B40" s="101" t="s">
        <v>120</v>
      </c>
      <c r="C40" s="100"/>
      <c r="D40" s="95"/>
      <c r="E40" s="91" t="b">
        <v>0</v>
      </c>
      <c r="F40" s="155"/>
      <c r="G40" s="73"/>
      <c r="H40" s="71"/>
      <c r="I40" s="90">
        <f t="shared" si="18"/>
        <v>-0.27749999999999997</v>
      </c>
      <c r="J40" s="197"/>
      <c r="K40" s="89"/>
      <c r="L40" s="88">
        <f t="shared" si="19"/>
        <v>-0.27749999999999997</v>
      </c>
      <c r="M40" s="73">
        <f t="shared" si="8"/>
        <v>35</v>
      </c>
      <c r="N40" s="71" t="str">
        <f t="shared" si="12"/>
        <v/>
      </c>
      <c r="O40" s="73" t="str">
        <f t="shared" si="13"/>
        <v/>
      </c>
      <c r="P40" s="71" t="str">
        <f t="shared" si="14"/>
        <v/>
      </c>
      <c r="Q40" s="73" t="str">
        <f t="shared" si="15"/>
        <v/>
      </c>
      <c r="R40" s="72" t="str">
        <f t="shared" si="16"/>
        <v/>
      </c>
      <c r="S40" s="86" t="str">
        <f t="shared" si="17"/>
        <v/>
      </c>
      <c r="U40" s="65" t="e">
        <v>#N/A</v>
      </c>
      <c r="V40" s="64" t="e">
        <v>#N/A</v>
      </c>
      <c r="X40" s="74" t="s">
        <v>169</v>
      </c>
      <c r="Y40" s="73">
        <f>$Y$29*_xll.RtGet($AC$32,$AC$33&amp;$X40&amp;$AC$34,Y$30)</f>
        <v>-0.31875000000000003</v>
      </c>
      <c r="Z40" s="71">
        <f>$Y$29*_xll.RtGet($AC$32,$AC$33&amp;$X40&amp;$AC$34,Z$30)</f>
        <v>-0.26874999999999999</v>
      </c>
      <c r="AF40" s="239">
        <v>1</v>
      </c>
      <c r="AG40" s="237">
        <v>0.99977417796353363</v>
      </c>
      <c r="AH40" s="221">
        <v>0.99977417796353352</v>
      </c>
      <c r="AI40" s="228">
        <f t="shared" si="20"/>
        <v>0</v>
      </c>
      <c r="AK40" s="253">
        <v>0.99977640851031135</v>
      </c>
      <c r="AL40" s="254">
        <v>0.99977417796353341</v>
      </c>
      <c r="AM40" s="59" t="s">
        <v>217</v>
      </c>
      <c r="AO40" s="59">
        <v>0.01</v>
      </c>
      <c r="AP40" s="59">
        <v>0.01</v>
      </c>
      <c r="AQ40" s="59">
        <v>0.1</v>
      </c>
      <c r="AR40" s="59">
        <v>1E-3</v>
      </c>
      <c r="AT40" s="59">
        <v>1E-3</v>
      </c>
    </row>
    <row r="41" spans="1:47" ht="11.25" customHeight="1" x14ac:dyDescent="0.2">
      <c r="A41" s="59"/>
      <c r="B41" s="99" t="s">
        <v>83</v>
      </c>
      <c r="C41" s="98" t="s">
        <v>15</v>
      </c>
      <c r="D41" s="95"/>
      <c r="E41" s="91" t="b">
        <v>0</v>
      </c>
      <c r="F41" s="155"/>
      <c r="G41" s="73"/>
      <c r="H41" s="71"/>
      <c r="I41" s="90">
        <f t="shared" si="18"/>
        <v>-0.24374999999999999</v>
      </c>
      <c r="J41" s="197"/>
      <c r="K41" s="89"/>
      <c r="L41" s="88">
        <f t="shared" si="19"/>
        <v>-0.24374999999999999</v>
      </c>
      <c r="M41" s="73">
        <f t="shared" si="8"/>
        <v>36</v>
      </c>
      <c r="N41" s="71" t="str">
        <f t="shared" si="12"/>
        <v/>
      </c>
      <c r="O41" s="73" t="str">
        <f t="shared" si="13"/>
        <v/>
      </c>
      <c r="P41" s="71" t="str">
        <f t="shared" si="14"/>
        <v/>
      </c>
      <c r="Q41" s="73" t="str">
        <f t="shared" si="15"/>
        <v/>
      </c>
      <c r="R41" s="72" t="str">
        <f t="shared" si="16"/>
        <v/>
      </c>
      <c r="S41" s="86" t="str">
        <f t="shared" si="17"/>
        <v/>
      </c>
      <c r="U41" s="65" t="e">
        <v>#N/A</v>
      </c>
      <c r="V41" s="64" t="e">
        <v>#N/A</v>
      </c>
      <c r="X41" s="74" t="s">
        <v>184</v>
      </c>
      <c r="Y41" s="73">
        <f>$Y$29*_xll.RtGet($AC$32,$AC$33&amp;$X41&amp;$AC$34,Y$30)</f>
        <v>-0.30249999999999999</v>
      </c>
      <c r="Z41" s="71">
        <f>$Y$29*_xll.RtGet($AC$32,$AC$33&amp;$X41&amp;$AC$34,Z$30)</f>
        <v>-0.2525</v>
      </c>
      <c r="AF41" s="240">
        <v>2</v>
      </c>
      <c r="AG41" s="235">
        <v>0.99959519690406062</v>
      </c>
      <c r="AH41" s="222">
        <v>0.99959519690406062</v>
      </c>
      <c r="AI41" s="229">
        <f t="shared" si="20"/>
        <v>0</v>
      </c>
      <c r="AK41" s="253">
        <v>0.99959742705152277</v>
      </c>
      <c r="AL41" s="254">
        <v>0.99959519690406051</v>
      </c>
      <c r="AM41" s="59" t="s">
        <v>218</v>
      </c>
      <c r="AO41" s="59">
        <v>50</v>
      </c>
      <c r="AP41" s="59">
        <v>50</v>
      </c>
      <c r="AQ41" s="59">
        <v>30</v>
      </c>
      <c r="AR41" s="59">
        <v>99</v>
      </c>
      <c r="AT41" s="59">
        <v>99</v>
      </c>
    </row>
    <row r="42" spans="1:47" ht="11.25" customHeight="1" x14ac:dyDescent="0.2">
      <c r="A42" s="59"/>
      <c r="D42" s="95"/>
      <c r="E42" s="84" t="b">
        <v>0</v>
      </c>
      <c r="F42" s="154"/>
      <c r="G42" s="68"/>
      <c r="H42" s="69"/>
      <c r="I42" s="83" t="e">
        <f>AVERAGE(Y24:Z24)</f>
        <v>#DIV/0!</v>
      </c>
      <c r="J42" s="195"/>
      <c r="K42" s="153"/>
      <c r="L42" s="81" t="e">
        <f>IF(ISNUMBER(J42),J42,I42)+K42</f>
        <v>#DIV/0!</v>
      </c>
      <c r="M42" s="68">
        <f t="shared" si="8"/>
        <v>37</v>
      </c>
      <c r="N42" s="69" t="str">
        <f>IF(E42,M42,"")</f>
        <v/>
      </c>
      <c r="O42" s="68" t="str">
        <f>IF(O41&lt;$S$5,O41+1,"")</f>
        <v/>
      </c>
      <c r="P42" s="69" t="str">
        <f t="shared" si="14"/>
        <v/>
      </c>
      <c r="Q42" s="68" t="str">
        <f>IF(LEN(O42)&gt;0,INDEX($G$6:$G$42,$P42),"")</f>
        <v/>
      </c>
      <c r="R42" s="67" t="str">
        <f>IF(LEN(P42)&gt;0,INDEX($H$6:$H$42,$P42),"")</f>
        <v/>
      </c>
      <c r="S42" s="79" t="str">
        <f>IF(LEN(P42)&gt;0,INDEX($L$6:$L$42,$P42),"")</f>
        <v/>
      </c>
      <c r="U42" s="65" t="e">
        <v>#N/A</v>
      </c>
      <c r="V42" s="64" t="e">
        <v>#N/A</v>
      </c>
      <c r="X42" s="74" t="s">
        <v>170</v>
      </c>
      <c r="Y42" s="73">
        <f>$Y$29*_xll.RtGet($AC$32,$AC$33&amp;$X42&amp;$AC$34,Y$30)</f>
        <v>-0.26874999999999999</v>
      </c>
      <c r="Z42" s="71">
        <f>$Y$29*_xll.RtGet($AC$32,$AC$33&amp;$X42&amp;$AC$34,Z$30)</f>
        <v>-0.21875</v>
      </c>
      <c r="AF42" s="241">
        <v>3</v>
      </c>
      <c r="AG42" s="236">
        <v>0.99938997937963703</v>
      </c>
      <c r="AH42" s="223">
        <v>0.99938997937963692</v>
      </c>
      <c r="AI42" s="230">
        <f t="shared" si="20"/>
        <v>0</v>
      </c>
      <c r="AK42" s="253">
        <v>0.99939220906924842</v>
      </c>
      <c r="AL42" s="254">
        <v>0.99938997937963692</v>
      </c>
    </row>
    <row r="43" spans="1:47" ht="11.25" customHeight="1" x14ac:dyDescent="0.2">
      <c r="A43" s="59"/>
      <c r="U43" s="65" t="e">
        <v>#N/A</v>
      </c>
      <c r="V43" s="64" t="e">
        <v>#N/A</v>
      </c>
      <c r="X43" s="74" t="s">
        <v>171</v>
      </c>
      <c r="Y43" s="73">
        <f>$Y$29*_xll.RtGet($AC$32,$AC$33&amp;$X43&amp;$AC$34,Y$30)</f>
        <v>-0.22625000000000001</v>
      </c>
      <c r="Z43" s="71">
        <f>$Y$29*_xll.RtGet($AC$32,$AC$33&amp;$X43&amp;$AC$34,Z$30)</f>
        <v>-0.17624999999999999</v>
      </c>
      <c r="AF43" s="225">
        <v>1</v>
      </c>
      <c r="AG43" s="235">
        <v>0.99876820639832165</v>
      </c>
      <c r="AH43" s="222">
        <v>0.99876820639832165</v>
      </c>
      <c r="AI43" s="229">
        <f t="shared" si="20"/>
        <v>0</v>
      </c>
      <c r="AK43" s="253">
        <v>0.99877043470072613</v>
      </c>
      <c r="AL43" s="254">
        <v>0.99876820639832142</v>
      </c>
      <c r="AO43" s="207">
        <v>0.99977417796353296</v>
      </c>
      <c r="AP43" s="207">
        <v>0.99977417796353296</v>
      </c>
      <c r="AQ43" s="207">
        <v>0.99977417796353296</v>
      </c>
      <c r="AR43" s="207">
        <v>0.99977417796353296</v>
      </c>
      <c r="AS43" s="206">
        <f>+AR43-AQ43</f>
        <v>0</v>
      </c>
      <c r="AT43" s="59">
        <v>0.99977417796353296</v>
      </c>
      <c r="AU43" s="206">
        <f>+AT43-AQ43</f>
        <v>0</v>
      </c>
    </row>
    <row r="44" spans="1:47" ht="11.25" customHeight="1" x14ac:dyDescent="0.2">
      <c r="A44" s="59"/>
      <c r="U44" s="65" t="e">
        <v>#N/A</v>
      </c>
      <c r="V44" s="64" t="e">
        <v>#N/A</v>
      </c>
      <c r="X44" s="74" t="s">
        <v>185</v>
      </c>
      <c r="Y44" s="73">
        <f>$Y$29*_xll.RtGet($AC$32,$AC$33&amp;$X44&amp;$AC$34,Y$30)</f>
        <v>-0.18625</v>
      </c>
      <c r="Z44" s="71">
        <f>$Y$29*_xll.RtGet($AC$32,$AC$33&amp;$X44&amp;$AC$34,Z$30)</f>
        <v>-0.13625000000000001</v>
      </c>
      <c r="AF44" s="225">
        <v>2</v>
      </c>
      <c r="AG44" s="235">
        <v>0.99777316166477492</v>
      </c>
      <c r="AH44" s="222">
        <v>0.99777316166477492</v>
      </c>
      <c r="AI44" s="229">
        <f t="shared" si="20"/>
        <v>0</v>
      </c>
      <c r="AK44" s="253">
        <v>0.99777538774718422</v>
      </c>
      <c r="AL44" s="254">
        <v>0.99777316166477481</v>
      </c>
      <c r="AO44" s="207">
        <v>0.99959519690406096</v>
      </c>
      <c r="AP44" s="207">
        <v>0.99959519690405996</v>
      </c>
      <c r="AQ44" s="207">
        <v>0.99959519690405996</v>
      </c>
      <c r="AR44" s="207">
        <v>0.99959519690405996</v>
      </c>
      <c r="AS44" s="206">
        <f t="shared" ref="AS44:AS72" si="21">+AR44-AQ44</f>
        <v>0</v>
      </c>
      <c r="AT44" s="59">
        <v>0.99959519690406096</v>
      </c>
      <c r="AU44" s="206">
        <f t="shared" ref="AU44:AU72" si="22">+AT44-AQ44</f>
        <v>9.9920072216264089E-16</v>
      </c>
    </row>
    <row r="45" spans="1:47" ht="11.25" customHeight="1" x14ac:dyDescent="0.2">
      <c r="B45" s="97" t="s">
        <v>69</v>
      </c>
      <c r="C45" s="96">
        <f>VLOOKUP(C15,dvCurveBootstrapperDayCount,2,FALSE)</f>
        <v>5</v>
      </c>
      <c r="E45" s="144" t="s">
        <v>77</v>
      </c>
      <c r="F45" s="61"/>
      <c r="G45" s="61"/>
      <c r="H45" s="61"/>
      <c r="I45" s="144" t="s">
        <v>76</v>
      </c>
      <c r="J45" s="144" t="s">
        <v>75</v>
      </c>
      <c r="K45" s="144" t="s">
        <v>74</v>
      </c>
      <c r="L45" s="144" t="s">
        <v>73</v>
      </c>
      <c r="U45" s="65" t="e">
        <v>#N/A</v>
      </c>
      <c r="V45" s="64" t="e">
        <v>#N/A</v>
      </c>
      <c r="X45" s="74" t="s">
        <v>172</v>
      </c>
      <c r="Y45" s="73">
        <f>$Y$29*_xll.RtGet($AC$32,$AC$33&amp;$X45&amp;$AC$34,Y$30)</f>
        <v>-0.16125</v>
      </c>
      <c r="Z45" s="71">
        <f>$Y$29*_xll.RtGet($AC$32,$AC$33&amp;$X45&amp;$AC$34,Z$30)</f>
        <v>-0.11125</v>
      </c>
      <c r="AF45" s="225">
        <v>3</v>
      </c>
      <c r="AG45" s="235">
        <v>0.99664229170666352</v>
      </c>
      <c r="AH45" s="222">
        <v>0.99664229170666352</v>
      </c>
      <c r="AI45" s="229">
        <f t="shared" si="20"/>
        <v>0</v>
      </c>
      <c r="AK45" s="253">
        <v>0.99664451526604458</v>
      </c>
      <c r="AL45" s="254">
        <v>0.9966422917066633</v>
      </c>
      <c r="AO45" s="207">
        <v>0.99938997937964102</v>
      </c>
      <c r="AP45" s="207">
        <v>0.99938997937963603</v>
      </c>
      <c r="AQ45" s="207">
        <v>0.99938997937963603</v>
      </c>
      <c r="AR45" s="207">
        <v>0.99938997937963603</v>
      </c>
      <c r="AS45" s="206">
        <f t="shared" si="21"/>
        <v>0</v>
      </c>
      <c r="AT45" s="59">
        <v>0.99938997937964102</v>
      </c>
      <c r="AU45" s="206">
        <f t="shared" si="22"/>
        <v>4.9960036108132044E-15</v>
      </c>
    </row>
    <row r="46" spans="1:47" ht="11.25" customHeight="1" x14ac:dyDescent="0.2">
      <c r="E46" s="91" t="b">
        <f t="shared" ref="E46:E87" si="23">LEN(F46)&gt;0</f>
        <v>1</v>
      </c>
      <c r="F46" s="184">
        <v>12</v>
      </c>
      <c r="G46" s="61"/>
      <c r="H46" s="61"/>
      <c r="I46" s="142">
        <f>IF($C$19,#REF!,AE31)</f>
        <v>0</v>
      </c>
      <c r="J46" s="196">
        <f t="array" ref="J46:J63">AS15:AS32</f>
        <v>-0.39624999999999999</v>
      </c>
      <c r="K46" s="141"/>
      <c r="L46" s="140">
        <f t="shared" ref="L46:L87" si="24">IF(ISNUMBER(J46),J46,I46)+K46</f>
        <v>-0.39624999999999999</v>
      </c>
      <c r="M46" s="95"/>
      <c r="N46" s="126"/>
      <c r="P46" s="126"/>
      <c r="Q46" s="95"/>
      <c r="R46" s="60"/>
      <c r="S46" s="66">
        <f t="array" ref="S46">SUM(1*E46:E87)</f>
        <v>18</v>
      </c>
      <c r="U46" s="65" t="e">
        <v>#N/A</v>
      </c>
      <c r="V46" s="64" t="e">
        <v>#N/A</v>
      </c>
      <c r="X46" s="74"/>
      <c r="Y46" s="73" t="e">
        <f>$Y$29*_xll.RtGet($AC$32,$AC$33&amp;$X46&amp;$AC$34,Y$30)</f>
        <v>#VALUE!</v>
      </c>
      <c r="Z46" s="71" t="e">
        <f>$Y$29*_xll.RtGet($AC$32,$AC$33&amp;$X46&amp;$AC$34,Z$30)</f>
        <v>#VALUE!</v>
      </c>
      <c r="AF46" s="225">
        <v>4</v>
      </c>
      <c r="AG46" s="235">
        <v>0.99519272995443009</v>
      </c>
      <c r="AH46" s="222">
        <v>0.9951927299544302</v>
      </c>
      <c r="AI46" s="229">
        <f t="shared" si="20"/>
        <v>0</v>
      </c>
      <c r="AK46" s="253">
        <v>0.99519495027976579</v>
      </c>
      <c r="AL46" s="254">
        <v>0.9951927299544302</v>
      </c>
      <c r="AO46" s="207">
        <v>0.99876820639834696</v>
      </c>
      <c r="AP46" s="207">
        <v>0.99876820639832098</v>
      </c>
      <c r="AQ46" s="207">
        <v>0.99876820639832098</v>
      </c>
      <c r="AR46" s="207">
        <v>0.99876820639832098</v>
      </c>
      <c r="AS46" s="206">
        <f t="shared" si="21"/>
        <v>0</v>
      </c>
      <c r="AT46" s="59">
        <v>0.99876820639834696</v>
      </c>
      <c r="AU46" s="206">
        <f t="shared" si="22"/>
        <v>2.5979218776228663E-14</v>
      </c>
    </row>
    <row r="47" spans="1:47" ht="11.25" customHeight="1" x14ac:dyDescent="0.2">
      <c r="B47" s="208" t="s">
        <v>65</v>
      </c>
      <c r="C47" s="208" t="s">
        <v>64</v>
      </c>
      <c r="E47" s="91" t="b">
        <f t="shared" si="23"/>
        <v>1</v>
      </c>
      <c r="F47" s="155">
        <v>18</v>
      </c>
      <c r="G47" s="61"/>
      <c r="I47" s="90">
        <f>IF($C$19,#REF!,AE32)</f>
        <v>0</v>
      </c>
      <c r="J47" s="197">
        <v>-0.39874999999999999</v>
      </c>
      <c r="K47" s="89"/>
      <c r="L47" s="88">
        <f t="shared" si="24"/>
        <v>-0.39874999999999999</v>
      </c>
      <c r="M47" s="117">
        <v>1</v>
      </c>
      <c r="N47" s="115">
        <f>IF(E46,M47,"")</f>
        <v>1</v>
      </c>
      <c r="O47" s="66">
        <f>IF($S$46&gt;0,1,"")</f>
        <v>1</v>
      </c>
      <c r="P47" s="115">
        <f t="shared" ref="P47:P88" si="25">IF(LEN(O47)&gt;0,SMALL($N$47:$N$88,O47),"")</f>
        <v>1</v>
      </c>
      <c r="Q47" s="95"/>
      <c r="R47" s="139">
        <f>IF(LEN(P47)&gt;0,INDEX($F$46:$F$87,$P47),"")</f>
        <v>12</v>
      </c>
      <c r="S47" s="138">
        <f>IF(LEN(P47)&gt;0,INDEX($L$46:$L$87,$P47),"")</f>
        <v>-0.39624999999999999</v>
      </c>
      <c r="U47" s="65" t="e">
        <v>#N/A</v>
      </c>
      <c r="V47" s="64" t="e">
        <v>#N/A</v>
      </c>
      <c r="X47" s="74"/>
      <c r="Y47" s="73" t="e">
        <f>$Y$29*_xll.RtGet($AC$32,$AC$33&amp;$X47&amp;$AC$34,Y$30)</f>
        <v>#VALUE!</v>
      </c>
      <c r="Z47" s="71" t="e">
        <f>$Y$29*_xll.RtGet($AC$32,$AC$33&amp;$X47&amp;$AC$34,Z$30)</f>
        <v>#VALUE!</v>
      </c>
      <c r="AF47" s="225">
        <v>5</v>
      </c>
      <c r="AG47" s="235">
        <v>0.99397386633039919</v>
      </c>
      <c r="AH47" s="222">
        <v>0.99397386633039908</v>
      </c>
      <c r="AI47" s="229">
        <f t="shared" si="20"/>
        <v>0</v>
      </c>
      <c r="AK47" s="253">
        <v>0.99397608393638837</v>
      </c>
      <c r="AL47" s="254">
        <v>0.99397386633039908</v>
      </c>
      <c r="AO47" s="207">
        <v>0.997773161665095</v>
      </c>
      <c r="AP47" s="207">
        <v>0.99777316166477403</v>
      </c>
      <c r="AQ47" s="207">
        <v>0.99777316166477403</v>
      </c>
      <c r="AR47" s="207">
        <v>0.99777316166477403</v>
      </c>
      <c r="AS47" s="206">
        <f t="shared" si="21"/>
        <v>0</v>
      </c>
      <c r="AT47" s="59">
        <v>0.997773161665095</v>
      </c>
      <c r="AU47" s="206">
        <f t="shared" si="22"/>
        <v>3.2096547641913276E-13</v>
      </c>
    </row>
    <row r="48" spans="1:47" ht="11.25" customHeight="1" x14ac:dyDescent="0.2">
      <c r="B48" s="210" t="str">
        <f>"DomDiscCurveName"&amp;IF(ISBLANK(C9),"","#"&amp;C9)</f>
        <v>DomDiscCurveName#EURON_</v>
      </c>
      <c r="C48" s="213"/>
      <c r="E48" s="91" t="b">
        <f t="shared" si="23"/>
        <v>1</v>
      </c>
      <c r="F48" s="155">
        <v>24</v>
      </c>
      <c r="G48" s="61"/>
      <c r="I48" s="90">
        <f>IF($C$19,#REF!,AE33)</f>
        <v>0</v>
      </c>
      <c r="J48" s="197">
        <v>-0.40375</v>
      </c>
      <c r="K48" s="89"/>
      <c r="L48" s="88">
        <f t="shared" si="24"/>
        <v>-0.40375</v>
      </c>
      <c r="M48" s="73">
        <f t="shared" ref="M48:M88" si="26">M47+1</f>
        <v>2</v>
      </c>
      <c r="N48" s="71">
        <f>IF(E47,M48,"")</f>
        <v>2</v>
      </c>
      <c r="O48" s="73">
        <f t="shared" ref="O48:O88" si="27">IF(O47&lt;$S$46,O47+1,"")</f>
        <v>2</v>
      </c>
      <c r="P48" s="71">
        <f t="shared" si="25"/>
        <v>2</v>
      </c>
      <c r="Q48" s="95"/>
      <c r="R48" s="87">
        <f>IF(LEN(P48)&gt;0,INDEX($F$46:$F$87,$P48),"")</f>
        <v>18</v>
      </c>
      <c r="S48" s="86">
        <f>IF(LEN(P48)&gt;0,INDEX($L$46:$L$87,$P48),"")</f>
        <v>-0.39874999999999999</v>
      </c>
      <c r="U48" s="65" t="e">
        <v>#N/A</v>
      </c>
      <c r="V48" s="64" t="e">
        <v>#N/A</v>
      </c>
      <c r="X48" s="74"/>
      <c r="Y48" s="73" t="e">
        <f>$Y$29*_xll.RtGet($AC$32,$AC$33&amp;$X48&amp;$AC$34,Y$30)</f>
        <v>#VALUE!</v>
      </c>
      <c r="Z48" s="71" t="e">
        <f>$Y$29*_xll.RtGet($AC$32,$AC$33&amp;$X48&amp;$AC$34,Z$30)</f>
        <v>#VALUE!</v>
      </c>
      <c r="AF48" s="225">
        <v>6</v>
      </c>
      <c r="AG48" s="235">
        <v>0.99261089003612157</v>
      </c>
      <c r="AH48" s="222">
        <v>0.99261089003612168</v>
      </c>
      <c r="AI48" s="229">
        <f t="shared" si="20"/>
        <v>0</v>
      </c>
      <c r="AK48" s="253">
        <v>0.99261310460124164</v>
      </c>
      <c r="AL48" s="254">
        <v>0.99261089003612157</v>
      </c>
      <c r="AO48" s="207">
        <v>0.99664229170850505</v>
      </c>
      <c r="AP48" s="207">
        <v>0.99664229170666296</v>
      </c>
      <c r="AQ48" s="207">
        <v>0.99664229170666296</v>
      </c>
      <c r="AR48" s="207">
        <v>0.99664229170666296</v>
      </c>
      <c r="AS48" s="206">
        <f t="shared" si="21"/>
        <v>0</v>
      </c>
      <c r="AT48" s="59">
        <v>0.99664229170850505</v>
      </c>
      <c r="AU48" s="206">
        <f t="shared" si="22"/>
        <v>1.8420820424580597E-12</v>
      </c>
    </row>
    <row r="49" spans="1:47" ht="11.25" customHeight="1" x14ac:dyDescent="0.2">
      <c r="B49" s="210" t="str">
        <f>"DomFwdCurveName"&amp;IF(ISBLANK(C10),"","#"&amp;C10)</f>
        <v>DomFwdCurveName#EUR3M_</v>
      </c>
      <c r="C49" s="92"/>
      <c r="E49" s="91" t="b">
        <f t="shared" si="23"/>
        <v>1</v>
      </c>
      <c r="F49" s="155">
        <v>36</v>
      </c>
      <c r="G49" s="61"/>
      <c r="I49" s="90">
        <f>IF($C$19,#REF!,AE34)</f>
        <v>0</v>
      </c>
      <c r="J49" s="197">
        <v>-0.40125</v>
      </c>
      <c r="K49" s="89"/>
      <c r="L49" s="88">
        <f t="shared" si="24"/>
        <v>-0.40125</v>
      </c>
      <c r="M49" s="73">
        <f t="shared" si="26"/>
        <v>3</v>
      </c>
      <c r="N49" s="71">
        <f>IF(E48,M49,"")</f>
        <v>3</v>
      </c>
      <c r="O49" s="73">
        <f t="shared" si="27"/>
        <v>3</v>
      </c>
      <c r="P49" s="71">
        <f t="shared" si="25"/>
        <v>3</v>
      </c>
      <c r="Q49" s="61"/>
      <c r="R49" s="87">
        <f>IF(LEN(P49)&gt;0,INDEX($F$46:$F$87,$P49),"")</f>
        <v>24</v>
      </c>
      <c r="S49" s="86">
        <f>IF(LEN(P49)&gt;0,INDEX($L$46:$L$87,$P49),"")</f>
        <v>-0.40375</v>
      </c>
      <c r="U49" s="65" t="e">
        <v>#N/A</v>
      </c>
      <c r="V49" s="64" t="e">
        <v>#N/A</v>
      </c>
      <c r="X49" s="74"/>
      <c r="Y49" s="73" t="e">
        <f>$Y$29*_xll.RtGet($AC$32,$AC$33&amp;$X49&amp;$AC$34,Y$30)</f>
        <v>#VALUE!</v>
      </c>
      <c r="Z49" s="71" t="e">
        <f>$Y$29*_xll.RtGet($AC$32,$AC$33&amp;$X49&amp;$AC$34,Z$30)</f>
        <v>#VALUE!</v>
      </c>
      <c r="AF49" s="225">
        <v>7</v>
      </c>
      <c r="AG49" s="235">
        <v>0.9911176252782673</v>
      </c>
      <c r="AH49" s="222">
        <v>0.9911176252782673</v>
      </c>
      <c r="AI49" s="229">
        <f t="shared" si="20"/>
        <v>0</v>
      </c>
      <c r="AK49" s="253">
        <v>0.99111983651183799</v>
      </c>
      <c r="AL49" s="254">
        <v>0.99111762527826719</v>
      </c>
      <c r="AO49" s="207">
        <v>0.99519272996108499</v>
      </c>
      <c r="AP49" s="207">
        <v>0.99519272995442998</v>
      </c>
      <c r="AQ49" s="207">
        <v>0.99519272995442998</v>
      </c>
      <c r="AR49" s="207">
        <v>0.99519272995442998</v>
      </c>
      <c r="AS49" s="206">
        <f t="shared" si="21"/>
        <v>0</v>
      </c>
      <c r="AT49" s="59">
        <v>0.99519272995442998</v>
      </c>
      <c r="AU49" s="206">
        <f t="shared" si="22"/>
        <v>0</v>
      </c>
    </row>
    <row r="50" spans="1:47" ht="11.25" customHeight="1" x14ac:dyDescent="0.2">
      <c r="B50" s="210" t="str">
        <f>"ForFwdCurveName"&amp;IF(ISBLANK(C11),"","#"&amp;C11)</f>
        <v>ForFwdCurveName#USD3M_</v>
      </c>
      <c r="C50" s="92"/>
      <c r="E50" s="91" t="b">
        <f t="shared" si="23"/>
        <v>1</v>
      </c>
      <c r="F50" s="155">
        <v>48</v>
      </c>
      <c r="G50" s="61"/>
      <c r="I50" s="90">
        <f>IF($C$19,#REF!,AE35)</f>
        <v>0</v>
      </c>
      <c r="J50" s="197">
        <v>-0.39874999999999999</v>
      </c>
      <c r="K50" s="89"/>
      <c r="L50" s="88">
        <f t="shared" si="24"/>
        <v>-0.39874999999999999</v>
      </c>
      <c r="M50" s="73">
        <f t="shared" si="26"/>
        <v>4</v>
      </c>
      <c r="N50" s="71">
        <f>IF(E49,M50,"")</f>
        <v>4</v>
      </c>
      <c r="O50" s="73">
        <f t="shared" si="27"/>
        <v>4</v>
      </c>
      <c r="P50" s="71">
        <f t="shared" si="25"/>
        <v>4</v>
      </c>
      <c r="Q50" s="61"/>
      <c r="R50" s="87">
        <f>IF(LEN(P50)&gt;0,INDEX($F$46:$F$87,$P50),"")</f>
        <v>36</v>
      </c>
      <c r="S50" s="86">
        <f>IF(LEN(P50)&gt;0,INDEX($L$46:$L$87,$P50),"")</f>
        <v>-0.40125</v>
      </c>
      <c r="U50" s="65" t="e">
        <v>#N/A</v>
      </c>
      <c r="V50" s="64" t="e">
        <v>#N/A</v>
      </c>
      <c r="X50" s="74"/>
      <c r="Y50" s="73" t="e">
        <f>$Y$29*_xll.RtGet($AC$32,$AC$33&amp;$X50&amp;$AC$34,Y$30)</f>
        <v>#VALUE!</v>
      </c>
      <c r="Z50" s="71" t="e">
        <f>$Y$29*_xll.RtGet($AC$32,$AC$33&amp;$X50&amp;$AC$34,Z$30)</f>
        <v>#VALUE!</v>
      </c>
      <c r="AF50" s="225">
        <v>8</v>
      </c>
      <c r="AG50" s="235">
        <v>0.98980790082363479</v>
      </c>
      <c r="AH50" s="222">
        <v>0.98980790082363457</v>
      </c>
      <c r="AI50" s="229">
        <f t="shared" si="20"/>
        <v>0</v>
      </c>
      <c r="AK50" s="253">
        <v>0.98981010913514411</v>
      </c>
      <c r="AL50" s="254">
        <v>0.98980790082363457</v>
      </c>
      <c r="AO50" s="207">
        <v>0.99397386634814999</v>
      </c>
      <c r="AP50" s="207">
        <v>0.99397386633039897</v>
      </c>
      <c r="AQ50" s="207">
        <v>0.99397386633039897</v>
      </c>
      <c r="AR50" s="207">
        <v>0.99397386633039897</v>
      </c>
      <c r="AS50" s="206">
        <f t="shared" si="21"/>
        <v>0</v>
      </c>
      <c r="AT50" s="59">
        <v>0.99397386633039897</v>
      </c>
      <c r="AU50" s="206">
        <f t="shared" si="22"/>
        <v>0</v>
      </c>
    </row>
    <row r="51" spans="1:47" ht="11.25" customHeight="1" x14ac:dyDescent="0.2">
      <c r="B51" s="209" t="str">
        <f>"BkbnCurveName"&amp;IF(OR(ISBLANK(C5),NOT(C21)),"","#"&amp;C5)</f>
        <v>BkbnCurveName#USDON_</v>
      </c>
      <c r="C51" s="214"/>
      <c r="E51" s="91" t="b">
        <f t="shared" si="23"/>
        <v>1</v>
      </c>
      <c r="F51" s="155">
        <v>60</v>
      </c>
      <c r="G51" s="61"/>
      <c r="I51" s="90">
        <f>IF($C$19,#REF!,AE36)</f>
        <v>0</v>
      </c>
      <c r="J51" s="197">
        <v>-0.39624999999999999</v>
      </c>
      <c r="K51" s="89"/>
      <c r="L51" s="88">
        <f t="shared" si="24"/>
        <v>-0.39624999999999999</v>
      </c>
      <c r="M51" s="73">
        <f t="shared" si="26"/>
        <v>5</v>
      </c>
      <c r="N51" s="71">
        <f>IF(E50,M51,"")</f>
        <v>5</v>
      </c>
      <c r="O51" s="73">
        <f t="shared" si="27"/>
        <v>5</v>
      </c>
      <c r="P51" s="71">
        <f t="shared" si="25"/>
        <v>5</v>
      </c>
      <c r="Q51" s="61"/>
      <c r="R51" s="87">
        <f>IF(LEN(P51)&gt;0,INDEX($F$46:$F$87,$P51),"")</f>
        <v>48</v>
      </c>
      <c r="S51" s="86">
        <f>IF(LEN(P51)&gt;0,INDEX($L$46:$L$87,$P51),"")</f>
        <v>-0.39874999999999999</v>
      </c>
      <c r="U51" s="65" t="e">
        <v>#N/A</v>
      </c>
      <c r="V51" s="64" t="e">
        <v>#N/A</v>
      </c>
      <c r="X51" s="74"/>
      <c r="Y51" s="73" t="e">
        <f>$Y$29*_xll.RtGet($AC$32,$AC$33&amp;$X51&amp;$AC$34,Y$30)</f>
        <v>#VALUE!</v>
      </c>
      <c r="Z51" s="71" t="e">
        <f>$Y$29*_xll.RtGet($AC$32,$AC$33&amp;$X51&amp;$AC$34,Z$30)</f>
        <v>#VALUE!</v>
      </c>
      <c r="AF51" s="226">
        <v>9</v>
      </c>
      <c r="AG51" s="236">
        <v>0.98840294202056145</v>
      </c>
      <c r="AH51" s="223">
        <v>0.98840294202056145</v>
      </c>
      <c r="AI51" s="230">
        <f t="shared" si="20"/>
        <v>0</v>
      </c>
      <c r="AK51" s="253">
        <v>0.98840514719753669</v>
      </c>
      <c r="AL51" s="254">
        <v>0.98840294202056145</v>
      </c>
      <c r="AO51" s="207">
        <v>0.99261089008052905</v>
      </c>
      <c r="AP51" s="207">
        <v>0.99261089003612102</v>
      </c>
      <c r="AQ51" s="207">
        <v>0.99261089003612102</v>
      </c>
      <c r="AR51" s="207">
        <v>0.99261089003612102</v>
      </c>
      <c r="AS51" s="206">
        <f t="shared" si="21"/>
        <v>0</v>
      </c>
      <c r="AT51" s="59">
        <v>0.99261089003612102</v>
      </c>
      <c r="AU51" s="206">
        <f t="shared" si="22"/>
        <v>0</v>
      </c>
    </row>
    <row r="52" spans="1:47" ht="11.25" customHeight="1" x14ac:dyDescent="0.2">
      <c r="B52" s="210" t="str">
        <f>"CCSSpreadCurr"&amp;IF(ISBLANK(C8),"","#"&amp;C8)</f>
        <v>CCSSpreadCurr#EUR</v>
      </c>
      <c r="C52" s="92"/>
      <c r="E52" s="91" t="b">
        <f t="shared" si="23"/>
        <v>1</v>
      </c>
      <c r="F52" s="155">
        <v>72</v>
      </c>
      <c r="G52" s="61"/>
      <c r="I52" s="90">
        <f>IF($C$19,#REF!,AE37)</f>
        <v>0</v>
      </c>
      <c r="J52" s="197">
        <v>-0.39124999999999999</v>
      </c>
      <c r="K52" s="89"/>
      <c r="L52" s="88">
        <f t="shared" si="24"/>
        <v>-0.39124999999999999</v>
      </c>
      <c r="M52" s="73">
        <f t="shared" si="26"/>
        <v>6</v>
      </c>
      <c r="N52" s="71">
        <f>IF(E51,M52,"")</f>
        <v>6</v>
      </c>
      <c r="O52" s="73">
        <f t="shared" si="27"/>
        <v>6</v>
      </c>
      <c r="P52" s="71">
        <f t="shared" si="25"/>
        <v>6</v>
      </c>
      <c r="Q52" s="61"/>
      <c r="R52" s="87">
        <f>IF(LEN(P52)&gt;0,INDEX($F$46:$F$87,$P52),"")</f>
        <v>60</v>
      </c>
      <c r="S52" s="86">
        <f>IF(LEN(P52)&gt;0,INDEX($L$46:$L$87,$P52),"")</f>
        <v>-0.39624999999999999</v>
      </c>
      <c r="U52" s="65" t="e">
        <v>#N/A</v>
      </c>
      <c r="V52" s="64" t="e">
        <v>#N/A</v>
      </c>
      <c r="X52" s="74"/>
      <c r="Y52" s="73" t="e">
        <f>$Y$29*_xll.RtGet($AC$32,$AC$33&amp;$X52&amp;$AC$34,Y$30)</f>
        <v>#VALUE!</v>
      </c>
      <c r="Z52" s="71" t="e">
        <f>$Y$29*_xll.RtGet($AC$32,$AC$33&amp;$X52&amp;$AC$34,Z$30)</f>
        <v>#VALUE!</v>
      </c>
      <c r="AF52" s="225">
        <v>12</v>
      </c>
      <c r="AG52" s="235">
        <v>0.98337884200182635</v>
      </c>
      <c r="AH52" s="222">
        <v>0.9833784767663879</v>
      </c>
      <c r="AI52" s="229">
        <f t="shared" si="20"/>
        <v>-3.6523543844868556E-7</v>
      </c>
      <c r="AK52" s="253">
        <v>0.98338176625413254</v>
      </c>
      <c r="AL52" s="254">
        <v>0.98337847676638768</v>
      </c>
      <c r="AO52" s="207">
        <v>0.991117625361148</v>
      </c>
      <c r="AP52" s="207">
        <v>0.99111762527826697</v>
      </c>
      <c r="AQ52" s="207">
        <v>0.99111762527826697</v>
      </c>
      <c r="AR52" s="207">
        <v>0.99111762527826697</v>
      </c>
      <c r="AS52" s="206">
        <f t="shared" si="21"/>
        <v>0</v>
      </c>
      <c r="AT52" s="59">
        <v>0.99111762527826697</v>
      </c>
      <c r="AU52" s="206">
        <f t="shared" si="22"/>
        <v>0</v>
      </c>
    </row>
    <row r="53" spans="1:47" ht="11.25" customHeight="1" x14ac:dyDescent="0.2">
      <c r="B53" s="210" t="str">
        <f>"BlockOrder"&amp;IF(ISBLANK(C25),"","#"&amp;C25)</f>
        <v>BlockOrder#312</v>
      </c>
      <c r="C53" s="92"/>
      <c r="E53" s="91" t="b">
        <f t="shared" si="23"/>
        <v>1</v>
      </c>
      <c r="F53" s="155">
        <v>84</v>
      </c>
      <c r="G53" s="61"/>
      <c r="I53" s="90">
        <f>IF($C$19,#REF!,AE38)</f>
        <v>0</v>
      </c>
      <c r="J53" s="197">
        <v>-0.38500000000000001</v>
      </c>
      <c r="K53" s="89"/>
      <c r="L53" s="88">
        <f t="shared" si="24"/>
        <v>-0.38500000000000001</v>
      </c>
      <c r="M53" s="73">
        <f t="shared" si="26"/>
        <v>7</v>
      </c>
      <c r="N53" s="71">
        <f>IF(E52,M53,"")</f>
        <v>7</v>
      </c>
      <c r="O53" s="73">
        <f t="shared" si="27"/>
        <v>7</v>
      </c>
      <c r="P53" s="71">
        <f t="shared" si="25"/>
        <v>7</v>
      </c>
      <c r="Q53" s="61"/>
      <c r="R53" s="87">
        <f>IF(LEN(P53)&gt;0,INDEX($F$46:$F$87,$P53),"")</f>
        <v>72</v>
      </c>
      <c r="S53" s="86">
        <f>IF(LEN(P53)&gt;0,INDEX($L$46:$L$87,$P53),"")</f>
        <v>-0.39124999999999999</v>
      </c>
      <c r="U53" s="65" t="e">
        <v>#N/A</v>
      </c>
      <c r="V53" s="64" t="e">
        <v>#N/A</v>
      </c>
      <c r="X53" s="74"/>
      <c r="Y53" s="73" t="e">
        <f>$Y$29*_xll.RtGet($AC$32,$AC$33&amp;$X53&amp;$AC$34,Y$30)</f>
        <v>#VALUE!</v>
      </c>
      <c r="Z53" s="71" t="e">
        <f>$Y$29*_xll.RtGet($AC$32,$AC$33&amp;$X53&amp;$AC$34,Z$30)</f>
        <v>#VALUE!</v>
      </c>
      <c r="AF53" s="225">
        <v>18</v>
      </c>
      <c r="AG53" s="235">
        <v>0.97354011117850259</v>
      </c>
      <c r="AH53" s="222">
        <v>0.97353973498385626</v>
      </c>
      <c r="AI53" s="229">
        <f t="shared" si="20"/>
        <v>-3.7619464632321353E-7</v>
      </c>
      <c r="AK53" s="253">
        <v>0.97354300627033974</v>
      </c>
      <c r="AL53" s="254">
        <v>0.97353973498385593</v>
      </c>
      <c r="AO53" s="207">
        <v>0.98980790098115701</v>
      </c>
      <c r="AP53" s="207">
        <v>0.98980790082363401</v>
      </c>
      <c r="AQ53" s="207">
        <v>0.98980790082363401</v>
      </c>
      <c r="AR53" s="207">
        <v>0.98980790082363401</v>
      </c>
      <c r="AS53" s="206">
        <f t="shared" si="21"/>
        <v>0</v>
      </c>
      <c r="AT53" s="59">
        <v>0.98980790082363401</v>
      </c>
      <c r="AU53" s="206">
        <f t="shared" si="22"/>
        <v>0</v>
      </c>
    </row>
    <row r="54" spans="1:47" ht="11.25" customHeight="1" x14ac:dyDescent="0.2">
      <c r="B54" s="210" t="str">
        <f>"MatBlockCons"&amp;IF(ISBLANK(C26),"","#"&amp;C26)</f>
        <v>MatBlockCons#on</v>
      </c>
      <c r="C54" s="92"/>
      <c r="E54" s="91" t="b">
        <f t="shared" si="23"/>
        <v>1</v>
      </c>
      <c r="F54" s="155">
        <v>96</v>
      </c>
      <c r="G54" s="61"/>
      <c r="I54" s="90">
        <f>IF($C$19,#REF!,AE39)</f>
        <v>0</v>
      </c>
      <c r="J54" s="197">
        <v>-0.37624999999999997</v>
      </c>
      <c r="K54" s="89"/>
      <c r="L54" s="88">
        <f t="shared" si="24"/>
        <v>-0.37624999999999997</v>
      </c>
      <c r="M54" s="73">
        <f t="shared" si="26"/>
        <v>8</v>
      </c>
      <c r="N54" s="71">
        <f>IF(E53,M54,"")</f>
        <v>8</v>
      </c>
      <c r="O54" s="73">
        <f t="shared" si="27"/>
        <v>8</v>
      </c>
      <c r="P54" s="71">
        <f t="shared" si="25"/>
        <v>8</v>
      </c>
      <c r="Q54" s="61"/>
      <c r="R54" s="87">
        <f>IF(LEN(P54)&gt;0,INDEX($F$46:$F$87,$P54),"")</f>
        <v>84</v>
      </c>
      <c r="S54" s="86">
        <f>IF(LEN(P54)&gt;0,INDEX($L$46:$L$87,$P54),"")</f>
        <v>-0.38500000000000001</v>
      </c>
      <c r="U54" s="65" t="e">
        <v>#N/A</v>
      </c>
      <c r="V54" s="64" t="e">
        <v>#N/A</v>
      </c>
      <c r="X54" s="74"/>
      <c r="Y54" s="73" t="e">
        <f>$Y$29*_xll.RtGet($AC$32,$AC$33&amp;$X54&amp;$AC$34,Y$30)</f>
        <v>#VALUE!</v>
      </c>
      <c r="Z54" s="71" t="e">
        <f>$Y$29*_xll.RtGet($AC$32,$AC$33&amp;$X54&amp;$AC$34,Z$30)</f>
        <v>#VALUE!</v>
      </c>
      <c r="AF54" s="225">
        <v>24</v>
      </c>
      <c r="AG54" s="235">
        <v>0.96292706018413876</v>
      </c>
      <c r="AH54" s="222">
        <v>0.9629266746370021</v>
      </c>
      <c r="AI54" s="229">
        <f t="shared" si="20"/>
        <v>-3.8554713666094642E-7</v>
      </c>
      <c r="AK54" s="253">
        <v>0.96292992375959963</v>
      </c>
      <c r="AL54" s="254">
        <v>0.96292667463700177</v>
      </c>
      <c r="AO54" s="207">
        <v>0.98840294230499204</v>
      </c>
      <c r="AP54" s="207">
        <v>0.988402942020561</v>
      </c>
      <c r="AQ54" s="207">
        <v>0.988402942020561</v>
      </c>
      <c r="AR54" s="207">
        <v>0.988402942020561</v>
      </c>
      <c r="AS54" s="206">
        <f t="shared" si="21"/>
        <v>0</v>
      </c>
      <c r="AT54" s="59">
        <v>0.988402942020561</v>
      </c>
      <c r="AU54" s="206">
        <f t="shared" si="22"/>
        <v>0</v>
      </c>
    </row>
    <row r="55" spans="1:47" ht="11.25" customHeight="1" x14ac:dyDescent="0.2">
      <c r="A55" s="95"/>
      <c r="B55" s="211" t="s">
        <v>132</v>
      </c>
      <c r="C55" s="92">
        <f>IF(ISBLANK(C36),0,1)</f>
        <v>0</v>
      </c>
      <c r="E55" s="91" t="b">
        <f t="shared" si="23"/>
        <v>1</v>
      </c>
      <c r="F55" s="155">
        <v>108</v>
      </c>
      <c r="G55" s="61"/>
      <c r="I55" s="90">
        <f>IF($C$19,#REF!,AE40)</f>
        <v>0</v>
      </c>
      <c r="J55" s="197">
        <v>-0.3725</v>
      </c>
      <c r="K55" s="89"/>
      <c r="L55" s="88">
        <f t="shared" si="24"/>
        <v>-0.3725</v>
      </c>
      <c r="M55" s="73">
        <f t="shared" si="26"/>
        <v>9</v>
      </c>
      <c r="N55" s="71">
        <f>IF(E54,M55,"")</f>
        <v>9</v>
      </c>
      <c r="O55" s="73">
        <f t="shared" si="27"/>
        <v>9</v>
      </c>
      <c r="P55" s="71">
        <f t="shared" si="25"/>
        <v>9</v>
      </c>
      <c r="Q55" s="61"/>
      <c r="R55" s="87">
        <f>IF(LEN(P55)&gt;0,INDEX($F$46:$F$87,$P55),"")</f>
        <v>96</v>
      </c>
      <c r="S55" s="86">
        <f>IF(LEN(P55)&gt;0,INDEX($L$46:$L$87,$P55),"")</f>
        <v>-0.37624999999999997</v>
      </c>
      <c r="U55" s="65" t="e">
        <v>#N/A</v>
      </c>
      <c r="V55" s="64" t="e">
        <v>#N/A</v>
      </c>
      <c r="X55" s="74"/>
      <c r="Y55" s="73" t="e">
        <f>$Y$29*_xll.RtGet($AC$32,$AC$33&amp;$X55&amp;$AC$34,Y$30)</f>
        <v>#VALUE!</v>
      </c>
      <c r="Z55" s="71" t="e">
        <f>$Y$29*_xll.RtGet($AC$32,$AC$33&amp;$X55&amp;$AC$34,Z$30)</f>
        <v>#VALUE!</v>
      </c>
      <c r="AF55" s="225">
        <v>36</v>
      </c>
      <c r="AG55" s="235">
        <v>0.94049513174774024</v>
      </c>
      <c r="AH55" s="222">
        <v>0.94049446210717857</v>
      </c>
      <c r="AI55" s="229">
        <f t="shared" si="20"/>
        <v>-6.6964056166796126E-7</v>
      </c>
      <c r="AK55" s="253">
        <v>0.94049792875863314</v>
      </c>
      <c r="AL55" s="254">
        <v>0.94049446210717813</v>
      </c>
      <c r="AO55" s="207">
        <v>0.98337846064075096</v>
      </c>
      <c r="AP55" s="207">
        <v>0.98337846064060097</v>
      </c>
      <c r="AQ55" s="207">
        <v>0.98337846064060097</v>
      </c>
      <c r="AR55" s="207">
        <v>0.98337846064060097</v>
      </c>
      <c r="AS55" s="206">
        <f t="shared" si="21"/>
        <v>0</v>
      </c>
      <c r="AT55" s="59">
        <v>0.98337846064060297</v>
      </c>
      <c r="AU55" s="206">
        <f t="shared" si="22"/>
        <v>1.9984014443252818E-15</v>
      </c>
    </row>
    <row r="56" spans="1:47" ht="11.25" customHeight="1" x14ac:dyDescent="0.2">
      <c r="A56" s="95"/>
      <c r="B56" s="211" t="s">
        <v>133</v>
      </c>
      <c r="C56" s="92">
        <f>IF(ISBLANK(C40),0,1)</f>
        <v>0</v>
      </c>
      <c r="E56" s="91" t="b">
        <f t="shared" si="23"/>
        <v>1</v>
      </c>
      <c r="F56" s="155">
        <v>120</v>
      </c>
      <c r="G56" s="61"/>
      <c r="I56" s="90">
        <f>IF($C$19,#REF!,AE41)</f>
        <v>0</v>
      </c>
      <c r="J56" s="197">
        <v>-0.36875000000000002</v>
      </c>
      <c r="K56" s="89"/>
      <c r="L56" s="88">
        <f t="shared" si="24"/>
        <v>-0.36875000000000002</v>
      </c>
      <c r="M56" s="73">
        <f t="shared" si="26"/>
        <v>10</v>
      </c>
      <c r="N56" s="71">
        <f>IF(E55,M56,"")</f>
        <v>10</v>
      </c>
      <c r="O56" s="73">
        <f t="shared" si="27"/>
        <v>10</v>
      </c>
      <c r="P56" s="71">
        <f t="shared" si="25"/>
        <v>10</v>
      </c>
      <c r="Q56" s="61"/>
      <c r="R56" s="87">
        <f>IF(LEN(P56)&gt;0,INDEX($F$46:$F$87,$P56),"")</f>
        <v>108</v>
      </c>
      <c r="S56" s="86">
        <f>IF(LEN(P56)&gt;0,INDEX($L$46:$L$87,$P56),"")</f>
        <v>-0.3725</v>
      </c>
      <c r="U56" s="65" t="e">
        <v>#N/A</v>
      </c>
      <c r="V56" s="64" t="e">
        <v>#N/A</v>
      </c>
      <c r="X56" s="74"/>
      <c r="Y56" s="73" t="e">
        <f>$Y$29*_xll.RtGet($AC$32,$AC$33&amp;$X56&amp;$AC$34,Y$30)</f>
        <v>#VALUE!</v>
      </c>
      <c r="Z56" s="71" t="e">
        <f>$Y$29*_xll.RtGet($AC$32,$AC$33&amp;$X56&amp;$AC$34,Z$30)</f>
        <v>#VALUE!</v>
      </c>
      <c r="AF56" s="225">
        <v>48</v>
      </c>
      <c r="AG56" s="235">
        <v>0.91688550889265652</v>
      </c>
      <c r="AH56" s="222">
        <v>0.9168848014446711</v>
      </c>
      <c r="AI56" s="229">
        <f t="shared" si="20"/>
        <v>-7.0744798541522158E-7</v>
      </c>
      <c r="AK56" s="253">
        <v>0.91688823571237055</v>
      </c>
      <c r="AL56" s="254">
        <v>0.91688480144467033</v>
      </c>
      <c r="AO56" s="207">
        <v>0.97353971160550801</v>
      </c>
      <c r="AP56" s="207">
        <v>0.97353971160535901</v>
      </c>
      <c r="AQ56" s="207">
        <v>0.97353971160535901</v>
      </c>
      <c r="AR56" s="207">
        <v>0.97353971160535901</v>
      </c>
      <c r="AS56" s="206">
        <f t="shared" si="21"/>
        <v>0</v>
      </c>
      <c r="AT56" s="59">
        <v>0.97353971160536101</v>
      </c>
      <c r="AU56" s="206">
        <f t="shared" si="22"/>
        <v>1.9984014443252818E-15</v>
      </c>
    </row>
    <row r="57" spans="1:47" ht="11.25" customHeight="1" x14ac:dyDescent="0.2">
      <c r="A57" s="95"/>
      <c r="B57" s="212" t="str">
        <f>"CCSM2MCurr"&amp;IF(ISBLANK(C30),"","#"&amp;C30)</f>
        <v>CCSM2MCurr#USD</v>
      </c>
      <c r="C57" s="75"/>
      <c r="E57" s="91" t="b">
        <f t="shared" si="23"/>
        <v>1</v>
      </c>
      <c r="F57" s="155">
        <v>144</v>
      </c>
      <c r="G57" s="61"/>
      <c r="I57" s="90">
        <f>IF($C$19,#REF!,AE42)</f>
        <v>0</v>
      </c>
      <c r="J57" s="197">
        <v>-0.35375000000000001</v>
      </c>
      <c r="K57" s="89"/>
      <c r="L57" s="88">
        <f t="shared" si="24"/>
        <v>-0.35375000000000001</v>
      </c>
      <c r="M57" s="73">
        <f t="shared" si="26"/>
        <v>11</v>
      </c>
      <c r="N57" s="71">
        <f>IF(E56,M57,"")</f>
        <v>11</v>
      </c>
      <c r="O57" s="73">
        <f t="shared" si="27"/>
        <v>11</v>
      </c>
      <c r="P57" s="71">
        <f t="shared" si="25"/>
        <v>11</v>
      </c>
      <c r="Q57" s="61"/>
      <c r="R57" s="87">
        <f>IF(LEN(P57)&gt;0,INDEX($F$46:$F$87,$P57),"")</f>
        <v>120</v>
      </c>
      <c r="S57" s="86">
        <f>IF(LEN(P57)&gt;0,INDEX($L$46:$L$87,$P57),"")</f>
        <v>-0.36875000000000002</v>
      </c>
      <c r="U57" s="65" t="e">
        <v>#N/A</v>
      </c>
      <c r="V57" s="64" t="e">
        <v>#N/A</v>
      </c>
      <c r="X57" s="74"/>
      <c r="Y57" s="73" t="e">
        <f>$Y$29*_xll.RtGet($AC$32,$AC$33&amp;$X57&amp;$AC$34,Y$30)</f>
        <v>#VALUE!</v>
      </c>
      <c r="Z57" s="71" t="e">
        <f>$Y$29*_xll.RtGet($AC$32,$AC$33&amp;$X57&amp;$AC$34,Z$30)</f>
        <v>#VALUE!</v>
      </c>
      <c r="AF57" s="225">
        <v>60</v>
      </c>
      <c r="AG57" s="235">
        <v>0.89295077083389007</v>
      </c>
      <c r="AH57" s="222">
        <v>0.89295016152762519</v>
      </c>
      <c r="AI57" s="229">
        <f t="shared" si="20"/>
        <v>-6.0930626488708839E-7</v>
      </c>
      <c r="AK57" s="253">
        <v>0.89295342644088893</v>
      </c>
      <c r="AL57" s="254">
        <v>0.89295016152762452</v>
      </c>
      <c r="AO57" s="207">
        <v>0.96292664420706398</v>
      </c>
      <c r="AP57" s="207">
        <v>0.96292664420691798</v>
      </c>
      <c r="AQ57" s="207">
        <v>0.96292664420691798</v>
      </c>
      <c r="AR57" s="207">
        <v>0.96292664420691798</v>
      </c>
      <c r="AS57" s="206">
        <f t="shared" si="21"/>
        <v>0</v>
      </c>
      <c r="AT57" s="59">
        <v>0.96292664420691898</v>
      </c>
      <c r="AU57" s="206">
        <f t="shared" si="22"/>
        <v>9.9920072216264089E-16</v>
      </c>
    </row>
    <row r="58" spans="1:47" ht="11.25" customHeight="1" x14ac:dyDescent="0.2">
      <c r="B58" s="94" t="str">
        <f>IF(ISBLANK(C27),"","CCDepoValDays")</f>
        <v>CCDepoValDays</v>
      </c>
      <c r="C58" s="93">
        <f>C27</f>
        <v>2</v>
      </c>
      <c r="E58" s="91" t="b">
        <f t="shared" si="23"/>
        <v>1</v>
      </c>
      <c r="F58" s="155">
        <v>180</v>
      </c>
      <c r="G58" s="61"/>
      <c r="I58" s="90">
        <f>IF($C$19,#REF!,AE43)</f>
        <v>0</v>
      </c>
      <c r="J58" s="197">
        <v>-0.31874999999999998</v>
      </c>
      <c r="K58" s="89"/>
      <c r="L58" s="88">
        <f t="shared" si="24"/>
        <v>-0.31874999999999998</v>
      </c>
      <c r="M58" s="73">
        <f t="shared" si="26"/>
        <v>12</v>
      </c>
      <c r="N58" s="71">
        <f>IF(E57,M58,"")</f>
        <v>12</v>
      </c>
      <c r="O58" s="73">
        <f t="shared" si="27"/>
        <v>12</v>
      </c>
      <c r="P58" s="71">
        <f t="shared" si="25"/>
        <v>12</v>
      </c>
      <c r="Q58" s="61"/>
      <c r="R58" s="87">
        <f>IF(LEN(P58)&gt;0,INDEX($F$46:$F$87,$P58),"")</f>
        <v>144</v>
      </c>
      <c r="S58" s="86">
        <f>IF(LEN(P58)&gt;0,INDEX($L$46:$L$87,$P58),"")</f>
        <v>-0.35375000000000001</v>
      </c>
      <c r="U58" s="65" t="e">
        <v>#N/A</v>
      </c>
      <c r="V58" s="64" t="e">
        <v>#N/A</v>
      </c>
      <c r="X58" s="74"/>
      <c r="Y58" s="73" t="e">
        <f>$Y$29*_xll.RtGet($AC$32,$AC$33&amp;$X58&amp;$AC$34,Y$30)</f>
        <v>#VALUE!</v>
      </c>
      <c r="Z58" s="71" t="e">
        <f>$Y$29*_xll.RtGet($AC$32,$AC$33&amp;$X58&amp;$AC$34,Z$30)</f>
        <v>#VALUE!</v>
      </c>
      <c r="AF58" s="225">
        <v>72</v>
      </c>
      <c r="AG58" s="235">
        <v>0.86838234997752362</v>
      </c>
      <c r="AH58" s="222">
        <v>0.86838200537646582</v>
      </c>
      <c r="AI58" s="229">
        <f t="shared" si="20"/>
        <v>-3.4460105780009798E-7</v>
      </c>
      <c r="AK58" s="253">
        <v>0.86838493245588777</v>
      </c>
      <c r="AL58" s="254">
        <v>0.86838200537646504</v>
      </c>
      <c r="AO58" s="207">
        <v>0.94049442000973904</v>
      </c>
      <c r="AP58" s="207">
        <v>0.94049442000959604</v>
      </c>
      <c r="AQ58" s="207">
        <v>0.94049442000959604</v>
      </c>
      <c r="AR58" s="207">
        <v>0.94049442000959604</v>
      </c>
      <c r="AS58" s="206">
        <f t="shared" si="21"/>
        <v>0</v>
      </c>
      <c r="AT58" s="59">
        <v>0.94049442000959604</v>
      </c>
      <c r="AU58" s="206">
        <f t="shared" si="22"/>
        <v>0</v>
      </c>
    </row>
    <row r="59" spans="1:47" ht="11.25" customHeight="1" x14ac:dyDescent="0.2">
      <c r="B59" s="78" t="str">
        <f>IF(ISBLANK(C32),"","CCSValDays")</f>
        <v>CCSValDays</v>
      </c>
      <c r="C59" s="92">
        <f>C32</f>
        <v>3</v>
      </c>
      <c r="E59" s="91" t="b">
        <f t="shared" si="23"/>
        <v>1</v>
      </c>
      <c r="F59" s="155">
        <v>240</v>
      </c>
      <c r="G59" s="61"/>
      <c r="H59" s="61"/>
      <c r="I59" s="90">
        <f>IF($C$19,#REF!,AE44)</f>
        <v>0</v>
      </c>
      <c r="J59" s="197">
        <v>-0.26874999999999999</v>
      </c>
      <c r="K59" s="89"/>
      <c r="L59" s="88">
        <f t="shared" si="24"/>
        <v>-0.26874999999999999</v>
      </c>
      <c r="M59" s="73">
        <f t="shared" si="26"/>
        <v>13</v>
      </c>
      <c r="N59" s="71">
        <f>IF(E58,M59,"")</f>
        <v>13</v>
      </c>
      <c r="O59" s="73">
        <f t="shared" si="27"/>
        <v>13</v>
      </c>
      <c r="P59" s="71">
        <f t="shared" si="25"/>
        <v>13</v>
      </c>
      <c r="Q59" s="61"/>
      <c r="R59" s="87">
        <f>IF(LEN(P59)&gt;0,INDEX($F$46:$F$87,$P59),"")</f>
        <v>180</v>
      </c>
      <c r="S59" s="86">
        <f>IF(LEN(P59)&gt;0,INDEX($L$46:$L$87,$P59),"")</f>
        <v>-0.31874999999999998</v>
      </c>
      <c r="U59" s="65" t="e">
        <v>#N/A</v>
      </c>
      <c r="V59" s="64" t="e">
        <v>#N/A</v>
      </c>
      <c r="X59" s="74"/>
      <c r="Y59" s="73" t="e">
        <f>$Y$29*_xll.RtGet($AC$32,$AC$33&amp;$X59&amp;$AC$34,Y$30)</f>
        <v>#VALUE!</v>
      </c>
      <c r="Z59" s="71" t="e">
        <f>$Y$29*_xll.RtGet($AC$32,$AC$33&amp;$X59&amp;$AC$34,Z$30)</f>
        <v>#VALUE!</v>
      </c>
      <c r="AF59" s="225">
        <v>84</v>
      </c>
      <c r="AG59" s="235">
        <v>0.84354890975572372</v>
      </c>
      <c r="AH59" s="222">
        <v>0.84354903360677724</v>
      </c>
      <c r="AI59" s="229">
        <f t="shared" si="20"/>
        <v>1.2385105352397119E-7</v>
      </c>
      <c r="AK59" s="253">
        <v>0.84355141830585068</v>
      </c>
      <c r="AL59" s="254">
        <v>0.84354903360677624</v>
      </c>
      <c r="AO59" s="207">
        <v>0.916884748919916</v>
      </c>
      <c r="AP59" s="207">
        <v>0.916884748919776</v>
      </c>
      <c r="AQ59" s="207">
        <v>0.916884748919776</v>
      </c>
      <c r="AR59" s="207">
        <v>0.916884748919776</v>
      </c>
      <c r="AS59" s="206">
        <f t="shared" si="21"/>
        <v>0</v>
      </c>
      <c r="AT59" s="59">
        <v>0.916884748919777</v>
      </c>
      <c r="AU59" s="206">
        <f t="shared" si="22"/>
        <v>9.9920072216264089E-16</v>
      </c>
    </row>
    <row r="60" spans="1:47" ht="11.25" customHeight="1" x14ac:dyDescent="0.2">
      <c r="B60" s="78" t="str">
        <f>IF(ISBLANK(C28),"","CCSDomNotional")</f>
        <v/>
      </c>
      <c r="C60" s="92">
        <f>C28</f>
        <v>0</v>
      </c>
      <c r="E60" s="91" t="b">
        <f t="shared" si="23"/>
        <v>1</v>
      </c>
      <c r="F60" s="155">
        <v>300</v>
      </c>
      <c r="G60" s="61"/>
      <c r="H60" s="61"/>
      <c r="I60" s="90">
        <f>IF($C$19,#REF!,AE45)</f>
        <v>0</v>
      </c>
      <c r="J60" s="197">
        <v>-0.2225</v>
      </c>
      <c r="K60" s="89"/>
      <c r="L60" s="88">
        <f t="shared" si="24"/>
        <v>-0.2225</v>
      </c>
      <c r="M60" s="73">
        <f t="shared" si="26"/>
        <v>14</v>
      </c>
      <c r="N60" s="71">
        <f>IF(E59,M60,"")</f>
        <v>14</v>
      </c>
      <c r="O60" s="73">
        <f t="shared" si="27"/>
        <v>14</v>
      </c>
      <c r="P60" s="71">
        <f t="shared" si="25"/>
        <v>14</v>
      </c>
      <c r="Q60" s="61"/>
      <c r="R60" s="87">
        <f>IF(LEN(P60)&gt;0,INDEX($F$46:$F$87,$P60),"")</f>
        <v>240</v>
      </c>
      <c r="S60" s="86">
        <f>IF(LEN(P60)&gt;0,INDEX($L$46:$L$87,$P60),"")</f>
        <v>-0.26874999999999999</v>
      </c>
      <c r="U60" s="65" t="e">
        <v>#N/A</v>
      </c>
      <c r="V60" s="64" t="e">
        <v>#N/A</v>
      </c>
      <c r="X60" s="74"/>
      <c r="Y60" s="73" t="e">
        <f>$Y$29*_xll.RtGet($AC$32,$AC$33&amp;$X60&amp;$AC$34,Y$30)</f>
        <v>#VALUE!</v>
      </c>
      <c r="Z60" s="71" t="e">
        <f>$Y$29*_xll.RtGet($AC$32,$AC$33&amp;$X60&amp;$AC$34,Z$30)</f>
        <v>#VALUE!</v>
      </c>
      <c r="AF60" s="225">
        <v>96</v>
      </c>
      <c r="AG60" s="235">
        <v>0.81939929518660015</v>
      </c>
      <c r="AH60" s="222">
        <v>0.81939995287580414</v>
      </c>
      <c r="AI60" s="229">
        <f t="shared" si="20"/>
        <v>6.5768920398667774E-7</v>
      </c>
      <c r="AK60" s="253">
        <v>0.81940173184673581</v>
      </c>
      <c r="AL60" s="254">
        <v>0.81939995287580336</v>
      </c>
      <c r="AO60" s="207">
        <v>0.89295010040740097</v>
      </c>
      <c r="AP60" s="207">
        <v>0.89295010040726497</v>
      </c>
      <c r="AQ60" s="207">
        <v>0.89295010040726497</v>
      </c>
      <c r="AR60" s="207">
        <v>0.89295010040726497</v>
      </c>
      <c r="AS60" s="206">
        <f t="shared" si="21"/>
        <v>0</v>
      </c>
      <c r="AT60" s="59">
        <v>0.89295010040726597</v>
      </c>
      <c r="AU60" s="206">
        <f t="shared" si="22"/>
        <v>9.9920072216264089E-16</v>
      </c>
    </row>
    <row r="61" spans="1:47" ht="11.25" customHeight="1" x14ac:dyDescent="0.2">
      <c r="B61" s="78" t="str">
        <f>IF(ISBLANK(C29),"","CCSForNotional")</f>
        <v/>
      </c>
      <c r="C61" s="92">
        <f>C29</f>
        <v>0</v>
      </c>
      <c r="E61" s="91" t="b">
        <f t="shared" si="23"/>
        <v>1</v>
      </c>
      <c r="F61" s="155">
        <v>360</v>
      </c>
      <c r="G61" s="61"/>
      <c r="H61" s="61"/>
      <c r="I61" s="90">
        <f>IF($C$19,#REF!,AE46)</f>
        <v>0</v>
      </c>
      <c r="J61" s="197">
        <v>-0.19375000000000001</v>
      </c>
      <c r="K61" s="89"/>
      <c r="L61" s="88">
        <f t="shared" si="24"/>
        <v>-0.19375000000000001</v>
      </c>
      <c r="M61" s="73">
        <f t="shared" si="26"/>
        <v>15</v>
      </c>
      <c r="N61" s="71">
        <f>IF(E60,M61,"")</f>
        <v>15</v>
      </c>
      <c r="O61" s="73">
        <f t="shared" si="27"/>
        <v>15</v>
      </c>
      <c r="P61" s="71">
        <f t="shared" si="25"/>
        <v>15</v>
      </c>
      <c r="Q61" s="61"/>
      <c r="R61" s="87">
        <f>IF(LEN(P61)&gt;0,INDEX($F$46:$F$87,$P61),"")</f>
        <v>300</v>
      </c>
      <c r="S61" s="86">
        <f>IF(LEN(P61)&gt;0,INDEX($L$46:$L$87,$P61),"")</f>
        <v>-0.2225</v>
      </c>
      <c r="U61" s="65" t="e">
        <v>#N/A</v>
      </c>
      <c r="V61" s="64" t="e">
        <v>#N/A</v>
      </c>
      <c r="X61" s="74"/>
      <c r="Y61" s="73" t="e">
        <f>$Y$29*_xll.RtGet($AC$32,$AC$33&amp;$X61&amp;$AC$34,Y$30)</f>
        <v>#VALUE!</v>
      </c>
      <c r="Z61" s="71" t="e">
        <f>$Y$29*_xll.RtGet($AC$32,$AC$33&amp;$X61&amp;$AC$34,Z$30)</f>
        <v>#VALUE!</v>
      </c>
      <c r="AF61" s="225">
        <v>108</v>
      </c>
      <c r="AG61" s="235">
        <v>0.79512046559290528</v>
      </c>
      <c r="AH61" s="222">
        <v>0.79512171998253323</v>
      </c>
      <c r="AI61" s="229">
        <f t="shared" si="20"/>
        <v>1.2543896279471056E-6</v>
      </c>
      <c r="AK61" s="253">
        <v>0.79512282998544437</v>
      </c>
      <c r="AL61" s="254">
        <v>0.79512171998253223</v>
      </c>
      <c r="AO61" s="207">
        <v>0.86838133049523802</v>
      </c>
      <c r="AP61" s="207">
        <v>0.86838133049510602</v>
      </c>
      <c r="AQ61" s="207">
        <v>0.86838133049510602</v>
      </c>
      <c r="AR61" s="207">
        <v>0.86838133049510602</v>
      </c>
      <c r="AS61" s="206">
        <f t="shared" si="21"/>
        <v>0</v>
      </c>
      <c r="AT61" s="59">
        <v>0.86838133049510702</v>
      </c>
      <c r="AU61" s="206">
        <f t="shared" si="22"/>
        <v>9.9920072216264089E-16</v>
      </c>
    </row>
    <row r="62" spans="1:47" ht="11.25" customHeight="1" x14ac:dyDescent="0.2">
      <c r="B62" s="78" t="str">
        <f>IF(ISBLANK(C31),"","CCSMatType")</f>
        <v>CCSMatType</v>
      </c>
      <c r="C62" s="85">
        <f>IF(ISBLANK(C31),0,VLOOKUP(C31,dvCurveBootstrapperSwapMatType,2,FALSE))</f>
        <v>1</v>
      </c>
      <c r="E62" s="91" t="b">
        <f t="shared" si="23"/>
        <v>1</v>
      </c>
      <c r="F62" s="155">
        <v>480</v>
      </c>
      <c r="G62" s="61"/>
      <c r="H62" s="61"/>
      <c r="I62" s="90">
        <f>IF($C$19,#REF!,AE47)</f>
        <v>0</v>
      </c>
      <c r="J62" s="197">
        <v>-0.21249999999999999</v>
      </c>
      <c r="K62" s="89"/>
      <c r="L62" s="88">
        <f t="shared" si="24"/>
        <v>-0.21249999999999999</v>
      </c>
      <c r="M62" s="73">
        <f t="shared" si="26"/>
        <v>16</v>
      </c>
      <c r="N62" s="71">
        <f>IF(E61,M62,"")</f>
        <v>16</v>
      </c>
      <c r="O62" s="73">
        <f t="shared" si="27"/>
        <v>16</v>
      </c>
      <c r="P62" s="71">
        <f t="shared" si="25"/>
        <v>16</v>
      </c>
      <c r="Q62" s="61"/>
      <c r="R62" s="87">
        <f>IF(LEN(P62)&gt;0,INDEX($F$46:$F$87,$P62),"")</f>
        <v>360</v>
      </c>
      <c r="S62" s="86">
        <f>IF(LEN(P62)&gt;0,INDEX($L$46:$L$87,$P62),"")</f>
        <v>-0.19375000000000001</v>
      </c>
      <c r="U62" s="65" t="e">
        <v>#N/A</v>
      </c>
      <c r="V62" s="64" t="e">
        <v>#N/A</v>
      </c>
      <c r="X62" s="74"/>
      <c r="Y62" s="73" t="e">
        <f>$Y$29*_xll.RtGet($AC$32,$AC$33&amp;$X62&amp;$AC$34,Y$30)</f>
        <v>#VALUE!</v>
      </c>
      <c r="Z62" s="71" t="e">
        <f>$Y$29*_xll.RtGet($AC$32,$AC$33&amp;$X62&amp;$AC$34,Z$30)</f>
        <v>#VALUE!</v>
      </c>
      <c r="AF62" s="225">
        <v>120</v>
      </c>
      <c r="AG62" s="235">
        <v>0.7710734421057428</v>
      </c>
      <c r="AH62" s="222">
        <v>0.77107515014598393</v>
      </c>
      <c r="AI62" s="229">
        <f t="shared" si="20"/>
        <v>1.7080402411329132E-6</v>
      </c>
      <c r="AK62" s="253">
        <v>0.77107573492925607</v>
      </c>
      <c r="AL62" s="254">
        <v>0.77107515014598316</v>
      </c>
      <c r="AO62" s="207">
        <v>0.843548368339884</v>
      </c>
      <c r="AP62" s="207">
        <v>0.84354836833975499</v>
      </c>
      <c r="AQ62" s="207">
        <v>0.84354836833975499</v>
      </c>
      <c r="AR62" s="207">
        <v>0.84354836833975499</v>
      </c>
      <c r="AS62" s="206">
        <f t="shared" si="21"/>
        <v>0</v>
      </c>
      <c r="AT62" s="59">
        <v>0.84354836833975599</v>
      </c>
      <c r="AU62" s="206">
        <f t="shared" si="22"/>
        <v>9.9920072216264089E-16</v>
      </c>
    </row>
    <row r="63" spans="1:47" ht="11.25" customHeight="1" x14ac:dyDescent="0.2">
      <c r="B63" s="78" t="str">
        <f>IF(ISBLANK(C33),"","CCSDomFreq")</f>
        <v/>
      </c>
      <c r="C63" s="85">
        <f>C33</f>
        <v>0</v>
      </c>
      <c r="E63" s="91" t="b">
        <f t="shared" si="23"/>
        <v>1</v>
      </c>
      <c r="F63" s="155">
        <v>600</v>
      </c>
      <c r="G63" s="61"/>
      <c r="H63" s="61"/>
      <c r="I63" s="90">
        <f>IF($C$19,#REF!,AE48)</f>
        <v>0</v>
      </c>
      <c r="J63" s="197">
        <v>-0.24</v>
      </c>
      <c r="K63" s="89"/>
      <c r="L63" s="88">
        <f t="shared" si="24"/>
        <v>-0.24</v>
      </c>
      <c r="M63" s="73">
        <f t="shared" si="26"/>
        <v>17</v>
      </c>
      <c r="N63" s="71">
        <f>IF(E62,M63,"")</f>
        <v>17</v>
      </c>
      <c r="O63" s="73">
        <f t="shared" si="27"/>
        <v>17</v>
      </c>
      <c r="P63" s="71">
        <f t="shared" si="25"/>
        <v>17</v>
      </c>
      <c r="Q63" s="61"/>
      <c r="R63" s="87">
        <f>IF(LEN(P63)&gt;0,INDEX($F$46:$F$87,$P63),"")</f>
        <v>480</v>
      </c>
      <c r="S63" s="86">
        <f>IF(LEN(P63)&gt;0,INDEX($L$46:$L$87,$P63),"")</f>
        <v>-0.21249999999999999</v>
      </c>
      <c r="U63" s="65" t="e">
        <v>#N/A</v>
      </c>
      <c r="V63" s="64" t="e">
        <v>#N/A</v>
      </c>
      <c r="X63" s="74"/>
      <c r="Y63" s="73" t="e">
        <f>$Y$29*_xll.RtGet($AC$32,$AC$33&amp;$X63&amp;$AC$34,Y$30)</f>
        <v>#VALUE!</v>
      </c>
      <c r="Z63" s="71" t="e">
        <f>$Y$29*_xll.RtGet($AC$32,$AC$33&amp;$X63&amp;$AC$34,Z$30)</f>
        <v>#VALUE!</v>
      </c>
      <c r="AF63" s="225">
        <v>144</v>
      </c>
      <c r="AG63" s="235">
        <v>0.72526889465398015</v>
      </c>
      <c r="AH63" s="222">
        <v>0.72527657650027955</v>
      </c>
      <c r="AI63" s="229">
        <f t="shared" si="20"/>
        <v>7.6818462994010517E-6</v>
      </c>
      <c r="AK63" s="253">
        <v>0.72527105086393773</v>
      </c>
      <c r="AL63" s="254">
        <v>0.72527657650027877</v>
      </c>
      <c r="AO63" s="207">
        <v>0.81939929887595397</v>
      </c>
      <c r="AP63" s="207">
        <v>0.81939929887582896</v>
      </c>
      <c r="AQ63" s="207">
        <v>0.81939929887582896</v>
      </c>
      <c r="AR63" s="207">
        <v>0.81939929887582896</v>
      </c>
      <c r="AS63" s="206">
        <f t="shared" si="21"/>
        <v>0</v>
      </c>
      <c r="AT63" s="59">
        <v>0.81939929887583096</v>
      </c>
      <c r="AU63" s="206">
        <f t="shared" si="22"/>
        <v>1.9984014443252818E-15</v>
      </c>
    </row>
    <row r="64" spans="1:47" ht="11.25" customHeight="1" x14ac:dyDescent="0.2">
      <c r="B64" s="78" t="str">
        <f>IF(ISBLANK(C34),"","CCSDomYrf")</f>
        <v/>
      </c>
      <c r="C64" s="85">
        <f>IF(ISBLANK(C34),0,VLOOKUP(C34,dvCurveBootstrapperDayCount,2,FALSE))</f>
        <v>0</v>
      </c>
      <c r="E64" s="91" t="b">
        <v>0</v>
      </c>
      <c r="F64" s="155"/>
      <c r="G64" s="61"/>
      <c r="H64" s="61"/>
      <c r="I64" s="90">
        <f>IF($C$19,#REF!,AE49)</f>
        <v>0</v>
      </c>
      <c r="J64" s="197"/>
      <c r="K64" s="89"/>
      <c r="L64" s="88">
        <f t="shared" si="24"/>
        <v>0</v>
      </c>
      <c r="M64" s="73">
        <f t="shared" si="26"/>
        <v>18</v>
      </c>
      <c r="N64" s="71">
        <f>IF(E63,M64,"")</f>
        <v>18</v>
      </c>
      <c r="O64" s="73">
        <f t="shared" si="27"/>
        <v>18</v>
      </c>
      <c r="P64" s="71">
        <f t="shared" si="25"/>
        <v>18</v>
      </c>
      <c r="Q64" s="61"/>
      <c r="R64" s="87">
        <f>IF(LEN(P64)&gt;0,INDEX($F$46:$F$87,$P64),"")</f>
        <v>600</v>
      </c>
      <c r="S64" s="86">
        <f>IF(LEN(P64)&gt;0,INDEX($L$46:$L$87,$P64),"")</f>
        <v>-0.24</v>
      </c>
      <c r="U64" s="65" t="e">
        <v>#N/A</v>
      </c>
      <c r="V64" s="64" t="e">
        <v>#N/A</v>
      </c>
      <c r="X64" s="74"/>
      <c r="Y64" s="73" t="e">
        <f>$Y$29*_xll.RtGet($AC$32,$AC$33&amp;$X64&amp;$AC$34,Y$30)</f>
        <v>#VALUE!</v>
      </c>
      <c r="Z64" s="71" t="e">
        <f>$Y$29*_xll.RtGet($AC$32,$AC$33&amp;$X64&amp;$AC$34,Z$30)</f>
        <v>#VALUE!</v>
      </c>
      <c r="AF64" s="225">
        <v>180</v>
      </c>
      <c r="AG64" s="235">
        <v>0.66416884466642034</v>
      </c>
      <c r="AH64" s="222">
        <v>0.66419159148489104</v>
      </c>
      <c r="AI64" s="229">
        <f t="shared" si="20"/>
        <v>2.2746818470698038E-5</v>
      </c>
      <c r="AK64" s="253">
        <v>0.66417081832919767</v>
      </c>
      <c r="AL64" s="254">
        <v>0.66419159148488993</v>
      </c>
      <c r="AO64" s="207">
        <v>0.79512107641834395</v>
      </c>
      <c r="AP64" s="207">
        <v>0.79512107641822105</v>
      </c>
      <c r="AQ64" s="207">
        <v>0.79512107641822105</v>
      </c>
      <c r="AR64" s="207">
        <v>0.79512107641822105</v>
      </c>
      <c r="AS64" s="206">
        <f t="shared" si="21"/>
        <v>0</v>
      </c>
      <c r="AT64" s="59">
        <v>0.79512107641822405</v>
      </c>
      <c r="AU64" s="206">
        <f t="shared" si="22"/>
        <v>2.9976021664879227E-15</v>
      </c>
    </row>
    <row r="65" spans="2:47" ht="11.25" customHeight="1" x14ac:dyDescent="0.2">
      <c r="B65" s="78" t="str">
        <f>IF(ISBLANK(C35),"","CCSDomMult")</f>
        <v/>
      </c>
      <c r="C65" s="85">
        <f>C35</f>
        <v>0</v>
      </c>
      <c r="E65" s="91" t="b">
        <v>0</v>
      </c>
      <c r="F65" s="155"/>
      <c r="G65" s="61"/>
      <c r="H65" s="61"/>
      <c r="I65" s="90">
        <f>IF($C$19,#REF!,AE50)</f>
        <v>0</v>
      </c>
      <c r="J65" s="197"/>
      <c r="K65" s="89"/>
      <c r="L65" s="88">
        <f t="shared" si="24"/>
        <v>0</v>
      </c>
      <c r="M65" s="73">
        <f t="shared" si="26"/>
        <v>19</v>
      </c>
      <c r="N65" s="71" t="str">
        <f>IF(E64,M65,"")</f>
        <v/>
      </c>
      <c r="O65" s="73" t="str">
        <f t="shared" si="27"/>
        <v/>
      </c>
      <c r="P65" s="71" t="str">
        <f t="shared" si="25"/>
        <v/>
      </c>
      <c r="Q65" s="61"/>
      <c r="R65" s="87" t="str">
        <f>IF(LEN(P65)&gt;0,INDEX($F$46:$F$87,$P65),"")</f>
        <v/>
      </c>
      <c r="S65" s="86" t="str">
        <f>IF(LEN(P65)&gt;0,INDEX($L$46:$L$87,$P65),"")</f>
        <v/>
      </c>
      <c r="U65" s="65" t="e">
        <v>#N/A</v>
      </c>
      <c r="V65" s="64" t="e">
        <v>#N/A</v>
      </c>
      <c r="X65" s="74"/>
      <c r="Y65" s="73" t="e">
        <f>$Y$29*_xll.RtGet($AC$32,$AC$33&amp;$X65&amp;$AC$34,Y$30)</f>
        <v>#VALUE!</v>
      </c>
      <c r="Z65" s="71" t="e">
        <f>$Y$29*_xll.RtGet($AC$32,$AC$33&amp;$X65&amp;$AC$34,Z$30)</f>
        <v>#VALUE!</v>
      </c>
      <c r="AF65" s="225">
        <v>240</v>
      </c>
      <c r="AG65" s="235">
        <v>0.57533751016189982</v>
      </c>
      <c r="AH65" s="222">
        <v>0.57540320538085676</v>
      </c>
      <c r="AI65" s="229">
        <f t="shared" si="20"/>
        <v>6.5695218956940415E-5</v>
      </c>
      <c r="AK65" s="253">
        <v>0.5753392177627068</v>
      </c>
      <c r="AL65" s="254">
        <v>0.57540320538085565</v>
      </c>
      <c r="AO65" s="207">
        <v>0.77107451690085904</v>
      </c>
      <c r="AP65" s="207">
        <v>0.77107451690073803</v>
      </c>
      <c r="AQ65" s="207">
        <v>0.77107451690073803</v>
      </c>
      <c r="AR65" s="207">
        <v>0.77107451690073803</v>
      </c>
      <c r="AS65" s="206">
        <f t="shared" si="21"/>
        <v>0</v>
      </c>
      <c r="AT65" s="59">
        <v>0.77107451690074302</v>
      </c>
      <c r="AU65" s="206">
        <f t="shared" si="22"/>
        <v>4.9960036108132044E-15</v>
      </c>
    </row>
    <row r="66" spans="2:47" ht="11.25" customHeight="1" x14ac:dyDescent="0.2">
      <c r="B66" s="78" t="str">
        <f>IF(ISBLANK(C36),"","CCSDom1stRate")</f>
        <v/>
      </c>
      <c r="C66" s="77">
        <f>C36</f>
        <v>0</v>
      </c>
      <c r="E66" s="91" t="b">
        <v>0</v>
      </c>
      <c r="F66" s="155"/>
      <c r="G66" s="61"/>
      <c r="H66" s="61"/>
      <c r="I66" s="90">
        <f>IF($C$19,#REF!,AE51)</f>
        <v>0</v>
      </c>
      <c r="J66" s="197"/>
      <c r="K66" s="89"/>
      <c r="L66" s="88">
        <f t="shared" si="24"/>
        <v>0</v>
      </c>
      <c r="M66" s="73">
        <f t="shared" si="26"/>
        <v>20</v>
      </c>
      <c r="N66" s="71" t="str">
        <f>IF(E65,M66,"")</f>
        <v/>
      </c>
      <c r="O66" s="73" t="str">
        <f t="shared" si="27"/>
        <v/>
      </c>
      <c r="P66" s="71" t="str">
        <f t="shared" si="25"/>
        <v/>
      </c>
      <c r="Q66" s="61"/>
      <c r="R66" s="87" t="str">
        <f>IF(LEN(P66)&gt;0,INDEX($F$46:$F$87,$P66),"")</f>
        <v/>
      </c>
      <c r="S66" s="86" t="str">
        <f>IF(LEN(P66)&gt;0,INDEX($L$46:$L$87,$P66),"")</f>
        <v/>
      </c>
      <c r="U66" s="65" t="e">
        <v>#N/A</v>
      </c>
      <c r="V66" s="64" t="e">
        <v>#N/A</v>
      </c>
      <c r="X66" s="74"/>
      <c r="Y66" s="73" t="e">
        <f>$Y$29*_xll.RtGet($AC$32,$AC$33&amp;$X66&amp;$AC$34,Y$30)</f>
        <v>#VALUE!</v>
      </c>
      <c r="Z66" s="71" t="e">
        <f>$Y$29*_xll.RtGet($AC$32,$AC$33&amp;$X66&amp;$AC$34,Z$30)</f>
        <v>#VALUE!</v>
      </c>
      <c r="AF66" s="225">
        <v>300</v>
      </c>
      <c r="AG66" s="235">
        <v>0.50420959502471741</v>
      </c>
      <c r="AH66" s="222">
        <v>0.50428812769847664</v>
      </c>
      <c r="AI66" s="229">
        <f t="shared" si="20"/>
        <v>7.8532673759235117E-5</v>
      </c>
      <c r="AK66" s="253">
        <v>0.50421109055468083</v>
      </c>
      <c r="AL66" s="254">
        <v>0.50428812769847564</v>
      </c>
      <c r="AO66" s="207">
        <v>0.725275968200777</v>
      </c>
      <c r="AP66" s="207">
        <v>0.72527596820066698</v>
      </c>
      <c r="AQ66" s="207">
        <v>0.72527596820066698</v>
      </c>
      <c r="AR66" s="207">
        <v>0.72527596820066698</v>
      </c>
      <c r="AS66" s="206">
        <f t="shared" si="21"/>
        <v>0</v>
      </c>
      <c r="AT66" s="59">
        <v>0.72527596820066798</v>
      </c>
      <c r="AU66" s="206">
        <f t="shared" si="22"/>
        <v>9.9920072216264089E-16</v>
      </c>
    </row>
    <row r="67" spans="2:47" ht="11.25" customHeight="1" x14ac:dyDescent="0.2">
      <c r="B67" s="78" t="str">
        <f>IF(ISBLANK(C37),"","CCSForFreq")</f>
        <v/>
      </c>
      <c r="C67" s="85">
        <f>C37</f>
        <v>0</v>
      </c>
      <c r="E67" s="91" t="b">
        <v>0</v>
      </c>
      <c r="F67" s="155"/>
      <c r="G67" s="61"/>
      <c r="H67" s="61"/>
      <c r="I67" s="90">
        <f>IF($C$19,#REF!,AE52)</f>
        <v>0</v>
      </c>
      <c r="J67" s="197"/>
      <c r="K67" s="89"/>
      <c r="L67" s="88">
        <f t="shared" si="24"/>
        <v>0</v>
      </c>
      <c r="M67" s="73">
        <f t="shared" si="26"/>
        <v>21</v>
      </c>
      <c r="N67" s="71" t="str">
        <f>IF(E66,M67,"")</f>
        <v/>
      </c>
      <c r="O67" s="73" t="str">
        <f t="shared" si="27"/>
        <v/>
      </c>
      <c r="P67" s="71" t="str">
        <f t="shared" si="25"/>
        <v/>
      </c>
      <c r="Q67" s="61"/>
      <c r="R67" s="87" t="str">
        <f>IF(LEN(P67)&gt;0,INDEX($F$46:$F$87,$P67),"")</f>
        <v/>
      </c>
      <c r="S67" s="86" t="str">
        <f>IF(LEN(P67)&gt;0,INDEX($L$46:$L$87,$P67),"")</f>
        <v/>
      </c>
      <c r="U67" s="65" t="e">
        <v>#N/A</v>
      </c>
      <c r="V67" s="64" t="e">
        <v>#N/A</v>
      </c>
      <c r="X67" s="74"/>
      <c r="Y67" s="73" t="e">
        <f>$Y$29*_xll.RtGet($AC$32,$AC$33&amp;$X67&amp;$AC$34,Y$30)</f>
        <v>#VALUE!</v>
      </c>
      <c r="Z67" s="71" t="e">
        <f>$Y$29*_xll.RtGet($AC$32,$AC$33&amp;$X67&amp;$AC$34,Z$30)</f>
        <v>#VALUE!</v>
      </c>
      <c r="AF67" s="225">
        <v>360</v>
      </c>
      <c r="AG67" s="235">
        <v>0.44304320397141383</v>
      </c>
      <c r="AH67" s="222">
        <v>0.44311973972428786</v>
      </c>
      <c r="AI67" s="229">
        <f t="shared" si="20"/>
        <v>7.6535752874029583E-5</v>
      </c>
      <c r="AK67" s="253">
        <v>0.4430445175615782</v>
      </c>
      <c r="AL67" s="254">
        <v>0.44311973972428675</v>
      </c>
      <c r="AO67" s="207">
        <v>0.66419102596658897</v>
      </c>
      <c r="AP67" s="207">
        <v>0.66419102596648905</v>
      </c>
      <c r="AQ67" s="207">
        <v>0.66419102596648905</v>
      </c>
      <c r="AR67" s="207">
        <v>0.66419102596648905</v>
      </c>
      <c r="AS67" s="206">
        <f t="shared" si="21"/>
        <v>0</v>
      </c>
      <c r="AT67" s="59">
        <v>0.66419102596648905</v>
      </c>
      <c r="AU67" s="206">
        <f t="shared" si="22"/>
        <v>0</v>
      </c>
    </row>
    <row r="68" spans="2:47" ht="11.25" customHeight="1" x14ac:dyDescent="0.2">
      <c r="B68" s="78" t="str">
        <f>IF(ISBLANK(C38),"","CCSForYrf")</f>
        <v/>
      </c>
      <c r="C68" s="85">
        <f>IF(ISBLANK(C38),0,VLOOKUP(C38,dvCurveBootstrapperDayCount,2,FALSE))</f>
        <v>0</v>
      </c>
      <c r="E68" s="91" t="b">
        <f t="shared" si="23"/>
        <v>0</v>
      </c>
      <c r="F68" s="155"/>
      <c r="G68" s="61"/>
      <c r="H68" s="61"/>
      <c r="I68" s="90">
        <f>IF($C$19,#REF!,AE53)</f>
        <v>0</v>
      </c>
      <c r="J68" s="197"/>
      <c r="K68" s="89"/>
      <c r="L68" s="88">
        <f t="shared" si="24"/>
        <v>0</v>
      </c>
      <c r="M68" s="73">
        <f t="shared" si="26"/>
        <v>22</v>
      </c>
      <c r="N68" s="71" t="str">
        <f>IF(E67,M68,"")</f>
        <v/>
      </c>
      <c r="O68" s="73" t="str">
        <f t="shared" si="27"/>
        <v/>
      </c>
      <c r="P68" s="71" t="str">
        <f t="shared" si="25"/>
        <v/>
      </c>
      <c r="Q68" s="61"/>
      <c r="R68" s="87" t="str">
        <f>IF(LEN(P68)&gt;0,INDEX($F$46:$F$87,$P68),"")</f>
        <v/>
      </c>
      <c r="S68" s="86" t="str">
        <f>IF(LEN(P68)&gt;0,INDEX($L$46:$L$87,$P68),"")</f>
        <v/>
      </c>
      <c r="U68" s="65" t="e">
        <v>#N/A</v>
      </c>
      <c r="V68" s="64" t="e">
        <v>#N/A</v>
      </c>
      <c r="X68" s="74"/>
      <c r="Y68" s="73" t="e">
        <f>$Y$29*_xll.RtGet($AC$32,$AC$33&amp;$X68&amp;$AC$34,Y$30)</f>
        <v>#VALUE!</v>
      </c>
      <c r="Z68" s="71" t="e">
        <f>$Y$29*_xll.RtGet($AC$32,$AC$33&amp;$X68&amp;$AC$34,Z$30)</f>
        <v>#VALUE!</v>
      </c>
      <c r="AF68" s="225">
        <v>480</v>
      </c>
      <c r="AG68" s="235">
        <v>0.33554696876583007</v>
      </c>
      <c r="AH68" s="222">
        <v>0.33562357501162521</v>
      </c>
      <c r="AI68" s="229">
        <f t="shared" si="20"/>
        <v>7.6606245795141081E-5</v>
      </c>
      <c r="AK68" s="253">
        <v>0.33554796187043423</v>
      </c>
      <c r="AL68" s="254">
        <v>0.33562357501162449</v>
      </c>
      <c r="AO68" s="207">
        <v>0.57540255112073702</v>
      </c>
      <c r="AP68" s="207">
        <v>0.57540255112064997</v>
      </c>
      <c r="AQ68" s="207">
        <v>0.57540255112064997</v>
      </c>
      <c r="AR68" s="207">
        <v>0.57540255112064997</v>
      </c>
      <c r="AS68" s="206">
        <f t="shared" si="21"/>
        <v>0</v>
      </c>
      <c r="AT68" s="59">
        <v>0.57540255112065097</v>
      </c>
      <c r="AU68" s="206">
        <f t="shared" si="22"/>
        <v>9.9920072216264089E-16</v>
      </c>
    </row>
    <row r="69" spans="2:47" ht="11.25" customHeight="1" x14ac:dyDescent="0.2">
      <c r="B69" s="78" t="str">
        <f>IF(ISBLANK(C39),"","CCSForMult")</f>
        <v/>
      </c>
      <c r="C69" s="85">
        <f>C39</f>
        <v>0</v>
      </c>
      <c r="E69" s="91" t="b">
        <f t="shared" si="23"/>
        <v>0</v>
      </c>
      <c r="F69" s="155"/>
      <c r="G69" s="61"/>
      <c r="H69" s="61"/>
      <c r="I69" s="90">
        <f>IF($C$19,#REF!,AE54)</f>
        <v>0</v>
      </c>
      <c r="J69" s="197"/>
      <c r="K69" s="89"/>
      <c r="L69" s="88">
        <f t="shared" si="24"/>
        <v>0</v>
      </c>
      <c r="M69" s="73">
        <f t="shared" si="26"/>
        <v>23</v>
      </c>
      <c r="N69" s="71" t="str">
        <f>IF(E68,M69,"")</f>
        <v/>
      </c>
      <c r="O69" s="73" t="str">
        <f t="shared" si="27"/>
        <v/>
      </c>
      <c r="P69" s="71" t="str">
        <f t="shared" si="25"/>
        <v/>
      </c>
      <c r="Q69" s="61"/>
      <c r="R69" s="87" t="str">
        <f>IF(LEN(P69)&gt;0,INDEX($F$46:$F$87,$P69),"")</f>
        <v/>
      </c>
      <c r="S69" s="86" t="str">
        <f>IF(LEN(P69)&gt;0,INDEX($L$46:$L$87,$P69),"")</f>
        <v/>
      </c>
      <c r="U69" s="65" t="e">
        <v>#N/A</v>
      </c>
      <c r="V69" s="64" t="e">
        <v>#N/A</v>
      </c>
      <c r="X69" s="74"/>
      <c r="Y69" s="73" t="e">
        <f>$Y$29*_xll.RtGet($AC$32,$AC$33&amp;$X69&amp;$AC$34,Y$30)</f>
        <v>#VALUE!</v>
      </c>
      <c r="Z69" s="71" t="e">
        <f>$Y$29*_xll.RtGet($AC$32,$AC$33&amp;$X69&amp;$AC$34,Z$30)</f>
        <v>#VALUE!</v>
      </c>
      <c r="AF69" s="226">
        <v>600</v>
      </c>
      <c r="AG69" s="236">
        <v>0.25464972724674101</v>
      </c>
      <c r="AH69" s="223">
        <v>0.25470801194818377</v>
      </c>
      <c r="AI69" s="230">
        <f t="shared" si="20"/>
        <v>5.828470144275677E-5</v>
      </c>
      <c r="AK69" s="255">
        <v>0.25465048034023785</v>
      </c>
      <c r="AL69" s="256">
        <v>0.25470801194818338</v>
      </c>
      <c r="AO69" s="207">
        <v>0.504287480269899</v>
      </c>
      <c r="AP69" s="207">
        <v>0.50428748026982395</v>
      </c>
      <c r="AQ69" s="207">
        <v>0.50428748026982395</v>
      </c>
      <c r="AR69" s="207">
        <v>0.50428748026982395</v>
      </c>
      <c r="AS69" s="206">
        <f t="shared" si="21"/>
        <v>0</v>
      </c>
      <c r="AT69" s="59">
        <v>0.50428748026982395</v>
      </c>
      <c r="AU69" s="206">
        <f t="shared" si="22"/>
        <v>0</v>
      </c>
    </row>
    <row r="70" spans="2:47" ht="11.25" customHeight="1" x14ac:dyDescent="0.2">
      <c r="B70" s="78" t="str">
        <f>IF(ISBLANK(C40),"","CCSFor1stRate")</f>
        <v/>
      </c>
      <c r="C70" s="77">
        <f>C40</f>
        <v>0</v>
      </c>
      <c r="E70" s="91" t="b">
        <f t="shared" si="23"/>
        <v>0</v>
      </c>
      <c r="F70" s="155"/>
      <c r="G70" s="61"/>
      <c r="H70" s="61"/>
      <c r="I70" s="90">
        <f>IF($C$19,#REF!,AE55)</f>
        <v>0</v>
      </c>
      <c r="J70" s="197"/>
      <c r="K70" s="89"/>
      <c r="L70" s="88">
        <f t="shared" si="24"/>
        <v>0</v>
      </c>
      <c r="M70" s="73">
        <f t="shared" si="26"/>
        <v>24</v>
      </c>
      <c r="N70" s="71" t="str">
        <f>IF(E69,M70,"")</f>
        <v/>
      </c>
      <c r="O70" s="73" t="str">
        <f t="shared" si="27"/>
        <v/>
      </c>
      <c r="P70" s="71" t="str">
        <f t="shared" si="25"/>
        <v/>
      </c>
      <c r="Q70" s="61"/>
      <c r="R70" s="87" t="str">
        <f>IF(LEN(P70)&gt;0,INDEX($F$46:$F$87,$P70),"")</f>
        <v/>
      </c>
      <c r="S70" s="86" t="str">
        <f>IF(LEN(P70)&gt;0,INDEX($L$46:$L$87,$P70),"")</f>
        <v/>
      </c>
      <c r="U70" s="65" t="e">
        <v>#N/A</v>
      </c>
      <c r="V70" s="64" t="e">
        <v>#N/A</v>
      </c>
      <c r="X70" s="74"/>
      <c r="Y70" s="73" t="e">
        <f>$Y$29*_xll.RtGet($AC$32,$AC$33&amp;$X70&amp;$AC$34,Y$30)</f>
        <v>#VALUE!</v>
      </c>
      <c r="Z70" s="71" t="e">
        <f>$Y$29*_xll.RtGet($AC$32,$AC$33&amp;$X70&amp;$AC$34,Z$30)</f>
        <v>#VALUE!</v>
      </c>
      <c r="AO70" s="207">
        <v>0.44311909753178302</v>
      </c>
      <c r="AP70" s="207">
        <v>0.44311909753171602</v>
      </c>
      <c r="AQ70" s="207">
        <v>0.44311909753171602</v>
      </c>
      <c r="AR70" s="207">
        <v>0.44311909753171602</v>
      </c>
      <c r="AS70" s="206">
        <f t="shared" si="21"/>
        <v>0</v>
      </c>
      <c r="AT70" s="59">
        <v>0.44311909753171602</v>
      </c>
      <c r="AU70" s="206">
        <f t="shared" si="22"/>
        <v>0</v>
      </c>
    </row>
    <row r="71" spans="2:47" ht="11.25" customHeight="1" x14ac:dyDescent="0.2">
      <c r="B71" s="76" t="str">
        <f>IF(ISBLANK(C41),"","OutputType")</f>
        <v>OutputType</v>
      </c>
      <c r="C71" s="75">
        <f>IF(ISBLANK(C41),0,VLOOKUP(C41,dvCurveBootstrapperOutputType,2,FALSE))</f>
        <v>0</v>
      </c>
      <c r="E71" s="91" t="b">
        <f t="shared" si="23"/>
        <v>0</v>
      </c>
      <c r="F71" s="155"/>
      <c r="G71" s="61"/>
      <c r="H71" s="61"/>
      <c r="I71" s="90">
        <f>IF($C$19,#REF!,AE56)</f>
        <v>0</v>
      </c>
      <c r="J71" s="197"/>
      <c r="K71" s="89"/>
      <c r="L71" s="88">
        <f t="shared" si="24"/>
        <v>0</v>
      </c>
      <c r="M71" s="73">
        <f t="shared" si="26"/>
        <v>25</v>
      </c>
      <c r="N71" s="71" t="str">
        <f>IF(E70,M71,"")</f>
        <v/>
      </c>
      <c r="O71" s="73" t="str">
        <f t="shared" si="27"/>
        <v/>
      </c>
      <c r="P71" s="71" t="str">
        <f t="shared" si="25"/>
        <v/>
      </c>
      <c r="Q71" s="61"/>
      <c r="R71" s="87" t="str">
        <f>IF(LEN(P71)&gt;0,INDEX($F$46:$F$87,$P71),"")</f>
        <v/>
      </c>
      <c r="S71" s="86" t="str">
        <f>IF(LEN(P71)&gt;0,INDEX($L$46:$L$87,$P71),"")</f>
        <v/>
      </c>
      <c r="U71" s="65" t="e">
        <v>#N/A</v>
      </c>
      <c r="V71" s="64" t="e">
        <v>#N/A</v>
      </c>
      <c r="X71" s="74"/>
      <c r="Y71" s="73" t="e">
        <f>$Y$29*_xll.RtGet($AC$32,$AC$33&amp;$X71&amp;$AC$34,Y$30)</f>
        <v>#VALUE!</v>
      </c>
      <c r="Z71" s="71" t="e">
        <f>$Y$29*_xll.RtGet($AC$32,$AC$33&amp;$X71&amp;$AC$34,Z$30)</f>
        <v>#VALUE!</v>
      </c>
      <c r="AO71" s="207">
        <v>0.33562309660971801</v>
      </c>
      <c r="AP71" s="207">
        <v>0.33562309660966699</v>
      </c>
      <c r="AQ71" s="207">
        <v>0.33562309660966699</v>
      </c>
      <c r="AR71" s="207">
        <v>0.33562309660966699</v>
      </c>
      <c r="AS71" s="206">
        <f t="shared" si="21"/>
        <v>0</v>
      </c>
      <c r="AT71" s="59">
        <v>0.33562309660966699</v>
      </c>
      <c r="AU71" s="206">
        <f t="shared" si="22"/>
        <v>0</v>
      </c>
    </row>
    <row r="72" spans="2:47" ht="11.25" customHeight="1" x14ac:dyDescent="0.2">
      <c r="B72" s="188" t="s">
        <v>178</v>
      </c>
      <c r="C72" s="188" t="b">
        <v>0</v>
      </c>
      <c r="E72" s="91" t="b">
        <f t="shared" si="23"/>
        <v>0</v>
      </c>
      <c r="F72" s="155"/>
      <c r="G72" s="61"/>
      <c r="H72" s="61"/>
      <c r="I72" s="90">
        <f>IF($C$19,#REF!,AE57)</f>
        <v>0</v>
      </c>
      <c r="J72" s="197"/>
      <c r="K72" s="89"/>
      <c r="L72" s="88">
        <f t="shared" si="24"/>
        <v>0</v>
      </c>
      <c r="M72" s="73">
        <f t="shared" si="26"/>
        <v>26</v>
      </c>
      <c r="N72" s="71" t="str">
        <f>IF(E71,M72,"")</f>
        <v/>
      </c>
      <c r="O72" s="73" t="str">
        <f t="shared" si="27"/>
        <v/>
      </c>
      <c r="P72" s="71" t="str">
        <f t="shared" si="25"/>
        <v/>
      </c>
      <c r="Q72" s="61"/>
      <c r="R72" s="87" t="str">
        <f>IF(LEN(P72)&gt;0,INDEX($F$46:$F$87,$P72),"")</f>
        <v/>
      </c>
      <c r="S72" s="86" t="str">
        <f>IF(LEN(P72)&gt;0,INDEX($L$46:$L$87,$P72),"")</f>
        <v/>
      </c>
      <c r="U72" s="65" t="e">
        <v>#N/A</v>
      </c>
      <c r="V72" s="64" t="e">
        <v>#N/A</v>
      </c>
      <c r="X72" s="70"/>
      <c r="Y72" s="68" t="e">
        <f>$Y$29*_xll.RtGet($AC$32,$AC$33&amp;$X72&amp;$AC$34,Y$30)</f>
        <v>#VALUE!</v>
      </c>
      <c r="Z72" s="69" t="e">
        <f>$Y$29*_xll.RtGet($AC$32,$AC$33&amp;$X72&amp;$AC$34,Z$30)</f>
        <v>#VALUE!</v>
      </c>
      <c r="AO72" s="207">
        <v>0.25470759171566698</v>
      </c>
      <c r="AP72" s="207">
        <v>0.25470759171562801</v>
      </c>
      <c r="AQ72" s="207">
        <v>0.25470759171562801</v>
      </c>
      <c r="AR72" s="207">
        <v>0.25470759171562801</v>
      </c>
      <c r="AS72" s="206">
        <f t="shared" si="21"/>
        <v>0</v>
      </c>
      <c r="AT72" s="59">
        <v>0.25470759171562801</v>
      </c>
      <c r="AU72" s="206">
        <f t="shared" si="22"/>
        <v>0</v>
      </c>
    </row>
    <row r="73" spans="2:47" ht="11.25" customHeight="1" x14ac:dyDescent="0.2">
      <c r="E73" s="91" t="b">
        <f t="shared" si="23"/>
        <v>0</v>
      </c>
      <c r="F73" s="155"/>
      <c r="G73" s="61"/>
      <c r="H73" s="61"/>
      <c r="I73" s="90">
        <f>IF($C$19,#REF!,AE58)</f>
        <v>0</v>
      </c>
      <c r="J73" s="197"/>
      <c r="K73" s="89"/>
      <c r="L73" s="88">
        <f t="shared" si="24"/>
        <v>0</v>
      </c>
      <c r="M73" s="73">
        <f t="shared" si="26"/>
        <v>27</v>
      </c>
      <c r="N73" s="71" t="str">
        <f>IF(E72,M73,"")</f>
        <v/>
      </c>
      <c r="O73" s="73" t="str">
        <f t="shared" si="27"/>
        <v/>
      </c>
      <c r="P73" s="71" t="str">
        <f t="shared" si="25"/>
        <v/>
      </c>
      <c r="Q73" s="61"/>
      <c r="R73" s="87" t="str">
        <f>IF(LEN(P73)&gt;0,INDEX($F$46:$F$87,$P73),"")</f>
        <v/>
      </c>
      <c r="S73" s="86" t="str">
        <f>IF(LEN(P73)&gt;0,INDEX($L$46:$L$87,$P73),"")</f>
        <v/>
      </c>
      <c r="U73" s="65" t="e">
        <v>#N/A</v>
      </c>
      <c r="V73" s="64" t="e">
        <v>#N/A</v>
      </c>
    </row>
    <row r="74" spans="2:47" ht="11.25" customHeight="1" x14ac:dyDescent="0.2">
      <c r="E74" s="91" t="b">
        <f t="shared" si="23"/>
        <v>0</v>
      </c>
      <c r="F74" s="155"/>
      <c r="G74" s="61"/>
      <c r="H74" s="61"/>
      <c r="I74" s="90">
        <f>IF($C$19,#REF!,AE59)</f>
        <v>0</v>
      </c>
      <c r="J74" s="197"/>
      <c r="K74" s="89"/>
      <c r="L74" s="88">
        <f t="shared" si="24"/>
        <v>0</v>
      </c>
      <c r="M74" s="73">
        <f t="shared" si="26"/>
        <v>28</v>
      </c>
      <c r="N74" s="71" t="str">
        <f>IF(E73,M74,"")</f>
        <v/>
      </c>
      <c r="O74" s="73" t="str">
        <f t="shared" si="27"/>
        <v/>
      </c>
      <c r="P74" s="71" t="str">
        <f t="shared" si="25"/>
        <v/>
      </c>
      <c r="Q74" s="61"/>
      <c r="R74" s="87" t="str">
        <f>IF(LEN(P74)&gt;0,INDEX($F$46:$F$87,$P74),"")</f>
        <v/>
      </c>
      <c r="S74" s="86" t="str">
        <f>IF(LEN(P74)&gt;0,INDEX($L$46:$L$87,$P74),"")</f>
        <v/>
      </c>
      <c r="U74" s="65" t="e">
        <v>#N/A</v>
      </c>
      <c r="V74" s="64" t="e">
        <v>#N/A</v>
      </c>
    </row>
    <row r="75" spans="2:47" ht="11.25" customHeight="1" x14ac:dyDescent="0.2">
      <c r="E75" s="91" t="b">
        <f t="shared" si="23"/>
        <v>0</v>
      </c>
      <c r="F75" s="155"/>
      <c r="G75" s="61"/>
      <c r="H75" s="61"/>
      <c r="I75" s="90">
        <f>IF($C$19,#REF!,AE60)</f>
        <v>0</v>
      </c>
      <c r="J75" s="197"/>
      <c r="K75" s="89"/>
      <c r="L75" s="88">
        <f t="shared" si="24"/>
        <v>0</v>
      </c>
      <c r="M75" s="73">
        <f t="shared" si="26"/>
        <v>29</v>
      </c>
      <c r="N75" s="71" t="str">
        <f>IF(E74,M75,"")</f>
        <v/>
      </c>
      <c r="O75" s="73" t="str">
        <f t="shared" si="27"/>
        <v/>
      </c>
      <c r="P75" s="71" t="str">
        <f t="shared" si="25"/>
        <v/>
      </c>
      <c r="Q75" s="61"/>
      <c r="R75" s="87" t="str">
        <f>IF(LEN(P75)&gt;0,INDEX($F$46:$F$87,$P75),"")</f>
        <v/>
      </c>
      <c r="S75" s="86" t="str">
        <f>IF(LEN(P75)&gt;0,INDEX($L$46:$L$87,$P75),"")</f>
        <v/>
      </c>
      <c r="U75" s="65" t="e">
        <v>#N/A</v>
      </c>
      <c r="V75" s="64" t="e">
        <v>#N/A</v>
      </c>
    </row>
    <row r="76" spans="2:47" ht="11.25" customHeight="1" x14ac:dyDescent="0.2">
      <c r="E76" s="91" t="b">
        <f t="shared" si="23"/>
        <v>0</v>
      </c>
      <c r="F76" s="155"/>
      <c r="G76" s="61"/>
      <c r="H76" s="61"/>
      <c r="I76" s="90">
        <f>IF($C$19,#REF!,AE61)</f>
        <v>0</v>
      </c>
      <c r="J76" s="197"/>
      <c r="K76" s="89"/>
      <c r="L76" s="88">
        <f t="shared" si="24"/>
        <v>0</v>
      </c>
      <c r="M76" s="73">
        <f t="shared" si="26"/>
        <v>30</v>
      </c>
      <c r="N76" s="71" t="str">
        <f>IF(E75,M76,"")</f>
        <v/>
      </c>
      <c r="O76" s="73" t="str">
        <f t="shared" si="27"/>
        <v/>
      </c>
      <c r="P76" s="71" t="str">
        <f t="shared" si="25"/>
        <v/>
      </c>
      <c r="Q76" s="61"/>
      <c r="R76" s="87" t="str">
        <f>IF(LEN(P76)&gt;0,INDEX($F$46:$F$87,$P76),"")</f>
        <v/>
      </c>
      <c r="S76" s="86" t="str">
        <f>IF(LEN(P76)&gt;0,INDEX($L$46:$L$87,$P76),"")</f>
        <v/>
      </c>
      <c r="U76" s="65" t="e">
        <v>#N/A</v>
      </c>
      <c r="V76" s="64" t="e">
        <v>#N/A</v>
      </c>
    </row>
    <row r="77" spans="2:47" ht="11.25" customHeight="1" x14ac:dyDescent="0.2">
      <c r="E77" s="91" t="b">
        <f t="shared" si="23"/>
        <v>0</v>
      </c>
      <c r="F77" s="155"/>
      <c r="G77" s="61"/>
      <c r="H77" s="61"/>
      <c r="I77" s="90">
        <f>IF($C$19,#REF!,AE62)</f>
        <v>0</v>
      </c>
      <c r="J77" s="197"/>
      <c r="K77" s="89"/>
      <c r="L77" s="88">
        <f t="shared" si="24"/>
        <v>0</v>
      </c>
      <c r="M77" s="73">
        <f t="shared" si="26"/>
        <v>31</v>
      </c>
      <c r="N77" s="71" t="str">
        <f>IF(E76,M77,"")</f>
        <v/>
      </c>
      <c r="O77" s="73" t="str">
        <f t="shared" si="27"/>
        <v/>
      </c>
      <c r="P77" s="71" t="str">
        <f t="shared" si="25"/>
        <v/>
      </c>
      <c r="Q77" s="61"/>
      <c r="R77" s="87" t="str">
        <f>IF(LEN(P77)&gt;0,INDEX($F$46:$F$87,$P77),"")</f>
        <v/>
      </c>
      <c r="S77" s="86" t="str">
        <f>IF(LEN(P77)&gt;0,INDEX($L$46:$L$87,$P77),"")</f>
        <v/>
      </c>
      <c r="U77" s="65" t="e">
        <v>#N/A</v>
      </c>
      <c r="V77" s="64" t="e">
        <v>#N/A</v>
      </c>
    </row>
    <row r="78" spans="2:47" ht="11.25" customHeight="1" x14ac:dyDescent="0.2">
      <c r="E78" s="91" t="b">
        <f t="shared" si="23"/>
        <v>0</v>
      </c>
      <c r="F78" s="155"/>
      <c r="G78" s="61"/>
      <c r="H78" s="61"/>
      <c r="I78" s="90">
        <f>IF($C$19,#REF!,AE63)</f>
        <v>0</v>
      </c>
      <c r="J78" s="197"/>
      <c r="K78" s="89"/>
      <c r="L78" s="88">
        <f t="shared" si="24"/>
        <v>0</v>
      </c>
      <c r="M78" s="73">
        <f t="shared" si="26"/>
        <v>32</v>
      </c>
      <c r="N78" s="71" t="str">
        <f>IF(E77,M78,"")</f>
        <v/>
      </c>
      <c r="O78" s="73" t="str">
        <f t="shared" si="27"/>
        <v/>
      </c>
      <c r="P78" s="71" t="str">
        <f t="shared" si="25"/>
        <v/>
      </c>
      <c r="Q78" s="61"/>
      <c r="R78" s="87" t="str">
        <f>IF(LEN(P78)&gt;0,INDEX($F$46:$F$87,$P78),"")</f>
        <v/>
      </c>
      <c r="S78" s="86" t="str">
        <f>IF(LEN(P78)&gt;0,INDEX($L$46:$L$87,$P78),"")</f>
        <v/>
      </c>
      <c r="U78" s="65" t="e">
        <v>#N/A</v>
      </c>
      <c r="V78" s="64" t="e">
        <v>#N/A</v>
      </c>
    </row>
    <row r="79" spans="2:47" ht="11.25" customHeight="1" x14ac:dyDescent="0.2">
      <c r="E79" s="91" t="b">
        <f t="shared" si="23"/>
        <v>0</v>
      </c>
      <c r="F79" s="155"/>
      <c r="G79" s="61"/>
      <c r="H79" s="61"/>
      <c r="I79" s="90">
        <f>IF($C$19,#REF!,AE64)</f>
        <v>0</v>
      </c>
      <c r="J79" s="197"/>
      <c r="K79" s="89"/>
      <c r="L79" s="88">
        <f t="shared" si="24"/>
        <v>0</v>
      </c>
      <c r="M79" s="73">
        <f t="shared" si="26"/>
        <v>33</v>
      </c>
      <c r="N79" s="71" t="str">
        <f>IF(E78,M79,"")</f>
        <v/>
      </c>
      <c r="O79" s="73" t="str">
        <f t="shared" si="27"/>
        <v/>
      </c>
      <c r="P79" s="71" t="str">
        <f t="shared" si="25"/>
        <v/>
      </c>
      <c r="Q79" s="61"/>
      <c r="R79" s="87" t="str">
        <f>IF(LEN(P79)&gt;0,INDEX($F$46:$F$87,$P79),"")</f>
        <v/>
      </c>
      <c r="S79" s="86" t="str">
        <f>IF(LEN(P79)&gt;0,INDEX($L$46:$L$87,$P79),"")</f>
        <v/>
      </c>
      <c r="U79" s="63" t="e">
        <v>#N/A</v>
      </c>
      <c r="V79" s="62" t="e">
        <v>#N/A</v>
      </c>
    </row>
    <row r="80" spans="2:47" ht="11.25" customHeight="1" x14ac:dyDescent="0.2">
      <c r="E80" s="91" t="b">
        <f t="shared" si="23"/>
        <v>0</v>
      </c>
      <c r="F80" s="155"/>
      <c r="G80" s="61"/>
      <c r="H80" s="61"/>
      <c r="I80" s="90">
        <f>IF($C$19,#REF!,AE65)</f>
        <v>0</v>
      </c>
      <c r="J80" s="197"/>
      <c r="K80" s="89"/>
      <c r="L80" s="88">
        <f t="shared" si="24"/>
        <v>0</v>
      </c>
      <c r="M80" s="73">
        <f t="shared" si="26"/>
        <v>34</v>
      </c>
      <c r="N80" s="71" t="str">
        <f>IF(E79,M80,"")</f>
        <v/>
      </c>
      <c r="O80" s="73" t="str">
        <f t="shared" si="27"/>
        <v/>
      </c>
      <c r="P80" s="71" t="str">
        <f t="shared" si="25"/>
        <v/>
      </c>
      <c r="Q80" s="61"/>
      <c r="R80" s="87" t="str">
        <f>IF(LEN(P80)&gt;0,INDEX($F$46:$F$87,$P80),"")</f>
        <v/>
      </c>
      <c r="S80" s="86" t="str">
        <f>IF(LEN(P80)&gt;0,INDEX($L$46:$L$87,$P80),"")</f>
        <v/>
      </c>
    </row>
    <row r="81" spans="5:19" ht="11.25" customHeight="1" x14ac:dyDescent="0.2">
      <c r="E81" s="91" t="b">
        <f t="shared" si="23"/>
        <v>0</v>
      </c>
      <c r="F81" s="155"/>
      <c r="G81" s="61"/>
      <c r="H81" s="61"/>
      <c r="I81" s="90">
        <f>IF($C$19,#REF!,AE66)</f>
        <v>0</v>
      </c>
      <c r="J81" s="197"/>
      <c r="K81" s="89"/>
      <c r="L81" s="88">
        <f t="shared" si="24"/>
        <v>0</v>
      </c>
      <c r="M81" s="73">
        <f t="shared" si="26"/>
        <v>35</v>
      </c>
      <c r="N81" s="71" t="str">
        <f>IF(E80,M81,"")</f>
        <v/>
      </c>
      <c r="O81" s="73" t="str">
        <f t="shared" si="27"/>
        <v/>
      </c>
      <c r="P81" s="71" t="str">
        <f t="shared" si="25"/>
        <v/>
      </c>
      <c r="Q81" s="61"/>
      <c r="R81" s="87" t="str">
        <f>IF(LEN(P81)&gt;0,INDEX($F$46:$F$87,$P81),"")</f>
        <v/>
      </c>
      <c r="S81" s="86" t="str">
        <f>IF(LEN(P81)&gt;0,INDEX($L$46:$L$87,$P81),"")</f>
        <v/>
      </c>
    </row>
    <row r="82" spans="5:19" ht="11.25" customHeight="1" x14ac:dyDescent="0.2">
      <c r="E82" s="91" t="b">
        <f t="shared" si="23"/>
        <v>0</v>
      </c>
      <c r="F82" s="155"/>
      <c r="G82" s="61"/>
      <c r="H82" s="61"/>
      <c r="I82" s="90">
        <f>IF($C$19,#REF!,AE67)</f>
        <v>0</v>
      </c>
      <c r="J82" s="197"/>
      <c r="K82" s="89"/>
      <c r="L82" s="88">
        <f t="shared" si="24"/>
        <v>0</v>
      </c>
      <c r="M82" s="73">
        <f t="shared" si="26"/>
        <v>36</v>
      </c>
      <c r="N82" s="71" t="str">
        <f>IF(E81,M82,"")</f>
        <v/>
      </c>
      <c r="O82" s="73" t="str">
        <f t="shared" si="27"/>
        <v/>
      </c>
      <c r="P82" s="71" t="str">
        <f t="shared" si="25"/>
        <v/>
      </c>
      <c r="Q82" s="61"/>
      <c r="R82" s="87" t="str">
        <f>IF(LEN(P82)&gt;0,INDEX($F$46:$F$87,$P82),"")</f>
        <v/>
      </c>
      <c r="S82" s="86" t="str">
        <f>IF(LEN(P82)&gt;0,INDEX($L$46:$L$87,$P82),"")</f>
        <v/>
      </c>
    </row>
    <row r="83" spans="5:19" ht="11.25" customHeight="1" x14ac:dyDescent="0.2">
      <c r="E83" s="91" t="b">
        <f t="shared" si="23"/>
        <v>0</v>
      </c>
      <c r="F83" s="155"/>
      <c r="G83" s="61"/>
      <c r="H83" s="61"/>
      <c r="I83" s="90">
        <f>IF($C$19,#REF!,AE68)</f>
        <v>0</v>
      </c>
      <c r="J83" s="197"/>
      <c r="K83" s="89"/>
      <c r="L83" s="88">
        <f t="shared" si="24"/>
        <v>0</v>
      </c>
      <c r="M83" s="73">
        <f t="shared" si="26"/>
        <v>37</v>
      </c>
      <c r="N83" s="71" t="str">
        <f>IF(E82,M83,"")</f>
        <v/>
      </c>
      <c r="O83" s="73" t="str">
        <f t="shared" si="27"/>
        <v/>
      </c>
      <c r="P83" s="71" t="str">
        <f t="shared" si="25"/>
        <v/>
      </c>
      <c r="Q83" s="61"/>
      <c r="R83" s="87" t="str">
        <f>IF(LEN(P83)&gt;0,INDEX($F$46:$F$87,$P83),"")</f>
        <v/>
      </c>
      <c r="S83" s="86" t="str">
        <f>IF(LEN(P83)&gt;0,INDEX($L$46:$L$87,$P83),"")</f>
        <v/>
      </c>
    </row>
    <row r="84" spans="5:19" ht="11.25" customHeight="1" x14ac:dyDescent="0.2">
      <c r="E84" s="91" t="b">
        <f t="shared" si="23"/>
        <v>0</v>
      </c>
      <c r="F84" s="155"/>
      <c r="G84" s="61"/>
      <c r="H84" s="61"/>
      <c r="I84" s="90">
        <f>IF($C$19,#REF!,AE69)</f>
        <v>0</v>
      </c>
      <c r="J84" s="197"/>
      <c r="K84" s="89"/>
      <c r="L84" s="88">
        <f t="shared" si="24"/>
        <v>0</v>
      </c>
      <c r="M84" s="73">
        <f t="shared" si="26"/>
        <v>38</v>
      </c>
      <c r="N84" s="71" t="str">
        <f>IF(E83,M84,"")</f>
        <v/>
      </c>
      <c r="O84" s="73" t="str">
        <f t="shared" si="27"/>
        <v/>
      </c>
      <c r="P84" s="71" t="str">
        <f t="shared" si="25"/>
        <v/>
      </c>
      <c r="Q84" s="61"/>
      <c r="R84" s="87" t="str">
        <f>IF(LEN(P84)&gt;0,INDEX($F$46:$F$87,$P84),"")</f>
        <v/>
      </c>
      <c r="S84" s="86" t="str">
        <f>IF(LEN(P84)&gt;0,INDEX($L$46:$L$87,$P84),"")</f>
        <v/>
      </c>
    </row>
    <row r="85" spans="5:19" ht="11.25" customHeight="1" x14ac:dyDescent="0.2">
      <c r="E85" s="91" t="b">
        <f t="shared" si="23"/>
        <v>0</v>
      </c>
      <c r="F85" s="155"/>
      <c r="G85" s="61"/>
      <c r="H85" s="61"/>
      <c r="I85" s="90">
        <f>IF($C$19,#REF!,AE70)</f>
        <v>0</v>
      </c>
      <c r="J85" s="197"/>
      <c r="K85" s="89"/>
      <c r="L85" s="88">
        <f t="shared" si="24"/>
        <v>0</v>
      </c>
      <c r="M85" s="73">
        <f t="shared" si="26"/>
        <v>39</v>
      </c>
      <c r="N85" s="71" t="str">
        <f>IF(E84,M85,"")</f>
        <v/>
      </c>
      <c r="O85" s="73" t="str">
        <f t="shared" si="27"/>
        <v/>
      </c>
      <c r="P85" s="71" t="str">
        <f t="shared" si="25"/>
        <v/>
      </c>
      <c r="Q85" s="61"/>
      <c r="R85" s="87" t="str">
        <f>IF(LEN(P85)&gt;0,INDEX($F$46:$F$87,$P85),"")</f>
        <v/>
      </c>
      <c r="S85" s="86" t="str">
        <f>IF(LEN(P85)&gt;0,INDEX($L$46:$L$87,$P85),"")</f>
        <v/>
      </c>
    </row>
    <row r="86" spans="5:19" ht="11.25" customHeight="1" x14ac:dyDescent="0.2">
      <c r="E86" s="91" t="b">
        <f t="shared" si="23"/>
        <v>0</v>
      </c>
      <c r="F86" s="155"/>
      <c r="G86" s="61"/>
      <c r="H86" s="61"/>
      <c r="I86" s="90">
        <f>IF($C$19,#REF!,AE71)</f>
        <v>0</v>
      </c>
      <c r="J86" s="197"/>
      <c r="K86" s="89"/>
      <c r="L86" s="88">
        <f t="shared" si="24"/>
        <v>0</v>
      </c>
      <c r="M86" s="73">
        <f t="shared" si="26"/>
        <v>40</v>
      </c>
      <c r="N86" s="71" t="str">
        <f>IF(E85,M86,"")</f>
        <v/>
      </c>
      <c r="O86" s="73" t="str">
        <f t="shared" si="27"/>
        <v/>
      </c>
      <c r="P86" s="71" t="str">
        <f t="shared" si="25"/>
        <v/>
      </c>
      <c r="Q86" s="61"/>
      <c r="R86" s="87" t="str">
        <f>IF(LEN(P86)&gt;0,INDEX($F$46:$F$87,$P86),"")</f>
        <v/>
      </c>
      <c r="S86" s="86" t="str">
        <f>IF(LEN(P86)&gt;0,INDEX($L$46:$L$87,$P86),"")</f>
        <v/>
      </c>
    </row>
    <row r="87" spans="5:19" ht="11.25" customHeight="1" x14ac:dyDescent="0.2">
      <c r="E87" s="84" t="b">
        <f t="shared" si="23"/>
        <v>0</v>
      </c>
      <c r="F87" s="154"/>
      <c r="I87" s="83">
        <f>IF($C$19,#REF!,AE72)</f>
        <v>0</v>
      </c>
      <c r="J87" s="195"/>
      <c r="K87" s="82"/>
      <c r="L87" s="81">
        <f t="shared" si="24"/>
        <v>0</v>
      </c>
      <c r="M87" s="73">
        <f t="shared" si="26"/>
        <v>41</v>
      </c>
      <c r="N87" s="71" t="str">
        <f>IF(E86,M87,"")</f>
        <v/>
      </c>
      <c r="O87" s="73" t="str">
        <f t="shared" si="27"/>
        <v/>
      </c>
      <c r="P87" s="71" t="str">
        <f t="shared" si="25"/>
        <v/>
      </c>
      <c r="Q87" s="61"/>
      <c r="R87" s="87" t="str">
        <f>IF(LEN(P87)&gt;0,INDEX($F$46:$F$87,$P87),"")</f>
        <v/>
      </c>
      <c r="S87" s="86" t="str">
        <f>IF(LEN(P87)&gt;0,INDEX($L$46:$L$87,$P87),"")</f>
        <v/>
      </c>
    </row>
    <row r="88" spans="5:19" ht="11.25" customHeight="1" x14ac:dyDescent="0.2">
      <c r="M88" s="68">
        <f t="shared" si="26"/>
        <v>42</v>
      </c>
      <c r="N88" s="69" t="str">
        <f>IF(E87,M88,"")</f>
        <v/>
      </c>
      <c r="O88" s="68" t="str">
        <f t="shared" si="27"/>
        <v/>
      </c>
      <c r="P88" s="69" t="str">
        <f t="shared" si="25"/>
        <v/>
      </c>
      <c r="R88" s="80" t="str">
        <f>IF(LEN(P88)&gt;0,INDEX($F$46:$F$87,$P88),"")</f>
        <v/>
      </c>
      <c r="S88" s="79" t="str">
        <f>IF(LEN(P88)&gt;0,INDEX($L$46:$L$87,$P88),"")</f>
        <v/>
      </c>
    </row>
    <row r="92" spans="5:19" ht="11.25" customHeight="1" x14ac:dyDescent="0.2">
      <c r="N92" s="60"/>
      <c r="O92" s="60"/>
    </row>
    <row r="93" spans="5:19" ht="11.25" customHeight="1" x14ac:dyDescent="0.2">
      <c r="N93" s="60"/>
      <c r="O93" s="60"/>
    </row>
    <row r="94" spans="5:19" ht="11.25" customHeight="1" x14ac:dyDescent="0.2">
      <c r="N94" s="60"/>
      <c r="O94" s="60"/>
    </row>
    <row r="95" spans="5:19" ht="11.25" customHeight="1" x14ac:dyDescent="0.2">
      <c r="N95" s="60"/>
      <c r="O95" s="60"/>
    </row>
    <row r="96" spans="5:19" ht="11.25" customHeight="1" x14ac:dyDescent="0.2">
      <c r="N96" s="60"/>
      <c r="O96" s="60"/>
    </row>
    <row r="97" spans="14:15" ht="11.25" customHeight="1" x14ac:dyDescent="0.2">
      <c r="N97" s="60"/>
      <c r="O97" s="60"/>
    </row>
  </sheetData>
  <sheetProtection formatCells="0" formatColumns="0" formatRows="0"/>
  <mergeCells count="4">
    <mergeCell ref="B2:C2"/>
    <mergeCell ref="B24:C24"/>
    <mergeCell ref="AG35:AI35"/>
    <mergeCell ref="AK35:AL35"/>
  </mergeCells>
  <conditionalFormatting sqref="E3 E46:E87 E6:E42">
    <cfRule type="cellIs" dxfId="7" priority="9" stopIfTrue="1" operator="equal">
      <formula>FALSE</formula>
    </cfRule>
  </conditionalFormatting>
  <conditionalFormatting sqref="I3:L3 I6:L42 I46:L87">
    <cfRule type="expression" dxfId="6" priority="4" stopIfTrue="1">
      <formula>NOT($E3)</formula>
    </cfRule>
  </conditionalFormatting>
  <conditionalFormatting sqref="L6:L42">
    <cfRule type="expression" dxfId="5" priority="5" stopIfTrue="1">
      <formula>ISNUMBER(J6)</formula>
    </cfRule>
    <cfRule type="expression" dxfId="4" priority="8" stopIfTrue="1">
      <formula>ISNUMBER(K6)</formula>
    </cfRule>
  </conditionalFormatting>
  <conditionalFormatting sqref="L3">
    <cfRule type="expression" dxfId="3" priority="3" stopIfTrue="1">
      <formula>ISNUMBER(J3)</formula>
    </cfRule>
    <cfRule type="expression" dxfId="2" priority="7" stopIfTrue="1">
      <formula>ISNUMBER(K3)</formula>
    </cfRule>
  </conditionalFormatting>
  <conditionalFormatting sqref="L46:L87">
    <cfRule type="expression" dxfId="1" priority="2" stopIfTrue="1">
      <formula>ISNUMBER(J46)</formula>
    </cfRule>
    <cfRule type="expression" dxfId="0" priority="6" stopIfTrue="1">
      <formula>ISNUMBER(K46)</formula>
    </cfRule>
  </conditionalFormatting>
  <dataValidations count="9">
    <dataValidation type="list" allowBlank="1" showInputMessage="1" showErrorMessage="1" sqref="C41">
      <formula1>INDEX(dvCurveBootstrapperOutputType,0,1)</formula1>
    </dataValidation>
    <dataValidation type="list" allowBlank="1" showInputMessage="1" showErrorMessage="1" sqref="C26">
      <formula1>dvCurveBootstrapperMatCons</formula1>
    </dataValidation>
    <dataValidation type="list" allowBlank="1" showInputMessage="1" showErrorMessage="1" sqref="C31">
      <formula1>INDEX(dvCurveBootstrapperSwapMatType,0,1)</formula1>
    </dataValidation>
    <dataValidation type="list" allowBlank="1" showInputMessage="1" showErrorMessage="1" sqref="E46:E87 E3 C19 E6:E42">
      <formula1>dvBool</formula1>
    </dataValidation>
    <dataValidation type="list" allowBlank="1" showInputMessage="1" showErrorMessage="1" sqref="C12">
      <formula1>dvCurveBootstrapperInterpType</formula1>
    </dataValidation>
    <dataValidation type="list" allowBlank="1" showInputMessage="1" showErrorMessage="1" sqref="C13">
      <formula1>dvCurveBootstrapperInterpOn</formula1>
    </dataValidation>
    <dataValidation type="list" allowBlank="1" showInputMessage="1" showErrorMessage="1" sqref="C14">
      <formula1>dvCurveBootstrapperCompounding</formula1>
    </dataValidation>
    <dataValidation type="list" allowBlank="1" showInputMessage="1" showErrorMessage="1" sqref="C15 C34 C38">
      <formula1>INDEX(dvCurveBootstrapperDayCount,0,1)</formula1>
    </dataValidation>
    <dataValidation type="list" allowBlank="1" showInputMessage="1" showErrorMessage="1" sqref="U1 C21">
      <formula1>"true,false"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0"/>
  <dimension ref="B2:H35"/>
  <sheetViews>
    <sheetView workbookViewId="0">
      <selection activeCell="E11" sqref="E11"/>
    </sheetView>
  </sheetViews>
  <sheetFormatPr defaultColWidth="9.33203125" defaultRowHeight="11.25" x14ac:dyDescent="0.2"/>
  <cols>
    <col min="1" max="1" width="3.83203125" style="15" customWidth="1"/>
    <col min="2" max="2" width="12.83203125" style="15" customWidth="1"/>
    <col min="3" max="3" width="9.33203125" style="15"/>
    <col min="4" max="4" width="3.83203125" style="15" customWidth="1"/>
    <col min="5" max="5" width="15.83203125" style="15" customWidth="1"/>
    <col min="6" max="7" width="3.83203125" style="15" customWidth="1"/>
    <col min="8" max="8" width="9.33203125" style="15"/>
    <col min="9" max="9" width="3.83203125" style="15" customWidth="1"/>
    <col min="10" max="16384" width="9.33203125" style="15"/>
  </cols>
  <sheetData>
    <row r="2" spans="2:8" x14ac:dyDescent="0.2">
      <c r="B2" s="292" t="s">
        <v>62</v>
      </c>
      <c r="C2" s="293"/>
      <c r="E2" s="18" t="s">
        <v>61</v>
      </c>
      <c r="H2" s="18" t="s">
        <v>60</v>
      </c>
    </row>
    <row r="3" spans="2:8" x14ac:dyDescent="0.2">
      <c r="B3" s="17" t="s">
        <v>59</v>
      </c>
      <c r="C3" s="17">
        <v>0</v>
      </c>
      <c r="E3" s="17" t="s">
        <v>58</v>
      </c>
      <c r="H3" s="17" t="b">
        <v>1</v>
      </c>
    </row>
    <row r="4" spans="2:8" x14ac:dyDescent="0.2">
      <c r="B4" s="19" t="s">
        <v>57</v>
      </c>
      <c r="C4" s="19">
        <v>1</v>
      </c>
      <c r="E4" s="19" t="s">
        <v>56</v>
      </c>
      <c r="H4" s="16" t="b">
        <v>0</v>
      </c>
    </row>
    <row r="5" spans="2:8" x14ac:dyDescent="0.2">
      <c r="B5" s="19" t="s">
        <v>55</v>
      </c>
      <c r="C5" s="19">
        <v>2</v>
      </c>
      <c r="E5" s="19" t="s">
        <v>11</v>
      </c>
    </row>
    <row r="6" spans="2:8" x14ac:dyDescent="0.2">
      <c r="B6" s="21" t="s">
        <v>54</v>
      </c>
      <c r="C6" s="19">
        <v>3</v>
      </c>
      <c r="E6" s="19" t="s">
        <v>53</v>
      </c>
    </row>
    <row r="7" spans="2:8" x14ac:dyDescent="0.2">
      <c r="B7" s="19" t="s">
        <v>52</v>
      </c>
      <c r="C7" s="19">
        <v>4</v>
      </c>
      <c r="E7" s="16" t="s">
        <v>51</v>
      </c>
    </row>
    <row r="8" spans="2:8" x14ac:dyDescent="0.2">
      <c r="B8" s="19" t="s">
        <v>50</v>
      </c>
      <c r="C8" s="19">
        <v>5</v>
      </c>
    </row>
    <row r="9" spans="2:8" x14ac:dyDescent="0.2">
      <c r="B9" s="19" t="s">
        <v>49</v>
      </c>
      <c r="C9" s="19">
        <v>6</v>
      </c>
      <c r="E9" s="18" t="s">
        <v>48</v>
      </c>
    </row>
    <row r="10" spans="2:8" x14ac:dyDescent="0.2">
      <c r="B10" s="19" t="s">
        <v>47</v>
      </c>
      <c r="C10" s="19">
        <v>7</v>
      </c>
      <c r="E10" s="217" t="s">
        <v>46</v>
      </c>
    </row>
    <row r="11" spans="2:8" x14ac:dyDescent="0.2">
      <c r="B11" s="19" t="s">
        <v>45</v>
      </c>
      <c r="C11" s="19">
        <v>8</v>
      </c>
      <c r="E11" s="215" t="s">
        <v>12</v>
      </c>
    </row>
    <row r="12" spans="2:8" x14ac:dyDescent="0.2">
      <c r="B12" s="16" t="s">
        <v>44</v>
      </c>
      <c r="C12" s="16">
        <v>9</v>
      </c>
      <c r="E12" s="215" t="s">
        <v>43</v>
      </c>
    </row>
    <row r="13" spans="2:8" x14ac:dyDescent="0.2">
      <c r="E13" s="215" t="s">
        <v>221</v>
      </c>
    </row>
    <row r="14" spans="2:8" x14ac:dyDescent="0.2">
      <c r="B14" s="292" t="s">
        <v>42</v>
      </c>
      <c r="C14" s="293"/>
      <c r="E14" s="215" t="s">
        <v>222</v>
      </c>
    </row>
    <row r="15" spans="2:8" x14ac:dyDescent="0.2">
      <c r="B15" s="17" t="s">
        <v>40</v>
      </c>
      <c r="C15" s="17">
        <v>0</v>
      </c>
      <c r="E15" s="216" t="s">
        <v>223</v>
      </c>
    </row>
    <row r="16" spans="2:8" x14ac:dyDescent="0.2">
      <c r="B16" s="19" t="s">
        <v>39</v>
      </c>
      <c r="C16" s="19">
        <v>1</v>
      </c>
    </row>
    <row r="17" spans="2:5" x14ac:dyDescent="0.2">
      <c r="B17" s="19" t="s">
        <v>37</v>
      </c>
      <c r="C17" s="19">
        <v>2</v>
      </c>
    </row>
    <row r="18" spans="2:5" x14ac:dyDescent="0.2">
      <c r="B18" s="16" t="s">
        <v>35</v>
      </c>
      <c r="C18" s="16">
        <v>3</v>
      </c>
    </row>
    <row r="19" spans="2:5" x14ac:dyDescent="0.2">
      <c r="E19" s="18" t="s">
        <v>41</v>
      </c>
    </row>
    <row r="20" spans="2:5" x14ac:dyDescent="0.2">
      <c r="B20" s="292" t="s">
        <v>33</v>
      </c>
      <c r="C20" s="293"/>
      <c r="E20" s="17" t="s">
        <v>13</v>
      </c>
    </row>
    <row r="21" spans="2:5" x14ac:dyDescent="0.2">
      <c r="B21" s="17" t="s">
        <v>31</v>
      </c>
      <c r="C21" s="17">
        <v>0</v>
      </c>
      <c r="E21" s="19" t="s">
        <v>38</v>
      </c>
    </row>
    <row r="22" spans="2:5" x14ac:dyDescent="0.2">
      <c r="B22" s="19" t="s">
        <v>29</v>
      </c>
      <c r="C22" s="19">
        <v>1</v>
      </c>
      <c r="E22" s="16" t="s">
        <v>36</v>
      </c>
    </row>
    <row r="23" spans="2:5" x14ac:dyDescent="0.2">
      <c r="B23" s="16" t="s">
        <v>27</v>
      </c>
      <c r="C23" s="16">
        <v>2</v>
      </c>
      <c r="E23" s="20"/>
    </row>
    <row r="24" spans="2:5" x14ac:dyDescent="0.2">
      <c r="E24" s="18" t="s">
        <v>34</v>
      </c>
    </row>
    <row r="25" spans="2:5" x14ac:dyDescent="0.2">
      <c r="B25" s="292" t="s">
        <v>25</v>
      </c>
      <c r="C25" s="293"/>
      <c r="E25" s="17" t="s">
        <v>32</v>
      </c>
    </row>
    <row r="26" spans="2:5" x14ac:dyDescent="0.2">
      <c r="B26" s="17" t="s">
        <v>15</v>
      </c>
      <c r="C26" s="17">
        <v>0</v>
      </c>
      <c r="E26" s="19" t="s">
        <v>30</v>
      </c>
    </row>
    <row r="27" spans="2:5" x14ac:dyDescent="0.2">
      <c r="B27" s="16" t="s">
        <v>22</v>
      </c>
      <c r="C27" s="16">
        <v>1</v>
      </c>
      <c r="E27" s="16" t="s">
        <v>28</v>
      </c>
    </row>
    <row r="29" spans="2:5" x14ac:dyDescent="0.2">
      <c r="B29" s="292" t="s">
        <v>144</v>
      </c>
      <c r="C29" s="293"/>
      <c r="E29" s="18" t="s">
        <v>26</v>
      </c>
    </row>
    <row r="30" spans="2:5" x14ac:dyDescent="0.2">
      <c r="B30" s="51" t="s">
        <v>38</v>
      </c>
      <c r="C30" s="54">
        <v>1</v>
      </c>
      <c r="E30" s="17" t="s">
        <v>24</v>
      </c>
    </row>
    <row r="31" spans="2:5" x14ac:dyDescent="0.2">
      <c r="B31" s="52" t="s">
        <v>141</v>
      </c>
      <c r="C31" s="55">
        <v>2</v>
      </c>
      <c r="E31" s="16" t="s">
        <v>23</v>
      </c>
    </row>
    <row r="32" spans="2:5" x14ac:dyDescent="0.2">
      <c r="B32" s="52" t="s">
        <v>142</v>
      </c>
      <c r="C32" s="55">
        <v>4</v>
      </c>
    </row>
    <row r="33" spans="2:5" x14ac:dyDescent="0.2">
      <c r="B33" s="53" t="s">
        <v>143</v>
      </c>
      <c r="C33" s="56">
        <v>12</v>
      </c>
      <c r="E33" s="18" t="s">
        <v>21</v>
      </c>
    </row>
    <row r="34" spans="2:5" x14ac:dyDescent="0.2">
      <c r="E34" s="17" t="s">
        <v>20</v>
      </c>
    </row>
    <row r="35" spans="2:5" x14ac:dyDescent="0.2">
      <c r="B35" s="188" t="s">
        <v>178</v>
      </c>
      <c r="C35" s="188" t="b">
        <v>1</v>
      </c>
      <c r="E35" s="16" t="s">
        <v>19</v>
      </c>
    </row>
  </sheetData>
  <dataConsolidate/>
  <mergeCells count="5">
    <mergeCell ref="B20:C20"/>
    <mergeCell ref="B25:C25"/>
    <mergeCell ref="B2:C2"/>
    <mergeCell ref="B14:C14"/>
    <mergeCell ref="B29:C29"/>
  </mergeCells>
  <pageMargins left="0.75" right="0.75" top="1" bottom="1" header="0.5" footer="0.5"/>
  <pageSetup paperSize="9" orientation="portrait" horizontalDpi="4294967294" vertic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30"/>
  <sheetViews>
    <sheetView workbookViewId="0">
      <selection activeCell="J31" sqref="J31"/>
    </sheetView>
  </sheetViews>
  <sheetFormatPr defaultRowHeight="11.25" x14ac:dyDescent="0.2"/>
  <sheetData>
    <row r="2" spans="1:16" x14ac:dyDescent="0.2">
      <c r="A2" t="s">
        <v>238</v>
      </c>
    </row>
    <row r="3" spans="1:16" x14ac:dyDescent="0.2">
      <c r="A3" t="s">
        <v>239</v>
      </c>
    </row>
    <row r="5" spans="1:16" x14ac:dyDescent="0.2">
      <c r="A5" t="s">
        <v>240</v>
      </c>
    </row>
    <row r="6" spans="1:16" x14ac:dyDescent="0.2">
      <c r="A6" t="s">
        <v>241</v>
      </c>
    </row>
    <row r="7" spans="1:16" x14ac:dyDescent="0.2">
      <c r="A7" t="s">
        <v>242</v>
      </c>
      <c r="E7" t="s">
        <v>243</v>
      </c>
    </row>
    <row r="11" spans="1:16" x14ac:dyDescent="0.2">
      <c r="B11" t="s">
        <v>11</v>
      </c>
      <c r="P11" t="s">
        <v>58</v>
      </c>
    </row>
    <row r="16" spans="1:16" x14ac:dyDescent="0.2">
      <c r="A16" t="s">
        <v>244</v>
      </c>
    </row>
    <row r="23" spans="1:1" x14ac:dyDescent="0.2">
      <c r="A23" t="s">
        <v>245</v>
      </c>
    </row>
    <row r="30" spans="1:1" x14ac:dyDescent="0.2">
      <c r="A30" t="s">
        <v>246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>
              <from>
                <xdr:col>4</xdr:col>
                <xdr:colOff>228600</xdr:colOff>
                <xdr:row>1</xdr:row>
                <xdr:rowOff>38100</xdr:rowOff>
              </from>
              <to>
                <xdr:col>12</xdr:col>
                <xdr:colOff>133350</xdr:colOff>
                <xdr:row>3</xdr:row>
                <xdr:rowOff>104775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Triggers</vt:lpstr>
      <vt:lpstr>EUR Curves</vt:lpstr>
      <vt:lpstr>USD Curves</vt:lpstr>
      <vt:lpstr>USDBASIS(CCS,EUROIS)</vt:lpstr>
      <vt:lpstr>dvCurveBootstrapperOptions</vt:lpstr>
      <vt:lpstr>Sheet1</vt:lpstr>
      <vt:lpstr>dvBool</vt:lpstr>
      <vt:lpstr>dvCurveBootstrapperCompounding</vt:lpstr>
      <vt:lpstr>dvCurveBootstrapperDayCount</vt:lpstr>
      <vt:lpstr>dvCurveBootstrapperFraFutAdjust</vt:lpstr>
      <vt:lpstr>dvCurveBootstrapperFutCons</vt:lpstr>
      <vt:lpstr>dvCurveBootstrapperFutEndDate</vt:lpstr>
      <vt:lpstr>dvCurveBootstrapperInterpOn</vt:lpstr>
      <vt:lpstr>dvCurveBootstrapperInterpType</vt:lpstr>
      <vt:lpstr>dvCurveBootstrapperMatCons</vt:lpstr>
      <vt:lpstr>dvCurveBootstrapperOutputType</vt:lpstr>
      <vt:lpstr>dvCurveBootstrapperSwapMatType</vt:lpstr>
      <vt:lpstr>dvSwapPaymFreq</vt:lpstr>
      <vt:lpstr>EvaluationDate</vt:lpstr>
      <vt:lpstr>'EUR Curves'!FinDBVerbose</vt:lpstr>
      <vt:lpstr>'USD Curves'!FinDBVerbose</vt:lpstr>
      <vt:lpstr>'USDBASIS(CCS,EUROIS)'!FXSpreads</vt:lpstr>
      <vt:lpstr>dvCurveBootstrapperOptions!IsBootstrapSheet</vt:lpstr>
      <vt:lpstr>'EUR Curves'!IsBootstrapSheet</vt:lpstr>
      <vt:lpstr>Triggers!IsBootstrapSheet</vt:lpstr>
      <vt:lpstr>'USD Curves'!IsBootstrapSheet</vt:lpstr>
      <vt:lpstr>'USDBASIS(CCS,EUROIS)'!IsBootstrapSheet</vt:lpstr>
      <vt:lpstr>ManualTrigger</vt:lpstr>
      <vt:lpstr>ObjectsTrigger</vt:lpstr>
      <vt:lpstr>'USDBASIS(CCS,EUROIS)'!Override</vt:lpstr>
      <vt:lpstr>'USDBASIS(CCS,EUROIS)'!RealTime</vt:lpstr>
      <vt:lpstr>Triggers!RTDataTrigger</vt:lpstr>
      <vt:lpstr>'EUR Curves'!trigger</vt:lpstr>
      <vt:lpstr>'USD Curves'!trigger</vt:lpstr>
      <vt:lpstr>'USDBASIS(CCS,EUROIS)'!Used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Targetti</dc:creator>
  <cp:lastModifiedBy>BERTOCCHI NICHOLAS</cp:lastModifiedBy>
  <dcterms:created xsi:type="dcterms:W3CDTF">2014-02-17T09:52:39Z</dcterms:created>
  <dcterms:modified xsi:type="dcterms:W3CDTF">2017-04-07T14:21:42Z</dcterms:modified>
</cp:coreProperties>
</file>