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45" windowWidth="6360" windowHeight="11580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bcdInterpolation12M">'Delta 12M'!$AC$3</definedName>
    <definedName name="AbcdInterpolation3M">'Delta 3M'!$AE$3</definedName>
    <definedName name="AbcdInterpolation6M">'Delta 6M '!$AC$3</definedName>
    <definedName name="AllTriggers">'General Settings'!$I$4:$I$8</definedName>
    <definedName name="B12Minterpolation">'Delta 12M'!$P$1</definedName>
    <definedName name="B3Minterpolation">'Delta 3M'!$P$1</definedName>
    <definedName name="B6Minterpolation">'Delta 6M '!$P$1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ndCriteria">'Delta 3M'!$AD$3</definedName>
    <definedName name="EvaluationDate">'General Settings'!$I$5</definedName>
    <definedName name="FixingDiff12M">'Delta 12M'!$Q$3</definedName>
    <definedName name="FixingDiff3M">'Delta 3M'!$Q$3</definedName>
    <definedName name="FixingDiff6M">'Delta 6M '!$Q$3</definedName>
    <definedName name="GENERAL_SETTINGS">'General Settings'!$B$2</definedName>
    <definedName name="iborindex1M">'General Settings'!$D$25</definedName>
    <definedName name="IborTenor1M">'General Settings'!$D$23</definedName>
    <definedName name="IborType">'General Settings'!$D$6</definedName>
    <definedName name="InterestRatesTrigger">'General Settings'!$I$6</definedName>
    <definedName name="interpolatedbasis3M">'Delta 3M'!$P$3</definedName>
    <definedName name="interpolatedbasis6M" localSheetId="9">'Delta 12M'!$P$3</definedName>
    <definedName name="interpolatedbasis6M">'Delta 6M '!$P$3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FixingsTrigger">'General Settings'!$I$7</definedName>
    <definedName name="LastUpdate">'General Settings'!$D$17</definedName>
    <definedName name="LevenbergMarquardt">'Delta 3M'!$AC$3</definedName>
    <definedName name="LiveDataFeed">'General Settings'!$D$18</definedName>
    <definedName name="Mode12M">'12MSynthDepo'!$D$13</definedName>
    <definedName name="Mode3M">'3MSynthDepo'!$D$13</definedName>
    <definedName name="Mode6M">'6MSynthDepo'!$D$13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PriceTickValue">'General Settings'!$D$15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Settings'!$D$13</definedName>
    <definedName name="Range12M">'12MSynthDepo'!$D$14</definedName>
    <definedName name="Range3M">'3MSynthDepo'!$D$14</definedName>
    <definedName name="Range6M">'6MSynthDepo'!$D$14</definedName>
    <definedName name="RateTickValue">'General Settings'!$D$14</definedName>
    <definedName name="SettlementDate">'General Settings'!$D$10</definedName>
    <definedName name="Simplex">'Delta 3M'!$AC$4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L3" i="33" l="1" a="1"/>
  <c r="B4" i="43" l="1"/>
  <c r="AC3" i="42"/>
  <c r="AD3" i="42"/>
  <c r="AC4" i="42"/>
  <c r="K9" i="45" l="1"/>
  <c r="K8" i="45"/>
  <c r="K7" i="45"/>
  <c r="K6" i="45"/>
  <c r="K5" i="45"/>
  <c r="K4" i="45"/>
  <c r="C5" i="42" l="1"/>
  <c r="D5" i="42" s="1"/>
  <c r="C6" i="42"/>
  <c r="D6" i="42" s="1"/>
  <c r="C7" i="42"/>
  <c r="D7" i="42" s="1"/>
  <c r="C8" i="42"/>
  <c r="D8" i="42" s="1"/>
  <c r="C9" i="42"/>
  <c r="D9" i="42" s="1"/>
  <c r="C10" i="42"/>
  <c r="D10" i="42" s="1"/>
  <c r="C11" i="42"/>
  <c r="D11" i="42" s="1"/>
  <c r="C12" i="42"/>
  <c r="D12" i="42" s="1"/>
  <c r="C13" i="42"/>
  <c r="D13" i="42" s="1"/>
  <c r="C14" i="42"/>
  <c r="D14" i="42" s="1"/>
  <c r="C15" i="42"/>
  <c r="D15" i="42" s="1"/>
  <c r="B7" i="51" l="1"/>
  <c r="C7" i="51" s="1"/>
  <c r="B6" i="51"/>
  <c r="B5" i="51"/>
  <c r="B4" i="51"/>
  <c r="C4" i="51" s="1"/>
  <c r="O15" i="51"/>
  <c r="C6" i="51"/>
  <c r="C5" i="51"/>
  <c r="Q4" i="51"/>
  <c r="Q3" i="51"/>
  <c r="A6" i="50"/>
  <c r="A7" i="50" s="1"/>
  <c r="A8" i="50" s="1"/>
  <c r="C8" i="50" s="1"/>
  <c r="C5" i="50"/>
  <c r="D5" i="50" s="1"/>
  <c r="C4" i="50"/>
  <c r="D4" i="50" s="1"/>
  <c r="I2" i="50"/>
  <c r="D2" i="50"/>
  <c r="I8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 s="1"/>
  <c r="C4" i="42" l="1"/>
  <c r="D4" i="42" s="1"/>
  <c r="O15" i="39" l="1"/>
  <c r="B5" i="39"/>
  <c r="B6" i="39"/>
  <c r="B7" i="39"/>
  <c r="B4" i="39"/>
  <c r="O15" i="43"/>
  <c r="B5" i="48"/>
  <c r="B6" i="48"/>
  <c r="B7" i="48"/>
  <c r="B4" i="48"/>
  <c r="J13" i="48"/>
  <c r="I2" i="40"/>
  <c r="D2" i="40"/>
  <c r="C5" i="40"/>
  <c r="C4" i="40"/>
  <c r="C3" i="40"/>
  <c r="I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1" i="29"/>
  <c r="L1" i="45"/>
  <c r="C5" i="48" l="1"/>
  <c r="C6" i="48"/>
  <c r="C7" i="48"/>
  <c r="C4" i="48"/>
  <c r="L4" i="48"/>
  <c r="L3" i="48"/>
  <c r="Q4" i="39"/>
  <c r="Q3" i="39"/>
  <c r="Q4" i="43"/>
  <c r="Q3" i="43"/>
  <c r="C4" i="39"/>
  <c r="R3" i="45" l="1"/>
  <c r="M1" i="45"/>
  <c r="L4" i="45"/>
  <c r="L5" i="45"/>
  <c r="L7" i="45"/>
  <c r="L9" i="45"/>
  <c r="L6" i="45"/>
  <c r="L8" i="45"/>
  <c r="C6" i="39" l="1"/>
  <c r="C7" i="39"/>
  <c r="C5" i="39"/>
  <c r="U6" i="45"/>
  <c r="P4" i="45"/>
  <c r="M6" i="45"/>
  <c r="M7" i="45"/>
  <c r="U4" i="45"/>
  <c r="U8" i="45"/>
  <c r="U9" i="45"/>
  <c r="P8" i="45"/>
  <c r="M9" i="45"/>
  <c r="T6" i="45"/>
  <c r="T5" i="45"/>
  <c r="U5" i="45"/>
  <c r="P9" i="45"/>
  <c r="T7" i="45"/>
  <c r="P5" i="45"/>
  <c r="M4" i="45"/>
  <c r="P6" i="45"/>
  <c r="T9" i="45"/>
  <c r="T8" i="45"/>
  <c r="U7" i="45"/>
  <c r="M8" i="45"/>
  <c r="T4" i="45"/>
  <c r="P7" i="45"/>
  <c r="M5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I5" i="29"/>
  <c r="C13" i="40" l="1"/>
  <c r="D13" i="40" s="1"/>
  <c r="A14" i="40"/>
  <c r="C14" i="40" l="1"/>
  <c r="D14" i="40" s="1"/>
  <c r="A15" i="40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2" i="33"/>
  <c r="D5" i="33"/>
  <c r="D15" i="33"/>
  <c r="D26" i="33"/>
  <c r="D35" i="33"/>
  <c r="D29" i="33"/>
  <c r="D39" i="33"/>
  <c r="D16" i="33"/>
  <c r="D18" i="33"/>
  <c r="D10" i="33"/>
  <c r="D40" i="33"/>
  <c r="D4" i="33"/>
  <c r="D14" i="33"/>
  <c r="D20" i="33"/>
  <c r="D19" i="33"/>
  <c r="D34" i="33"/>
  <c r="D37" i="33"/>
  <c r="D25" i="33"/>
  <c r="D30" i="33"/>
  <c r="D31" i="33"/>
  <c r="D38" i="33"/>
  <c r="D9" i="33"/>
  <c r="D10" i="29"/>
  <c r="F24" i="51"/>
  <c r="F19" i="39"/>
  <c r="B1" i="29"/>
  <c r="F19" i="43"/>
  <c r="D3" i="33"/>
  <c r="F27" i="51"/>
  <c r="D7" i="48"/>
  <c r="D17" i="33"/>
  <c r="D7" i="33"/>
  <c r="D5" i="51"/>
  <c r="D21" i="33"/>
  <c r="E17" i="48"/>
  <c r="E15" i="48"/>
  <c r="C16" i="42"/>
  <c r="D13" i="33"/>
  <c r="F31" i="51"/>
  <c r="F22" i="39"/>
  <c r="D8" i="33"/>
  <c r="D11" i="33"/>
  <c r="F20" i="43"/>
  <c r="D22" i="33"/>
  <c r="F22" i="43"/>
  <c r="F23" i="51"/>
  <c r="D7" i="51"/>
  <c r="F23" i="43"/>
  <c r="D36" i="33"/>
  <c r="F17" i="51"/>
  <c r="D23" i="33"/>
  <c r="D24" i="33"/>
  <c r="D33" i="33"/>
  <c r="D6" i="39"/>
  <c r="D6" i="33"/>
  <c r="D28" i="33"/>
  <c r="F17" i="39"/>
  <c r="F26" i="39"/>
  <c r="D27" i="33"/>
  <c r="D12" i="33"/>
  <c r="F22" i="51"/>
  <c r="F23" i="39"/>
  <c r="F20" i="39"/>
  <c r="F24" i="39"/>
  <c r="F29" i="51"/>
  <c r="F20" i="51"/>
  <c r="F17" i="43"/>
  <c r="D6" i="48"/>
  <c r="F21" i="39"/>
  <c r="F18" i="51"/>
  <c r="D7" i="39"/>
  <c r="E19" i="48"/>
  <c r="F25" i="51"/>
  <c r="F30" i="51"/>
  <c r="F18" i="39"/>
  <c r="F28" i="51"/>
  <c r="D5" i="48"/>
  <c r="F26" i="51"/>
  <c r="F19" i="51"/>
  <c r="F32" i="51"/>
  <c r="F21" i="51"/>
  <c r="F21" i="43"/>
  <c r="F18" i="43"/>
  <c r="D5" i="39"/>
  <c r="F25" i="39"/>
  <c r="D6" i="51"/>
  <c r="E16" i="48"/>
  <c r="E18" i="48"/>
  <c r="E5" i="51" l="1"/>
  <c r="E6" i="51"/>
  <c r="E6" i="39"/>
  <c r="E7" i="39"/>
  <c r="E7" i="51"/>
  <c r="E5" i="39"/>
  <c r="D32" i="51"/>
  <c r="D31" i="51"/>
  <c r="D28" i="51"/>
  <c r="D30" i="51"/>
  <c r="D29" i="51"/>
  <c r="D27" i="51"/>
  <c r="D26" i="51"/>
  <c r="D25" i="51"/>
  <c r="D24" i="51"/>
  <c r="D22" i="51"/>
  <c r="AG3" i="51"/>
  <c r="D18" i="51"/>
  <c r="D20" i="51"/>
  <c r="D17" i="51"/>
  <c r="D23" i="51"/>
  <c r="D21" i="51"/>
  <c r="D19" i="51"/>
  <c r="D4" i="51"/>
  <c r="E4" i="51" s="1"/>
  <c r="D3" i="50"/>
  <c r="D10" i="51"/>
  <c r="E3" i="50"/>
  <c r="F3" i="50" s="1"/>
  <c r="E3" i="40"/>
  <c r="F3" i="40" s="1"/>
  <c r="E3" i="42"/>
  <c r="F3" i="42" s="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G3" i="43"/>
  <c r="D18" i="43"/>
  <c r="D22" i="43"/>
  <c r="D23" i="43"/>
  <c r="D21" i="43"/>
  <c r="D17" i="43"/>
  <c r="D20" i="43"/>
  <c r="D19" i="43"/>
  <c r="D18" i="39"/>
  <c r="D4" i="39"/>
  <c r="E4" i="39" s="1"/>
  <c r="D23" i="39"/>
  <c r="D24" i="39"/>
  <c r="D25" i="39"/>
  <c r="D22" i="39"/>
  <c r="D21" i="39"/>
  <c r="D17" i="39"/>
  <c r="D26" i="39"/>
  <c r="D20" i="39"/>
  <c r="AG3" i="39"/>
  <c r="D19" i="39"/>
  <c r="E9" i="42"/>
  <c r="G3" i="50"/>
  <c r="E4" i="50"/>
  <c r="E5" i="50"/>
  <c r="F5" i="51"/>
  <c r="K28" i="51"/>
  <c r="E6" i="48"/>
  <c r="F4" i="51"/>
  <c r="AH3" i="51"/>
  <c r="E6" i="50"/>
  <c r="E11" i="42"/>
  <c r="E13" i="42"/>
  <c r="AG4" i="51"/>
  <c r="E15" i="42"/>
  <c r="K24" i="51"/>
  <c r="K21" i="51"/>
  <c r="K17" i="51"/>
  <c r="L6" i="51"/>
  <c r="E10" i="42"/>
  <c r="E8" i="42"/>
  <c r="G5" i="48"/>
  <c r="E11" i="50"/>
  <c r="E15" i="50"/>
  <c r="F7" i="51"/>
  <c r="K19" i="51"/>
  <c r="G7" i="48"/>
  <c r="L4" i="51"/>
  <c r="K32" i="51"/>
  <c r="K20" i="51"/>
  <c r="K23" i="51"/>
  <c r="E10" i="50"/>
  <c r="F6" i="51"/>
  <c r="E9" i="50"/>
  <c r="K31" i="51"/>
  <c r="K26" i="51"/>
  <c r="L7" i="51"/>
  <c r="E5" i="42"/>
  <c r="K18" i="51"/>
  <c r="K22" i="51"/>
  <c r="D4" i="43"/>
  <c r="E5" i="48"/>
  <c r="G6" i="48"/>
  <c r="E14" i="50"/>
  <c r="E8" i="50"/>
  <c r="K25" i="51"/>
  <c r="E6" i="42"/>
  <c r="E16" i="42"/>
  <c r="E14" i="42"/>
  <c r="K30" i="51"/>
  <c r="E12" i="50"/>
  <c r="K27" i="51"/>
  <c r="L5" i="51"/>
  <c r="E7" i="42"/>
  <c r="K29" i="51"/>
  <c r="E13" i="50"/>
  <c r="E12" i="42"/>
  <c r="E7" i="50"/>
  <c r="F7" i="50" l="1"/>
  <c r="F14" i="50"/>
  <c r="F15" i="50"/>
  <c r="F10" i="50"/>
  <c r="F12" i="50"/>
  <c r="F11" i="50"/>
  <c r="F5" i="50"/>
  <c r="F13" i="50"/>
  <c r="F6" i="50"/>
  <c r="F8" i="50"/>
  <c r="F9" i="50"/>
  <c r="F4" i="50"/>
  <c r="E4" i="43"/>
  <c r="F12" i="42"/>
  <c r="F9" i="42"/>
  <c r="F13" i="42"/>
  <c r="F7" i="42"/>
  <c r="F5" i="42"/>
  <c r="F15" i="42"/>
  <c r="F16" i="42"/>
  <c r="F8" i="42"/>
  <c r="F11" i="42"/>
  <c r="F6" i="42"/>
  <c r="F14" i="42"/>
  <c r="F10" i="42"/>
  <c r="C3" i="51"/>
  <c r="V3" i="50"/>
  <c r="W3" i="50" s="1"/>
  <c r="C20" i="40"/>
  <c r="D20" i="40" s="1"/>
  <c r="A21" i="40"/>
  <c r="M5" i="51"/>
  <c r="G5" i="42"/>
  <c r="G11" i="50"/>
  <c r="G14" i="50"/>
  <c r="AH4" i="51"/>
  <c r="G5" i="50"/>
  <c r="G15" i="42"/>
  <c r="M6" i="51"/>
  <c r="G10" i="50"/>
  <c r="G15" i="50"/>
  <c r="G11" i="42"/>
  <c r="G9" i="42"/>
  <c r="G10" i="42"/>
  <c r="G6" i="42"/>
  <c r="G8" i="42"/>
  <c r="H8" i="42"/>
  <c r="I5" i="51"/>
  <c r="I6" i="51"/>
  <c r="G7" i="42"/>
  <c r="G12" i="42"/>
  <c r="G14" i="42"/>
  <c r="G13" i="42"/>
  <c r="G8" i="50"/>
  <c r="O6" i="51" l="1"/>
  <c r="N6" i="51"/>
  <c r="P6" i="51"/>
  <c r="P5" i="51"/>
  <c r="O5" i="51"/>
  <c r="N5" i="51"/>
  <c r="C21" i="40"/>
  <c r="D21" i="40" s="1"/>
  <c r="H11" i="42"/>
  <c r="H14" i="42"/>
  <c r="H5" i="42"/>
  <c r="H7" i="42"/>
  <c r="H9" i="42"/>
  <c r="H6" i="42"/>
  <c r="H15" i="42"/>
  <c r="H10" i="42"/>
  <c r="H12" i="42"/>
  <c r="H13" i="42"/>
  <c r="D16" i="42" l="1"/>
  <c r="K18" i="43"/>
  <c r="H5" i="50"/>
  <c r="K20" i="39"/>
  <c r="E4" i="48"/>
  <c r="G13" i="50"/>
  <c r="G9" i="50"/>
  <c r="H8" i="50"/>
  <c r="L3" i="45"/>
  <c r="M13" i="45" s="1" a="1"/>
  <c r="AG4" i="39"/>
  <c r="V4" i="50"/>
  <c r="AG5" i="51"/>
  <c r="U3" i="45"/>
  <c r="K17" i="43"/>
  <c r="L6" i="39"/>
  <c r="E7" i="48"/>
  <c r="M7" i="51"/>
  <c r="F17" i="48"/>
  <c r="K21" i="43"/>
  <c r="K22" i="43"/>
  <c r="K19" i="43"/>
  <c r="K21" i="39"/>
  <c r="L7" i="39"/>
  <c r="K18" i="39"/>
  <c r="T3" i="45"/>
  <c r="K20" i="43"/>
  <c r="F7" i="39"/>
  <c r="K24" i="39"/>
  <c r="K19" i="39"/>
  <c r="H3" i="50"/>
  <c r="L4" i="39"/>
  <c r="AH3" i="43"/>
  <c r="F6" i="39"/>
  <c r="G4" i="50"/>
  <c r="M4" i="51"/>
  <c r="H11" i="50"/>
  <c r="I7" i="51"/>
  <c r="G12" i="50"/>
  <c r="I4" i="51"/>
  <c r="F16" i="48"/>
  <c r="G7" i="50"/>
  <c r="F4" i="39"/>
  <c r="D5" i="43"/>
  <c r="H10" i="50"/>
  <c r="K17" i="39"/>
  <c r="H14" i="50"/>
  <c r="H15" i="50"/>
  <c r="G6" i="50"/>
  <c r="K23" i="43"/>
  <c r="H6" i="48"/>
  <c r="F19" i="48"/>
  <c r="AG4" i="43"/>
  <c r="M3" i="45"/>
  <c r="K25" i="39"/>
  <c r="F15" i="48"/>
  <c r="AC3" i="48"/>
  <c r="L5" i="39"/>
  <c r="F5" i="43"/>
  <c r="AB4" i="48"/>
  <c r="L4" i="43"/>
  <c r="F5" i="39"/>
  <c r="AH3" i="39"/>
  <c r="H5" i="48"/>
  <c r="K26" i="39"/>
  <c r="K22" i="39"/>
  <c r="G4" i="48"/>
  <c r="F18" i="48"/>
  <c r="F4" i="43"/>
  <c r="K23" i="39"/>
  <c r="D6" i="43"/>
  <c r="L5" i="43"/>
  <c r="W4" i="50" l="1"/>
  <c r="E6" i="43"/>
  <c r="E5" i="43"/>
  <c r="B5" i="43"/>
  <c r="A6" i="43"/>
  <c r="O4" i="51"/>
  <c r="N4" i="51"/>
  <c r="P4" i="51"/>
  <c r="C4" i="43"/>
  <c r="A5" i="43"/>
  <c r="P7" i="51"/>
  <c r="O7" i="51"/>
  <c r="N7" i="51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H12" i="50"/>
  <c r="AC4" i="48"/>
  <c r="L6" i="43"/>
  <c r="H7" i="48"/>
  <c r="P3" i="45"/>
  <c r="AH5" i="51"/>
  <c r="M7" i="39"/>
  <c r="H6" i="50"/>
  <c r="H4" i="50"/>
  <c r="H7" i="50"/>
  <c r="H9" i="50"/>
  <c r="AH4" i="39"/>
  <c r="AH4" i="43"/>
  <c r="M5" i="39"/>
  <c r="I5" i="39"/>
  <c r="M4" i="43"/>
  <c r="H4" i="48"/>
  <c r="I5" i="43"/>
  <c r="I6" i="39"/>
  <c r="H13" i="50"/>
  <c r="I4" i="43"/>
  <c r="M4" i="39"/>
  <c r="AG6" i="51"/>
  <c r="I7" i="39"/>
  <c r="D7" i="43"/>
  <c r="I4" i="39"/>
  <c r="V5" i="50"/>
  <c r="AB5" i="48"/>
  <c r="F6" i="43"/>
  <c r="F7" i="43"/>
  <c r="I7" i="43" s="1"/>
  <c r="M5" i="43"/>
  <c r="M6" i="39"/>
  <c r="W5" i="50" l="1"/>
  <c r="N5" i="43"/>
  <c r="E7" i="43"/>
  <c r="B7" i="43"/>
  <c r="A7" i="43"/>
  <c r="B6" i="43"/>
  <c r="C6" i="43" s="1"/>
  <c r="C5" i="43"/>
  <c r="N4" i="43"/>
  <c r="K4" i="48"/>
  <c r="J4" i="48"/>
  <c r="I4" i="48"/>
  <c r="P6" i="39"/>
  <c r="O6" i="39"/>
  <c r="N6" i="39"/>
  <c r="P7" i="39"/>
  <c r="O7" i="39"/>
  <c r="N7" i="39"/>
  <c r="J7" i="48"/>
  <c r="I7" i="48"/>
  <c r="K7" i="48"/>
  <c r="O4" i="39"/>
  <c r="N4" i="39"/>
  <c r="P4" i="39"/>
  <c r="P5" i="39"/>
  <c r="O5" i="39"/>
  <c r="N5" i="39"/>
  <c r="O4" i="43"/>
  <c r="P4" i="43"/>
  <c r="V6" i="50"/>
  <c r="M7" i="43"/>
  <c r="L7" i="43"/>
  <c r="W6" i="50" l="1"/>
  <c r="N7" i="43"/>
  <c r="C7" i="43"/>
  <c r="P7" i="43"/>
  <c r="O7" i="43"/>
  <c r="O5" i="43"/>
  <c r="P5" i="43"/>
  <c r="V3" i="42" l="1"/>
  <c r="W3" i="42" s="1"/>
  <c r="V3" i="40"/>
  <c r="W3" i="40" s="1"/>
  <c r="F4" i="48" l="1" a="1"/>
  <c r="E37" i="33"/>
  <c r="E22" i="33"/>
  <c r="E28" i="33"/>
  <c r="P13" i="45" a="1"/>
  <c r="E20" i="33"/>
  <c r="E23" i="33"/>
  <c r="E39" i="33"/>
  <c r="E34" i="33"/>
  <c r="E8" i="40"/>
  <c r="M6" i="43"/>
  <c r="E6" i="40"/>
  <c r="E26" i="33"/>
  <c r="G8" i="40"/>
  <c r="V4" i="42"/>
  <c r="E33" i="33"/>
  <c r="E32" i="33"/>
  <c r="E29" i="33"/>
  <c r="AH6" i="51"/>
  <c r="E24" i="33"/>
  <c r="S13" i="45" a="1"/>
  <c r="E15" i="33"/>
  <c r="E7" i="33"/>
  <c r="E6" i="33"/>
  <c r="AC5" i="48"/>
  <c r="E11" i="40"/>
  <c r="C17" i="42"/>
  <c r="AG5" i="43"/>
  <c r="E17" i="40"/>
  <c r="E19" i="33"/>
  <c r="E27" i="33"/>
  <c r="E5" i="40"/>
  <c r="E4" i="42"/>
  <c r="V4" i="40"/>
  <c r="E36" i="33"/>
  <c r="E10" i="40"/>
  <c r="G11" i="40"/>
  <c r="E14" i="40"/>
  <c r="V7" i="50"/>
  <c r="E7" i="40"/>
  <c r="E4" i="33"/>
  <c r="G14" i="40"/>
  <c r="E18" i="33"/>
  <c r="E30" i="33"/>
  <c r="E3" i="33"/>
  <c r="E13" i="40"/>
  <c r="AH5" i="43"/>
  <c r="E5" i="33"/>
  <c r="D31" i="29"/>
  <c r="G6" i="40"/>
  <c r="H6" i="40" s="1"/>
  <c r="E38" i="33"/>
  <c r="E4" i="40"/>
  <c r="E16" i="33"/>
  <c r="G3" i="42"/>
  <c r="E21" i="33"/>
  <c r="E15" i="40"/>
  <c r="V5" i="42"/>
  <c r="AG5" i="39"/>
  <c r="G16" i="42"/>
  <c r="G3" i="40"/>
  <c r="E35" i="33"/>
  <c r="E19" i="40"/>
  <c r="G4" i="42"/>
  <c r="H4" i="42"/>
  <c r="E9" i="40"/>
  <c r="I6" i="43"/>
  <c r="E16" i="40"/>
  <c r="E12" i="40"/>
  <c r="E31" i="33"/>
  <c r="AB6" i="48"/>
  <c r="E17" i="33"/>
  <c r="G17" i="40"/>
  <c r="H17" i="40" s="1"/>
  <c r="T13" i="45" a="1"/>
  <c r="G4" i="40"/>
  <c r="E20" i="40"/>
  <c r="G7" i="40"/>
  <c r="E18" i="40"/>
  <c r="E25" i="33"/>
  <c r="E21" i="40"/>
  <c r="H7" i="40"/>
  <c r="AG7" i="51"/>
  <c r="AG6" i="43"/>
  <c r="AG7" i="43" s="1"/>
  <c r="AH7" i="43" s="1"/>
  <c r="V5" i="40"/>
  <c r="C34" i="29"/>
  <c r="C35" i="29"/>
  <c r="H8" i="40"/>
  <c r="AG8" i="43"/>
  <c r="E40" i="33"/>
  <c r="AH6" i="43"/>
  <c r="H3" i="42"/>
  <c r="D34" i="29"/>
  <c r="H11" i="40"/>
  <c r="E17" i="42"/>
  <c r="G5" i="40"/>
  <c r="G10" i="40"/>
  <c r="H14" i="40"/>
  <c r="V8" i="50"/>
  <c r="G13" i="40"/>
  <c r="D32" i="29"/>
  <c r="D25" i="29"/>
  <c r="H4" i="40"/>
  <c r="G15" i="40"/>
  <c r="V6" i="42"/>
  <c r="AH5" i="39"/>
  <c r="AG6" i="39"/>
  <c r="G19" i="40"/>
  <c r="G9" i="40"/>
  <c r="G16" i="40"/>
  <c r="G12" i="40"/>
  <c r="H12" i="40"/>
  <c r="AC6" i="48"/>
  <c r="G20" i="40"/>
  <c r="G18" i="40"/>
  <c r="G21" i="40"/>
  <c r="AG8" i="51"/>
  <c r="AH7" i="51"/>
  <c r="V6" i="40"/>
  <c r="AH8" i="43"/>
  <c r="AG9" i="43"/>
  <c r="C18" i="42"/>
  <c r="G17" i="42"/>
  <c r="H17" i="42"/>
  <c r="H5" i="40"/>
  <c r="H10" i="40"/>
  <c r="V9" i="50"/>
  <c r="H13" i="40"/>
  <c r="R26" i="45"/>
  <c r="H15" i="40"/>
  <c r="V7" i="42"/>
  <c r="AH6" i="39"/>
  <c r="AG7" i="39"/>
  <c r="H19" i="40"/>
  <c r="H9" i="40"/>
  <c r="H16" i="40"/>
  <c r="H20" i="40"/>
  <c r="H18" i="40"/>
  <c r="H21" i="40"/>
  <c r="AH8" i="51"/>
  <c r="AG9" i="51"/>
  <c r="V7" i="40"/>
  <c r="AH9" i="43"/>
  <c r="AG10" i="43"/>
  <c r="E18" i="42"/>
  <c r="V10" i="50"/>
  <c r="S26" i="45"/>
  <c r="V8" i="42"/>
  <c r="AH7" i="39"/>
  <c r="AH9" i="51"/>
  <c r="AG10" i="51"/>
  <c r="V8" i="40"/>
  <c r="AH10" i="43"/>
  <c r="AG11" i="43"/>
  <c r="C19" i="42"/>
  <c r="G18" i="42"/>
  <c r="H18" i="42"/>
  <c r="V11" i="50"/>
  <c r="V9" i="42"/>
  <c r="AG11" i="51"/>
  <c r="AH10" i="51"/>
  <c r="V9" i="40"/>
  <c r="AH11" i="43"/>
  <c r="AG12" i="43"/>
  <c r="E19" i="42"/>
  <c r="V12" i="50"/>
  <c r="V10" i="42"/>
  <c r="AG12" i="51"/>
  <c r="AH11" i="51"/>
  <c r="V10" i="40"/>
  <c r="AH12" i="43"/>
  <c r="AG13" i="43"/>
  <c r="G19" i="42"/>
  <c r="C20" i="42"/>
  <c r="V13" i="50"/>
  <c r="V11" i="42"/>
  <c r="AG13" i="51"/>
  <c r="AH12" i="51"/>
  <c r="V11" i="40"/>
  <c r="AH13" i="43"/>
  <c r="AG14" i="43"/>
  <c r="H19" i="42"/>
  <c r="E20" i="42"/>
  <c r="V14" i="50"/>
  <c r="V12" i="42"/>
  <c r="AH13" i="51"/>
  <c r="AG14" i="51"/>
  <c r="V12" i="40"/>
  <c r="AH14" i="43"/>
  <c r="AG15" i="43"/>
  <c r="C21" i="42"/>
  <c r="G20" i="42"/>
  <c r="V15" i="50"/>
  <c r="V13" i="42"/>
  <c r="AH14" i="51"/>
  <c r="AG15" i="51"/>
  <c r="V13" i="40"/>
  <c r="AH15" i="43"/>
  <c r="AG16" i="43"/>
  <c r="E21" i="42"/>
  <c r="H20" i="42"/>
  <c r="V16" i="50"/>
  <c r="V14" i="42"/>
  <c r="AG16" i="51"/>
  <c r="AH15" i="51"/>
  <c r="V14" i="40"/>
  <c r="AG17" i="43"/>
  <c r="AH16" i="43"/>
  <c r="G21" i="42"/>
  <c r="C22" i="42"/>
  <c r="H21" i="42"/>
  <c r="V17" i="50"/>
  <c r="V15" i="42"/>
  <c r="AG17" i="51"/>
  <c r="AH16" i="51"/>
  <c r="V15" i="40"/>
  <c r="AG18" i="43"/>
  <c r="AH17" i="43"/>
  <c r="E22" i="42"/>
  <c r="V18" i="50"/>
  <c r="V16" i="42"/>
  <c r="AG18" i="51"/>
  <c r="AH17" i="51"/>
  <c r="V16" i="40"/>
  <c r="AG19" i="43"/>
  <c r="AH18" i="43"/>
  <c r="C23" i="42"/>
  <c r="G22" i="42"/>
  <c r="H22" i="42"/>
  <c r="V19" i="50"/>
  <c r="V17" i="42"/>
  <c r="AH18" i="51"/>
  <c r="AG19" i="51"/>
  <c r="V17" i="40"/>
  <c r="AH19" i="43"/>
  <c r="AG20" i="43"/>
  <c r="E23" i="42"/>
  <c r="V20" i="50"/>
  <c r="V18" i="42"/>
  <c r="AH19" i="51"/>
  <c r="AG20" i="51"/>
  <c r="V18" i="40"/>
  <c r="AG21" i="43"/>
  <c r="AH20" i="43"/>
  <c r="C24" i="42"/>
  <c r="G23" i="42"/>
  <c r="V21" i="50"/>
  <c r="V19" i="42"/>
  <c r="AG21" i="51"/>
  <c r="AH20" i="51"/>
  <c r="V19" i="40"/>
  <c r="AH21" i="43"/>
  <c r="AG22" i="43"/>
  <c r="E24" i="42"/>
  <c r="H23" i="42"/>
  <c r="V22" i="50"/>
  <c r="V20" i="42"/>
  <c r="AG22" i="51"/>
  <c r="AH21" i="51"/>
  <c r="V20" i="40"/>
  <c r="AH22" i="43"/>
  <c r="AG23" i="43"/>
  <c r="G24" i="42"/>
  <c r="V23" i="50"/>
  <c r="V21" i="42"/>
  <c r="AH22" i="51"/>
  <c r="AG23" i="51"/>
  <c r="V21" i="40"/>
  <c r="AH23" i="43"/>
  <c r="AG24" i="43"/>
  <c r="H24" i="42"/>
  <c r="V24" i="50"/>
  <c r="V22" i="42"/>
  <c r="AH23" i="51"/>
  <c r="AG24" i="51"/>
  <c r="V22" i="40"/>
  <c r="AH24" i="43"/>
  <c r="AG25" i="43"/>
  <c r="V25" i="50"/>
  <c r="V23" i="42"/>
  <c r="AG25" i="51"/>
  <c r="AH24" i="51"/>
  <c r="V23" i="40"/>
  <c r="AH25" i="43"/>
  <c r="AG26" i="43"/>
  <c r="V26" i="50"/>
  <c r="V24" i="42"/>
  <c r="AH25" i="51"/>
  <c r="AG26" i="51"/>
  <c r="V24" i="40"/>
  <c r="AH26" i="43"/>
  <c r="AG27" i="43"/>
  <c r="V27" i="50"/>
  <c r="V25" i="42"/>
  <c r="AG27" i="51"/>
  <c r="AH26" i="51"/>
  <c r="V25" i="40"/>
  <c r="AH27" i="43"/>
  <c r="AG28" i="43"/>
  <c r="V28" i="50"/>
  <c r="V26" i="42"/>
  <c r="AH27" i="51"/>
  <c r="AG28" i="51"/>
  <c r="V26" i="40"/>
  <c r="AG29" i="43"/>
  <c r="AH28" i="43"/>
  <c r="V29" i="50"/>
  <c r="V27" i="42"/>
  <c r="AG29" i="51"/>
  <c r="AH28" i="51"/>
  <c r="V27" i="40"/>
  <c r="AH29" i="43"/>
  <c r="AG30" i="43"/>
  <c r="V30" i="50"/>
  <c r="V28" i="42"/>
  <c r="AH29" i="51"/>
  <c r="AG30" i="51"/>
  <c r="V28" i="40"/>
  <c r="AG31" i="43"/>
  <c r="AH30" i="43"/>
  <c r="V31" i="50"/>
  <c r="V29" i="42"/>
  <c r="AG31" i="51"/>
  <c r="AH30" i="51"/>
  <c r="V29" i="40"/>
  <c r="AH31" i="43"/>
  <c r="AG32" i="43"/>
  <c r="V32" i="50"/>
  <c r="V30" i="42"/>
  <c r="AG32" i="51"/>
  <c r="AH31" i="51"/>
  <c r="V30" i="40"/>
  <c r="AG33" i="43"/>
  <c r="AH32" i="43"/>
  <c r="V33" i="50"/>
  <c r="V31" i="42"/>
  <c r="AH32" i="51"/>
  <c r="AG33" i="51"/>
  <c r="V31" i="40"/>
  <c r="AG34" i="43"/>
  <c r="AH33" i="43"/>
  <c r="V34" i="50"/>
  <c r="V32" i="42"/>
  <c r="AH33" i="51"/>
  <c r="AG34" i="51"/>
  <c r="V32" i="40"/>
  <c r="AG35" i="43"/>
  <c r="AH34" i="43"/>
  <c r="V35" i="50"/>
  <c r="V33" i="42"/>
  <c r="AH34" i="51"/>
  <c r="AG35" i="51"/>
  <c r="V33" i="40"/>
  <c r="AG36" i="43"/>
  <c r="AH35" i="43"/>
  <c r="V36" i="50"/>
  <c r="V34" i="42"/>
  <c r="AG36" i="51"/>
  <c r="AH35" i="51"/>
  <c r="V34" i="40"/>
  <c r="AH36" i="43"/>
  <c r="AG37" i="43"/>
  <c r="V37" i="50"/>
  <c r="V35" i="42"/>
  <c r="AG37" i="51"/>
  <c r="AH36" i="51"/>
  <c r="V35" i="40"/>
  <c r="AH37" i="43"/>
  <c r="AG38" i="43"/>
  <c r="V38" i="50"/>
  <c r="V36" i="42"/>
  <c r="AH37" i="51"/>
  <c r="AG38" i="51"/>
  <c r="V36" i="40"/>
  <c r="AH38" i="43"/>
  <c r="AG39" i="43"/>
  <c r="V39" i="50"/>
  <c r="V37" i="42"/>
  <c r="AH38" i="51"/>
  <c r="AG39" i="51"/>
  <c r="V37" i="40"/>
  <c r="AG40" i="43"/>
  <c r="AH39" i="43"/>
  <c r="V40" i="50"/>
  <c r="V38" i="42"/>
  <c r="AH39" i="51"/>
  <c r="AG40" i="51"/>
  <c r="V38" i="40"/>
  <c r="AG41" i="43"/>
  <c r="AH40" i="43"/>
  <c r="V41" i="50"/>
  <c r="V39" i="42"/>
  <c r="AG41" i="51"/>
  <c r="AH40" i="51"/>
  <c r="V39" i="40"/>
  <c r="AG42" i="43"/>
  <c r="AH41" i="43"/>
  <c r="V42" i="50"/>
  <c r="V40" i="42"/>
  <c r="AH41" i="51"/>
  <c r="AG42" i="51"/>
  <c r="V40" i="40"/>
  <c r="AH42" i="43"/>
  <c r="AG43" i="43"/>
  <c r="V43" i="50"/>
  <c r="V41" i="42"/>
  <c r="AH42" i="51"/>
  <c r="AG43" i="51"/>
  <c r="V41" i="40"/>
  <c r="AG44" i="43"/>
  <c r="AH43" i="43"/>
  <c r="V44" i="50"/>
  <c r="V42" i="42"/>
  <c r="AG44" i="51"/>
  <c r="AH43" i="51"/>
  <c r="V42" i="40"/>
  <c r="AG45" i="43"/>
  <c r="AH44" i="43"/>
  <c r="V45" i="50"/>
  <c r="V43" i="42"/>
  <c r="AG45" i="51"/>
  <c r="AH44" i="51"/>
  <c r="V43" i="40"/>
  <c r="AG46" i="43"/>
  <c r="AH45" i="43"/>
  <c r="V46" i="50"/>
  <c r="V44" i="42"/>
  <c r="AH45" i="51"/>
  <c r="AG46" i="51"/>
  <c r="V44" i="40"/>
  <c r="AH46" i="43"/>
  <c r="AG47" i="43"/>
  <c r="V47" i="50"/>
  <c r="V45" i="42"/>
  <c r="AH46" i="51"/>
  <c r="AG47" i="51"/>
  <c r="V45" i="40"/>
  <c r="AH47" i="43"/>
  <c r="AG48" i="43"/>
  <c r="V48" i="50"/>
  <c r="V46" i="42"/>
  <c r="AG48" i="51"/>
  <c r="AH47" i="51"/>
  <c r="V46" i="40"/>
  <c r="AG49" i="43"/>
  <c r="AH48" i="43"/>
  <c r="V49" i="50"/>
  <c r="V47" i="42"/>
  <c r="AH48" i="51"/>
  <c r="AG49" i="51"/>
  <c r="V47" i="40"/>
  <c r="AG50" i="43"/>
  <c r="AH49" i="43"/>
  <c r="V50" i="50"/>
  <c r="V48" i="42"/>
  <c r="AH49" i="51"/>
  <c r="AG50" i="51"/>
  <c r="V48" i="40"/>
  <c r="AG51" i="43"/>
  <c r="AH50" i="43"/>
  <c r="V51" i="50"/>
  <c r="V49" i="42"/>
  <c r="AH50" i="51"/>
  <c r="AG51" i="51"/>
  <c r="V49" i="40"/>
  <c r="AH51" i="43"/>
  <c r="AG52" i="43"/>
  <c r="V52" i="50"/>
  <c r="V50" i="42"/>
  <c r="AH51" i="51"/>
  <c r="AG52" i="51"/>
  <c r="V50" i="40"/>
  <c r="AG53" i="43"/>
  <c r="AH52" i="43"/>
  <c r="V53" i="50"/>
  <c r="V51" i="42"/>
  <c r="AH52" i="51"/>
  <c r="AG53" i="51"/>
  <c r="V51" i="40"/>
  <c r="AG54" i="43"/>
  <c r="AH53" i="43"/>
  <c r="V54" i="50"/>
  <c r="V52" i="42"/>
  <c r="AG54" i="51"/>
  <c r="AH53" i="51"/>
  <c r="V52" i="40"/>
  <c r="AH54" i="43"/>
  <c r="AG55" i="43"/>
  <c r="V55" i="50"/>
  <c r="V53" i="42"/>
  <c r="AG55" i="51"/>
  <c r="AH54" i="51"/>
  <c r="V53" i="40"/>
  <c r="AH55" i="43"/>
  <c r="AG56" i="43"/>
  <c r="V56" i="50"/>
  <c r="V54" i="42"/>
  <c r="AG56" i="51"/>
  <c r="AH55" i="51"/>
  <c r="V54" i="40"/>
  <c r="AG57" i="43"/>
  <c r="AH56" i="43"/>
  <c r="V57" i="50"/>
  <c r="V55" i="42"/>
  <c r="AG57" i="51"/>
  <c r="AH56" i="51"/>
  <c r="V55" i="40"/>
  <c r="AG58" i="43"/>
  <c r="AH57" i="43"/>
  <c r="V58" i="50"/>
  <c r="V56" i="42"/>
  <c r="AH57" i="51"/>
  <c r="AG58" i="51"/>
  <c r="V56" i="40"/>
  <c r="AG59" i="43"/>
  <c r="AH58" i="43"/>
  <c r="V59" i="50"/>
  <c r="V57" i="42"/>
  <c r="AH58" i="51"/>
  <c r="AG59" i="51"/>
  <c r="V57" i="40"/>
  <c r="AH59" i="43"/>
  <c r="AG60" i="43"/>
  <c r="V60" i="50"/>
  <c r="V58" i="42"/>
  <c r="AH59" i="51"/>
  <c r="AG60" i="51"/>
  <c r="V58" i="40"/>
  <c r="AG61" i="43"/>
  <c r="AH60" i="43"/>
  <c r="V61" i="50"/>
  <c r="V59" i="42"/>
  <c r="AG61" i="51"/>
  <c r="AH60" i="51"/>
  <c r="V59" i="40"/>
  <c r="AG62" i="43"/>
  <c r="AH61" i="43"/>
  <c r="V62" i="50"/>
  <c r="V60" i="42"/>
  <c r="AH61" i="51"/>
  <c r="AG62" i="51"/>
  <c r="V60" i="40"/>
  <c r="AG63" i="43"/>
  <c r="AH62" i="43"/>
  <c r="V63" i="50"/>
  <c r="V61" i="42"/>
  <c r="AH62" i="51"/>
  <c r="AG63" i="51"/>
  <c r="V61" i="40"/>
  <c r="AH63" i="43"/>
  <c r="AG64" i="43"/>
  <c r="V64" i="50"/>
  <c r="V62" i="42"/>
  <c r="AG64" i="51"/>
  <c r="AH63" i="51"/>
  <c r="V62" i="40"/>
  <c r="AG65" i="43"/>
  <c r="AH65" i="43" s="1"/>
  <c r="AH64" i="43"/>
  <c r="V65" i="50"/>
  <c r="V63" i="42"/>
  <c r="AH64" i="51"/>
  <c r="AG65" i="51"/>
  <c r="V63" i="40"/>
  <c r="V66" i="50"/>
  <c r="V64" i="42"/>
  <c r="AH65" i="51"/>
  <c r="AG66" i="51"/>
  <c r="V64" i="40"/>
  <c r="V67" i="50"/>
  <c r="V65" i="42"/>
  <c r="AH66" i="51"/>
  <c r="AG67" i="51"/>
  <c r="V65" i="40"/>
  <c r="V68" i="50"/>
  <c r="V66" i="42"/>
  <c r="AG68" i="51"/>
  <c r="AH67" i="51"/>
  <c r="V66" i="40"/>
  <c r="V69" i="50"/>
  <c r="V67" i="42"/>
  <c r="AG69" i="51"/>
  <c r="AH68" i="51"/>
  <c r="V67" i="40"/>
  <c r="V70" i="50"/>
  <c r="V68" i="42"/>
  <c r="AH69" i="51"/>
  <c r="AG70" i="51"/>
  <c r="V68" i="40"/>
  <c r="V71" i="50"/>
  <c r="V69" i="42"/>
  <c r="AH70" i="51"/>
  <c r="AG71" i="51"/>
  <c r="V69" i="40"/>
  <c r="V72" i="50"/>
  <c r="V70" i="42"/>
  <c r="AG72" i="51"/>
  <c r="AH71" i="51"/>
  <c r="V70" i="40"/>
  <c r="V73" i="50"/>
  <c r="V71" i="42"/>
  <c r="AH72" i="51"/>
  <c r="AG73" i="51"/>
  <c r="V71" i="40"/>
  <c r="V74" i="50"/>
  <c r="V72" i="42"/>
  <c r="AG74" i="51"/>
  <c r="AH73" i="51"/>
  <c r="V72" i="40"/>
  <c r="V75" i="50"/>
  <c r="V73" i="42"/>
  <c r="AG75" i="51"/>
  <c r="AH74" i="51"/>
  <c r="V73" i="40"/>
  <c r="V76" i="50"/>
  <c r="V74" i="42"/>
  <c r="AG76" i="51"/>
  <c r="AH75" i="51"/>
  <c r="V74" i="40"/>
  <c r="V77" i="50"/>
  <c r="V75" i="42"/>
  <c r="AH76" i="51"/>
  <c r="AG77" i="51"/>
  <c r="V75" i="40"/>
  <c r="V78" i="50"/>
  <c r="V76" i="42"/>
  <c r="AH77" i="51"/>
  <c r="AG78" i="51"/>
  <c r="V76" i="40"/>
  <c r="V79" i="50"/>
  <c r="V77" i="42"/>
  <c r="AG79" i="51"/>
  <c r="AH78" i="51"/>
  <c r="V77" i="40"/>
  <c r="V80" i="50"/>
  <c r="V78" i="42"/>
  <c r="AG80" i="51"/>
  <c r="AH79" i="51"/>
  <c r="V78" i="40"/>
  <c r="V81" i="50"/>
  <c r="V79" i="42"/>
  <c r="AH80" i="51"/>
  <c r="AG81" i="51"/>
  <c r="V79" i="40"/>
  <c r="V82" i="50"/>
  <c r="V80" i="42"/>
  <c r="AH81" i="51"/>
  <c r="AG82" i="51"/>
  <c r="V80" i="40"/>
  <c r="V83" i="50"/>
  <c r="V81" i="42"/>
  <c r="AG83" i="51"/>
  <c r="AH82" i="51"/>
  <c r="V81" i="40"/>
  <c r="V84" i="50"/>
  <c r="V82" i="42"/>
  <c r="AH83" i="51"/>
  <c r="AG84" i="51"/>
  <c r="V82" i="40"/>
  <c r="V85" i="50"/>
  <c r="V83" i="42"/>
  <c r="AH84" i="51"/>
  <c r="AG85" i="51"/>
  <c r="V83" i="40"/>
  <c r="V86" i="50"/>
  <c r="V84" i="42"/>
  <c r="AG86" i="51"/>
  <c r="AH85" i="51"/>
  <c r="V84" i="40"/>
  <c r="V87" i="50"/>
  <c r="V85" i="42"/>
  <c r="AG87" i="51"/>
  <c r="AH86" i="51"/>
  <c r="V85" i="40"/>
  <c r="V88" i="50"/>
  <c r="V86" i="42"/>
  <c r="AG88" i="51"/>
  <c r="AH87" i="51"/>
  <c r="V86" i="40"/>
  <c r="V89" i="50"/>
  <c r="V87" i="42"/>
  <c r="AG89" i="51"/>
  <c r="AH88" i="51"/>
  <c r="V87" i="40"/>
  <c r="V90" i="50"/>
  <c r="V88" i="42"/>
  <c r="AH89" i="51"/>
  <c r="AG90" i="51"/>
  <c r="V88" i="40"/>
  <c r="V91" i="50"/>
  <c r="V89" i="42"/>
  <c r="AG91" i="51"/>
  <c r="AH90" i="51"/>
  <c r="V89" i="40"/>
  <c r="V92" i="50"/>
  <c r="V90" i="42"/>
  <c r="AG92" i="51"/>
  <c r="AH91" i="51"/>
  <c r="V90" i="40"/>
  <c r="V93" i="50"/>
  <c r="V91" i="42"/>
  <c r="AG93" i="51"/>
  <c r="AH92" i="51"/>
  <c r="V91" i="40"/>
  <c r="V94" i="50"/>
  <c r="V92" i="42"/>
  <c r="AG94" i="51"/>
  <c r="AH93" i="51"/>
  <c r="V92" i="40"/>
  <c r="V95" i="50"/>
  <c r="V93" i="42"/>
  <c r="AH94" i="51"/>
  <c r="AG95" i="51"/>
  <c r="V93" i="40"/>
  <c r="V96" i="50"/>
  <c r="V94" i="42"/>
  <c r="AH95" i="51"/>
  <c r="AG96" i="51"/>
  <c r="V94" i="40"/>
  <c r="V97" i="50"/>
  <c r="V95" i="42"/>
  <c r="AG97" i="51"/>
  <c r="AH96" i="51"/>
  <c r="V95" i="40"/>
  <c r="V98" i="50"/>
  <c r="V96" i="42"/>
  <c r="AH97" i="51"/>
  <c r="AG98" i="51"/>
  <c r="V96" i="40"/>
  <c r="V99" i="50"/>
  <c r="V97" i="42"/>
  <c r="AH98" i="51"/>
  <c r="AG99" i="51"/>
  <c r="V97" i="40"/>
  <c r="V100" i="50"/>
  <c r="V98" i="42"/>
  <c r="AG100" i="51"/>
  <c r="AH99" i="51"/>
  <c r="V98" i="40"/>
  <c r="V101" i="50"/>
  <c r="V99" i="42"/>
  <c r="AH100" i="51"/>
  <c r="AG101" i="51"/>
  <c r="V99" i="40"/>
  <c r="V102" i="50"/>
  <c r="V100" i="42"/>
  <c r="AG102" i="51"/>
  <c r="AH101" i="51"/>
  <c r="V100" i="40"/>
  <c r="V103" i="50"/>
  <c r="V101" i="42"/>
  <c r="AH102" i="51"/>
  <c r="AG103" i="51"/>
  <c r="V101" i="40"/>
  <c r="V104" i="50"/>
  <c r="V102" i="42"/>
  <c r="AG104" i="51"/>
  <c r="AH103" i="51"/>
  <c r="V102" i="40"/>
  <c r="V105" i="50"/>
  <c r="V103" i="42"/>
  <c r="AG105" i="51"/>
  <c r="AH104" i="51"/>
  <c r="V103" i="40"/>
  <c r="V106" i="50"/>
  <c r="V104" i="42"/>
  <c r="AG106" i="51"/>
  <c r="AH105" i="51"/>
  <c r="V104" i="40"/>
  <c r="V107" i="50"/>
  <c r="V105" i="42"/>
  <c r="AH106" i="51"/>
  <c r="AG107" i="51"/>
  <c r="V105" i="40"/>
  <c r="V108" i="50"/>
  <c r="V106" i="42"/>
  <c r="AG108" i="51"/>
  <c r="AH107" i="51"/>
  <c r="V106" i="40"/>
  <c r="V109" i="50"/>
  <c r="V107" i="42"/>
  <c r="AG109" i="51"/>
  <c r="AH108" i="51"/>
  <c r="V107" i="40"/>
  <c r="V110" i="50"/>
  <c r="V108" i="42"/>
  <c r="AH109" i="51"/>
  <c r="AG110" i="51"/>
  <c r="V108" i="40"/>
  <c r="V111" i="50"/>
  <c r="V109" i="42"/>
  <c r="AG111" i="51"/>
  <c r="AH110" i="51"/>
  <c r="V109" i="40"/>
  <c r="V112" i="50"/>
  <c r="V110" i="42"/>
  <c r="AH111" i="51"/>
  <c r="AG112" i="51"/>
  <c r="V110" i="40"/>
  <c r="V113" i="50"/>
  <c r="V111" i="42"/>
  <c r="AG113" i="51"/>
  <c r="AH112" i="51"/>
  <c r="V111" i="40"/>
  <c r="V114" i="50"/>
  <c r="V112" i="42"/>
  <c r="AH113" i="51"/>
  <c r="AG114" i="51"/>
  <c r="V112" i="40"/>
  <c r="V115" i="50"/>
  <c r="V113" i="42"/>
  <c r="AH114" i="51"/>
  <c r="AG115" i="51"/>
  <c r="V113" i="40"/>
  <c r="V116" i="50"/>
  <c r="V114" i="42"/>
  <c r="AH115" i="51"/>
  <c r="AG116" i="51"/>
  <c r="V114" i="40"/>
  <c r="V117" i="50"/>
  <c r="V115" i="42"/>
  <c r="AH116" i="51"/>
  <c r="AG117" i="51"/>
  <c r="V115" i="40"/>
  <c r="V118" i="50"/>
  <c r="V116" i="42"/>
  <c r="AH117" i="51"/>
  <c r="AG118" i="51"/>
  <c r="V116" i="40"/>
  <c r="V119" i="50"/>
  <c r="V117" i="42"/>
  <c r="AH118" i="51"/>
  <c r="AG119" i="51"/>
  <c r="V117" i="40"/>
  <c r="V120" i="50"/>
  <c r="V118" i="42"/>
  <c r="AG120" i="51"/>
  <c r="AH119" i="51"/>
  <c r="V118" i="40"/>
  <c r="V121" i="50"/>
  <c r="V119" i="42"/>
  <c r="AG121" i="51"/>
  <c r="AH120" i="51"/>
  <c r="V119" i="40"/>
  <c r="V122" i="50"/>
  <c r="V120" i="42"/>
  <c r="AG122" i="51"/>
  <c r="AH121" i="51"/>
  <c r="V120" i="40"/>
  <c r="V123" i="50"/>
  <c r="V121" i="42"/>
  <c r="AG123" i="51"/>
  <c r="AH122" i="51"/>
  <c r="V121" i="40"/>
  <c r="V124" i="50"/>
  <c r="V122" i="42"/>
  <c r="AH123" i="51"/>
  <c r="AG124" i="51"/>
  <c r="V122" i="40"/>
  <c r="V125" i="50"/>
  <c r="V123" i="42"/>
  <c r="AG125" i="51"/>
  <c r="AH124" i="51"/>
  <c r="V123" i="40"/>
  <c r="V126" i="50"/>
  <c r="V124" i="42"/>
  <c r="AG126" i="51"/>
  <c r="AH125" i="51"/>
  <c r="V124" i="40"/>
  <c r="V127" i="50"/>
  <c r="V125" i="42"/>
  <c r="AH126" i="51"/>
  <c r="AG127" i="51"/>
  <c r="V125" i="40"/>
  <c r="V128" i="50"/>
  <c r="V126" i="42"/>
  <c r="AG128" i="51"/>
  <c r="AH127" i="51"/>
  <c r="V126" i="40"/>
  <c r="V129" i="50"/>
  <c r="V127" i="42"/>
  <c r="AG129" i="51"/>
  <c r="AH128" i="51"/>
  <c r="V127" i="40"/>
  <c r="V130" i="50"/>
  <c r="V128" i="42"/>
  <c r="AH129" i="51"/>
  <c r="AG130" i="51"/>
  <c r="V128" i="40"/>
  <c r="V131" i="50"/>
  <c r="V129" i="42"/>
  <c r="AH130" i="51"/>
  <c r="AG131" i="51"/>
  <c r="V129" i="40"/>
  <c r="V132" i="50"/>
  <c r="V130" i="42"/>
  <c r="AG132" i="51"/>
  <c r="AH131" i="51"/>
  <c r="V130" i="40"/>
  <c r="V133" i="50"/>
  <c r="V131" i="42"/>
  <c r="AH132" i="51"/>
  <c r="AG133" i="51"/>
  <c r="V131" i="40"/>
  <c r="V134" i="50"/>
  <c r="V132" i="42"/>
  <c r="AH133" i="51"/>
  <c r="AG134" i="51"/>
  <c r="V132" i="40"/>
  <c r="V135" i="50"/>
  <c r="V133" i="42"/>
  <c r="AG135" i="51"/>
  <c r="AH134" i="51"/>
  <c r="V133" i="40"/>
  <c r="V136" i="50"/>
  <c r="V134" i="42"/>
  <c r="AH135" i="51"/>
  <c r="AG136" i="51"/>
  <c r="V134" i="40"/>
  <c r="V137" i="50"/>
  <c r="V135" i="42"/>
  <c r="AH136" i="51"/>
  <c r="AG137" i="51"/>
  <c r="V135" i="40"/>
  <c r="V138" i="50"/>
  <c r="V136" i="42"/>
  <c r="AG138" i="51"/>
  <c r="AH137" i="51"/>
  <c r="V136" i="40"/>
  <c r="V139" i="50"/>
  <c r="V137" i="42"/>
  <c r="AH138" i="51"/>
  <c r="AG139" i="51"/>
  <c r="V137" i="40"/>
  <c r="V140" i="50"/>
  <c r="V138" i="42"/>
  <c r="AH139" i="51"/>
  <c r="AG140" i="51"/>
  <c r="V138" i="40"/>
  <c r="V141" i="50"/>
  <c r="V139" i="42"/>
  <c r="AG141" i="51"/>
  <c r="AH140" i="51"/>
  <c r="V139" i="40"/>
  <c r="V142" i="50"/>
  <c r="V140" i="42"/>
  <c r="AG142" i="51"/>
  <c r="AH141" i="51"/>
  <c r="V140" i="40"/>
  <c r="V143" i="50"/>
  <c r="V141" i="42"/>
  <c r="AG143" i="51"/>
  <c r="AH142" i="51"/>
  <c r="V141" i="40"/>
  <c r="V144" i="50"/>
  <c r="V142" i="42"/>
  <c r="AG144" i="51"/>
  <c r="AH143" i="51"/>
  <c r="V142" i="40"/>
  <c r="V145" i="50"/>
  <c r="V143" i="42"/>
  <c r="AG145" i="51"/>
  <c r="AH144" i="51"/>
  <c r="V143" i="40"/>
  <c r="V146" i="50"/>
  <c r="V144" i="42"/>
  <c r="AG146" i="51"/>
  <c r="AH145" i="51"/>
  <c r="V144" i="40"/>
  <c r="V147" i="50"/>
  <c r="V145" i="42"/>
  <c r="AH146" i="51"/>
  <c r="AG147" i="51"/>
  <c r="V145" i="40"/>
  <c r="V148" i="50"/>
  <c r="V146" i="42"/>
  <c r="AG148" i="51"/>
  <c r="AH147" i="51"/>
  <c r="V146" i="40"/>
  <c r="V149" i="50"/>
  <c r="V147" i="42"/>
  <c r="AG149" i="51"/>
  <c r="AH148" i="51"/>
  <c r="V147" i="40"/>
  <c r="V150" i="50"/>
  <c r="V148" i="42"/>
  <c r="AG150" i="51"/>
  <c r="AH149" i="51"/>
  <c r="V148" i="40"/>
  <c r="V151" i="50"/>
  <c r="V149" i="42"/>
  <c r="AG151" i="51"/>
  <c r="AH150" i="51"/>
  <c r="V149" i="40"/>
  <c r="V152" i="50"/>
  <c r="V150" i="42"/>
  <c r="AG152" i="51"/>
  <c r="AH151" i="51"/>
  <c r="V150" i="40"/>
  <c r="V153" i="50"/>
  <c r="V151" i="42"/>
  <c r="AH152" i="51"/>
  <c r="AG153" i="51"/>
  <c r="V151" i="40"/>
  <c r="V154" i="50"/>
  <c r="V152" i="42"/>
  <c r="AG154" i="51"/>
  <c r="AH153" i="51"/>
  <c r="V152" i="40"/>
  <c r="V155" i="50"/>
  <c r="V153" i="42"/>
  <c r="AH154" i="51"/>
  <c r="AG155" i="51"/>
  <c r="V153" i="40"/>
  <c r="V156" i="50"/>
  <c r="V154" i="42"/>
  <c r="AH155" i="51"/>
  <c r="AG156" i="51"/>
  <c r="V154" i="40"/>
  <c r="V157" i="50"/>
  <c r="V155" i="42"/>
  <c r="AH156" i="51"/>
  <c r="AG157" i="51"/>
  <c r="V155" i="40"/>
  <c r="V158" i="50"/>
  <c r="V156" i="42"/>
  <c r="AG158" i="51"/>
  <c r="AH157" i="51"/>
  <c r="V156" i="40"/>
  <c r="V159" i="50"/>
  <c r="V157" i="42"/>
  <c r="AG159" i="51"/>
  <c r="AH158" i="51"/>
  <c r="V157" i="40"/>
  <c r="V160" i="50"/>
  <c r="V158" i="42"/>
  <c r="AH159" i="51"/>
  <c r="AG160" i="51"/>
  <c r="V158" i="40"/>
  <c r="V161" i="50"/>
  <c r="V159" i="42"/>
  <c r="AG161" i="51"/>
  <c r="AH160" i="51"/>
  <c r="V159" i="40"/>
  <c r="V162" i="50"/>
  <c r="V160" i="42"/>
  <c r="AH161" i="51"/>
  <c r="AG162" i="51"/>
  <c r="V160" i="40"/>
  <c r="V163" i="50"/>
  <c r="V161" i="42"/>
  <c r="AG163" i="51"/>
  <c r="AH162" i="51"/>
  <c r="V161" i="40"/>
  <c r="V164" i="50"/>
  <c r="V162" i="42"/>
  <c r="AH163" i="51"/>
  <c r="AG164" i="51"/>
  <c r="V162" i="40"/>
  <c r="V165" i="50"/>
  <c r="V163" i="42"/>
  <c r="AH164" i="51"/>
  <c r="AG165" i="51"/>
  <c r="V163" i="40"/>
  <c r="V166" i="50"/>
  <c r="V164" i="42"/>
  <c r="AH165" i="51"/>
  <c r="AG166" i="51"/>
  <c r="V164" i="40"/>
  <c r="V167" i="50"/>
  <c r="V165" i="42"/>
  <c r="AH166" i="51"/>
  <c r="AG167" i="51"/>
  <c r="V165" i="40"/>
  <c r="V168" i="50"/>
  <c r="V166" i="42"/>
  <c r="AG168" i="51"/>
  <c r="AH167" i="51"/>
  <c r="V166" i="40"/>
  <c r="V169" i="50"/>
  <c r="V167" i="42"/>
  <c r="AG169" i="51"/>
  <c r="AH168" i="51"/>
  <c r="V167" i="40"/>
  <c r="V170" i="50"/>
  <c r="V168" i="42"/>
  <c r="AH169" i="51"/>
  <c r="AG170" i="51"/>
  <c r="V168" i="40"/>
  <c r="V171" i="50"/>
  <c r="V169" i="42"/>
  <c r="AH170" i="51"/>
  <c r="AG171" i="51"/>
  <c r="V169" i="40"/>
  <c r="V172" i="50"/>
  <c r="V170" i="42"/>
  <c r="AH171" i="51"/>
  <c r="AG172" i="51"/>
  <c r="V170" i="40"/>
  <c r="V173" i="50"/>
  <c r="V171" i="42"/>
  <c r="AG173" i="51"/>
  <c r="AH172" i="51"/>
  <c r="V171" i="40"/>
  <c r="V174" i="50"/>
  <c r="V172" i="42"/>
  <c r="AG174" i="51"/>
  <c r="AH173" i="51"/>
  <c r="V172" i="40"/>
  <c r="V175" i="50"/>
  <c r="V173" i="42"/>
  <c r="AG175" i="51"/>
  <c r="AH174" i="51"/>
  <c r="V173" i="40"/>
  <c r="V176" i="50"/>
  <c r="V174" i="42"/>
  <c r="AG176" i="51"/>
  <c r="AH175" i="51"/>
  <c r="V174" i="40"/>
  <c r="V177" i="50"/>
  <c r="V175" i="42"/>
  <c r="AG177" i="51"/>
  <c r="AH176" i="51"/>
  <c r="V175" i="40"/>
  <c r="V178" i="50"/>
  <c r="V176" i="42"/>
  <c r="AG178" i="51"/>
  <c r="AH177" i="51"/>
  <c r="V176" i="40"/>
  <c r="V179" i="50"/>
  <c r="V177" i="42"/>
  <c r="AG179" i="51"/>
  <c r="AH178" i="51"/>
  <c r="V177" i="40"/>
  <c r="V180" i="50"/>
  <c r="V178" i="42"/>
  <c r="AG180" i="51"/>
  <c r="AH179" i="51"/>
  <c r="V178" i="40"/>
  <c r="V181" i="50"/>
  <c r="V179" i="42"/>
  <c r="AG181" i="51"/>
  <c r="AH180" i="51"/>
  <c r="V179" i="40"/>
  <c r="V182" i="50"/>
  <c r="V180" i="42"/>
  <c r="AG182" i="51"/>
  <c r="AH181" i="51"/>
  <c r="V180" i="40"/>
  <c r="V183" i="50"/>
  <c r="V181" i="42"/>
  <c r="AG183" i="51"/>
  <c r="AH182" i="51"/>
  <c r="V181" i="40"/>
  <c r="V184" i="50"/>
  <c r="V182" i="42"/>
  <c r="AG184" i="51"/>
  <c r="AH183" i="51"/>
  <c r="V182" i="40"/>
  <c r="V185" i="50"/>
  <c r="V183" i="42"/>
  <c r="AG185" i="51"/>
  <c r="AH184" i="51"/>
  <c r="V183" i="40"/>
  <c r="V186" i="50"/>
  <c r="V184" i="42"/>
  <c r="AH185" i="51"/>
  <c r="AG186" i="51"/>
  <c r="V184" i="40"/>
  <c r="V187" i="50"/>
  <c r="V185" i="42"/>
  <c r="AH186" i="51"/>
  <c r="AG187" i="51"/>
  <c r="V185" i="40"/>
  <c r="V188" i="50"/>
  <c r="V186" i="42"/>
  <c r="AG188" i="51"/>
  <c r="AH187" i="51"/>
  <c r="V186" i="40"/>
  <c r="V189" i="50"/>
  <c r="V187" i="42"/>
  <c r="AG189" i="51"/>
  <c r="AH188" i="51"/>
  <c r="V187" i="40"/>
  <c r="V190" i="50"/>
  <c r="V188" i="42"/>
  <c r="AH189" i="51"/>
  <c r="AG190" i="51"/>
  <c r="V188" i="40"/>
  <c r="V191" i="50"/>
  <c r="V189" i="42"/>
  <c r="AH190" i="51"/>
  <c r="AG191" i="51"/>
  <c r="V189" i="40"/>
  <c r="V192" i="50"/>
  <c r="V190" i="42"/>
  <c r="AH191" i="51"/>
  <c r="AG192" i="51"/>
  <c r="V190" i="40"/>
  <c r="V193" i="50"/>
  <c r="V191" i="42"/>
  <c r="AH192" i="51"/>
  <c r="AG193" i="51"/>
  <c r="V191" i="40"/>
  <c r="V194" i="50"/>
  <c r="V192" i="42"/>
  <c r="AH193" i="51"/>
  <c r="AG194" i="51"/>
  <c r="V192" i="40"/>
  <c r="V195" i="50"/>
  <c r="V193" i="42"/>
  <c r="AG195" i="51"/>
  <c r="AH194" i="51"/>
  <c r="V193" i="40"/>
  <c r="V196" i="50"/>
  <c r="V194" i="42"/>
  <c r="AG196" i="51"/>
  <c r="AH195" i="51"/>
  <c r="V194" i="40"/>
  <c r="V197" i="50"/>
  <c r="V195" i="42"/>
  <c r="AG197" i="51"/>
  <c r="AH196" i="51"/>
  <c r="V195" i="40"/>
  <c r="V198" i="50"/>
  <c r="V196" i="42"/>
  <c r="AH197" i="51"/>
  <c r="AG198" i="51"/>
  <c r="V196" i="40"/>
  <c r="V199" i="50"/>
  <c r="V197" i="42"/>
  <c r="AG199" i="51"/>
  <c r="AH198" i="51"/>
  <c r="V197" i="40"/>
  <c r="V200" i="50"/>
  <c r="V198" i="42"/>
  <c r="AH199" i="51"/>
  <c r="AG200" i="51"/>
  <c r="V198" i="40"/>
  <c r="V201" i="50"/>
  <c r="V199" i="42"/>
  <c r="AG201" i="51"/>
  <c r="AH200" i="51"/>
  <c r="V199" i="40"/>
  <c r="V202" i="50"/>
  <c r="V200" i="42"/>
  <c r="AG202" i="51"/>
  <c r="AH201" i="51"/>
  <c r="V200" i="40"/>
  <c r="V203" i="50"/>
  <c r="V201" i="42"/>
  <c r="AH202" i="51"/>
  <c r="AG203" i="51"/>
  <c r="V201" i="40"/>
  <c r="V204" i="50"/>
  <c r="V202" i="42"/>
  <c r="AG204" i="51"/>
  <c r="AH203" i="51"/>
  <c r="V202" i="40"/>
  <c r="V205" i="50"/>
  <c r="V203" i="42"/>
  <c r="AH204" i="51"/>
  <c r="AG205" i="51"/>
  <c r="V203" i="40"/>
  <c r="V206" i="50"/>
  <c r="V204" i="42"/>
  <c r="AH205" i="51"/>
  <c r="AG206" i="51"/>
  <c r="V204" i="40"/>
  <c r="V207" i="50"/>
  <c r="V205" i="42"/>
  <c r="AH206" i="51"/>
  <c r="AG207" i="51"/>
  <c r="V205" i="40"/>
  <c r="V208" i="50"/>
  <c r="V206" i="42"/>
  <c r="AH207" i="51"/>
  <c r="AG208" i="51"/>
  <c r="V206" i="40"/>
  <c r="V209" i="50"/>
  <c r="V207" i="42"/>
  <c r="AG209" i="51"/>
  <c r="AH208" i="51"/>
  <c r="V207" i="40"/>
  <c r="V210" i="50"/>
  <c r="V208" i="42"/>
  <c r="AH209" i="51"/>
  <c r="AG210" i="51"/>
  <c r="V208" i="40"/>
  <c r="V211" i="50"/>
  <c r="V209" i="42"/>
  <c r="AH210" i="51"/>
  <c r="AG211" i="51"/>
  <c r="V209" i="40"/>
  <c r="V212" i="50"/>
  <c r="V210" i="42"/>
  <c r="AG212" i="51"/>
  <c r="AH211" i="51"/>
  <c r="V210" i="40"/>
  <c r="V213" i="50"/>
  <c r="V211" i="42"/>
  <c r="AH212" i="51"/>
  <c r="AG213" i="51"/>
  <c r="V211" i="40"/>
  <c r="V214" i="50"/>
  <c r="V212" i="42"/>
  <c r="AH213" i="51"/>
  <c r="AG214" i="51"/>
  <c r="V212" i="40"/>
  <c r="V215" i="50"/>
  <c r="V213" i="42"/>
  <c r="AH214" i="51"/>
  <c r="AG215" i="51"/>
  <c r="V213" i="40"/>
  <c r="V216" i="50"/>
  <c r="V214" i="42"/>
  <c r="AG216" i="51"/>
  <c r="AH215" i="51"/>
  <c r="V214" i="40"/>
  <c r="V217" i="50"/>
  <c r="V215" i="42"/>
  <c r="AH216" i="51"/>
  <c r="AG217" i="51"/>
  <c r="V215" i="40"/>
  <c r="V218" i="50"/>
  <c r="V216" i="42"/>
  <c r="AG218" i="51"/>
  <c r="AH217" i="51"/>
  <c r="V216" i="40"/>
  <c r="V219" i="50"/>
  <c r="V217" i="42"/>
  <c r="AG219" i="51"/>
  <c r="AH218" i="51"/>
  <c r="V217" i="40"/>
  <c r="V220" i="50"/>
  <c r="V218" i="42"/>
  <c r="AH219" i="51"/>
  <c r="AG220" i="51"/>
  <c r="V218" i="40"/>
  <c r="V221" i="50"/>
  <c r="V219" i="42"/>
  <c r="AH220" i="51"/>
  <c r="AG221" i="51"/>
  <c r="V219" i="40"/>
  <c r="V222" i="50"/>
  <c r="V220" i="42"/>
  <c r="AH221" i="51"/>
  <c r="AG222" i="51"/>
  <c r="V220" i="40"/>
  <c r="V223" i="50"/>
  <c r="V221" i="42"/>
  <c r="AH222" i="51"/>
  <c r="AG223" i="51"/>
  <c r="V221" i="40"/>
  <c r="V224" i="50"/>
  <c r="V222" i="42"/>
  <c r="AG224" i="51"/>
  <c r="AH223" i="51"/>
  <c r="V222" i="40"/>
  <c r="V225" i="50"/>
  <c r="V223" i="42"/>
  <c r="AH224" i="51"/>
  <c r="AG225" i="51"/>
  <c r="V223" i="40"/>
  <c r="V226" i="50"/>
  <c r="V224" i="42"/>
  <c r="AG226" i="51"/>
  <c r="AH225" i="51"/>
  <c r="V224" i="40"/>
  <c r="V227" i="50"/>
  <c r="V225" i="42"/>
  <c r="AH226" i="51"/>
  <c r="AG227" i="51"/>
  <c r="V225" i="40"/>
  <c r="V228" i="50"/>
  <c r="V226" i="42"/>
  <c r="AH227" i="51"/>
  <c r="AG228" i="51"/>
  <c r="V226" i="40"/>
  <c r="V229" i="50"/>
  <c r="V227" i="42"/>
  <c r="AH228" i="51"/>
  <c r="AG229" i="51"/>
  <c r="V227" i="40"/>
  <c r="V230" i="50"/>
  <c r="V228" i="42"/>
  <c r="AG230" i="51"/>
  <c r="AH229" i="51"/>
  <c r="V228" i="40"/>
  <c r="V231" i="50"/>
  <c r="V229" i="42"/>
  <c r="AG231" i="51"/>
  <c r="AH230" i="51"/>
  <c r="V229" i="40"/>
  <c r="V232" i="50"/>
  <c r="V230" i="42"/>
  <c r="AH231" i="51"/>
  <c r="AG232" i="51"/>
  <c r="V230" i="40"/>
  <c r="V233" i="50"/>
  <c r="V231" i="42"/>
  <c r="AG233" i="51"/>
  <c r="AH232" i="51"/>
  <c r="V231" i="40"/>
  <c r="V234" i="50"/>
  <c r="V232" i="42"/>
  <c r="AH233" i="51"/>
  <c r="AG234" i="51"/>
  <c r="V232" i="40"/>
  <c r="V235" i="50"/>
  <c r="V233" i="42"/>
  <c r="AH234" i="51"/>
  <c r="AG235" i="51"/>
  <c r="V233" i="40"/>
  <c r="V236" i="50"/>
  <c r="V234" i="42"/>
  <c r="AH235" i="51"/>
  <c r="AG236" i="51"/>
  <c r="V234" i="40"/>
  <c r="V237" i="50"/>
  <c r="V235" i="42"/>
  <c r="AH236" i="51"/>
  <c r="AG237" i="51"/>
  <c r="V235" i="40"/>
  <c r="V238" i="50"/>
  <c r="V236" i="42"/>
  <c r="AG238" i="51"/>
  <c r="AH237" i="51"/>
  <c r="V236" i="40"/>
  <c r="V239" i="50"/>
  <c r="V237" i="42"/>
  <c r="AG239" i="51"/>
  <c r="AH238" i="51"/>
  <c r="V237" i="40"/>
  <c r="V240" i="50"/>
  <c r="V238" i="42"/>
  <c r="AG240" i="51"/>
  <c r="AH239" i="51"/>
  <c r="V238" i="40"/>
  <c r="V241" i="50"/>
  <c r="V239" i="42"/>
  <c r="AG241" i="51"/>
  <c r="AH240" i="51"/>
  <c r="V239" i="40"/>
  <c r="V242" i="50"/>
  <c r="V240" i="42"/>
  <c r="AH241" i="51"/>
  <c r="AG242" i="51"/>
  <c r="V240" i="40"/>
  <c r="V243" i="50"/>
  <c r="V241" i="42"/>
  <c r="AG243" i="51"/>
  <c r="AH242" i="51"/>
  <c r="V241" i="40"/>
  <c r="V244" i="50"/>
  <c r="V242" i="42"/>
  <c r="AH243" i="51"/>
  <c r="AG244" i="51"/>
  <c r="V242" i="40"/>
  <c r="V245" i="50"/>
  <c r="V243" i="42"/>
  <c r="AG245" i="51"/>
  <c r="AH244" i="51"/>
  <c r="V243" i="40"/>
  <c r="V246" i="50"/>
  <c r="V244" i="42"/>
  <c r="AH245" i="51"/>
  <c r="AG246" i="51"/>
  <c r="V244" i="40"/>
  <c r="V247" i="50"/>
  <c r="V245" i="42"/>
  <c r="AH246" i="51"/>
  <c r="AG247" i="51"/>
  <c r="V245" i="40"/>
  <c r="V248" i="50"/>
  <c r="V246" i="42"/>
  <c r="AH247" i="51"/>
  <c r="AG248" i="51"/>
  <c r="V246" i="40"/>
  <c r="V249" i="50"/>
  <c r="V247" i="42"/>
  <c r="AH248" i="51"/>
  <c r="AG249" i="51"/>
  <c r="V247" i="40"/>
  <c r="V250" i="50"/>
  <c r="V248" i="42"/>
  <c r="AH249" i="51"/>
  <c r="AG250" i="51"/>
  <c r="V248" i="40"/>
  <c r="V251" i="50"/>
  <c r="V249" i="42"/>
  <c r="AH250" i="51"/>
  <c r="AG251" i="51"/>
  <c r="V249" i="40"/>
  <c r="V252" i="50"/>
  <c r="V250" i="42"/>
  <c r="AH251" i="51"/>
  <c r="AG252" i="51"/>
  <c r="V250" i="40"/>
  <c r="V253" i="50"/>
  <c r="V251" i="42"/>
  <c r="AH252" i="51"/>
  <c r="AG253" i="51"/>
  <c r="V251" i="40"/>
  <c r="V254" i="50"/>
  <c r="V252" i="42"/>
  <c r="AG254" i="51"/>
  <c r="AH253" i="51"/>
  <c r="V252" i="40"/>
  <c r="V255" i="50"/>
  <c r="V253" i="42"/>
  <c r="AG255" i="51"/>
  <c r="AH254" i="51"/>
  <c r="V253" i="40"/>
  <c r="V256" i="50"/>
  <c r="V254" i="42"/>
  <c r="AH255" i="51"/>
  <c r="AG256" i="51"/>
  <c r="V254" i="40"/>
  <c r="V257" i="50"/>
  <c r="V255" i="42"/>
  <c r="AH256" i="51"/>
  <c r="AG257" i="51"/>
  <c r="V255" i="40"/>
  <c r="V258" i="50"/>
  <c r="V256" i="42"/>
  <c r="AG258" i="51"/>
  <c r="AH257" i="51"/>
  <c r="V256" i="40"/>
  <c r="V259" i="50"/>
  <c r="V257" i="42"/>
  <c r="AH258" i="51"/>
  <c r="AG259" i="51"/>
  <c r="AH259" i="51" s="1"/>
  <c r="V257" i="40"/>
  <c r="V260" i="50"/>
  <c r="V258" i="42"/>
  <c r="V258" i="40"/>
  <c r="V261" i="50"/>
  <c r="V259" i="42"/>
  <c r="V259" i="40"/>
  <c r="V262" i="50"/>
  <c r="V260" i="42"/>
  <c r="V260" i="40"/>
  <c r="V261" i="42"/>
  <c r="V261" i="40"/>
  <c r="V262" i="40"/>
  <c r="W262" i="40" l="1"/>
  <c r="W261" i="40"/>
  <c r="W261" i="42"/>
  <c r="W260" i="40"/>
  <c r="W260" i="42"/>
  <c r="W262" i="50"/>
  <c r="W259" i="40"/>
  <c r="W259" i="42"/>
  <c r="W261" i="50"/>
  <c r="W258" i="40"/>
  <c r="W258" i="42"/>
  <c r="W260" i="50"/>
  <c r="W257" i="40"/>
  <c r="W257" i="42"/>
  <c r="W259" i="50"/>
  <c r="W256" i="40"/>
  <c r="W256" i="42"/>
  <c r="W258" i="50"/>
  <c r="W255" i="40"/>
  <c r="W255" i="42"/>
  <c r="W257" i="50"/>
  <c r="W254" i="40"/>
  <c r="W254" i="42"/>
  <c r="W256" i="50"/>
  <c r="W253" i="40"/>
  <c r="W253" i="42"/>
  <c r="W255" i="50"/>
  <c r="W252" i="40"/>
  <c r="W252" i="42"/>
  <c r="W254" i="50"/>
  <c r="W251" i="40"/>
  <c r="W251" i="42"/>
  <c r="W253" i="50"/>
  <c r="W250" i="40"/>
  <c r="W250" i="42"/>
  <c r="W252" i="50"/>
  <c r="W249" i="40"/>
  <c r="W249" i="42"/>
  <c r="W251" i="50"/>
  <c r="W248" i="40"/>
  <c r="W248" i="42"/>
  <c r="W250" i="50"/>
  <c r="W247" i="40"/>
  <c r="W247" i="42"/>
  <c r="W249" i="50"/>
  <c r="W246" i="40"/>
  <c r="W246" i="42"/>
  <c r="W248" i="50"/>
  <c r="W245" i="40"/>
  <c r="W245" i="42"/>
  <c r="W247" i="50"/>
  <c r="W244" i="40"/>
  <c r="W244" i="42"/>
  <c r="W246" i="50"/>
  <c r="W243" i="40"/>
  <c r="W243" i="42"/>
  <c r="W245" i="50"/>
  <c r="W242" i="40"/>
  <c r="W242" i="42"/>
  <c r="W244" i="50"/>
  <c r="W241" i="40"/>
  <c r="W241" i="42"/>
  <c r="W243" i="50"/>
  <c r="W240" i="40"/>
  <c r="W240" i="42"/>
  <c r="W242" i="50"/>
  <c r="W239" i="40"/>
  <c r="W239" i="42"/>
  <c r="W241" i="50"/>
  <c r="W238" i="40"/>
  <c r="W238" i="42"/>
  <c r="W240" i="50"/>
  <c r="W237" i="40"/>
  <c r="W237" i="42"/>
  <c r="W239" i="50"/>
  <c r="W236" i="40"/>
  <c r="W236" i="42"/>
  <c r="W238" i="50"/>
  <c r="W235" i="40"/>
  <c r="W235" i="42"/>
  <c r="W237" i="50"/>
  <c r="W234" i="40"/>
  <c r="W234" i="42"/>
  <c r="W236" i="50"/>
  <c r="W233" i="40"/>
  <c r="W233" i="42"/>
  <c r="W235" i="50"/>
  <c r="W232" i="40"/>
  <c r="W232" i="42"/>
  <c r="W234" i="50"/>
  <c r="W231" i="40"/>
  <c r="W231" i="42"/>
  <c r="W233" i="50"/>
  <c r="W230" i="40"/>
  <c r="W230" i="42"/>
  <c r="W232" i="50"/>
  <c r="W229" i="40"/>
  <c r="W229" i="42"/>
  <c r="W231" i="50"/>
  <c r="W228" i="40"/>
  <c r="W228" i="42"/>
  <c r="W230" i="50"/>
  <c r="W227" i="40"/>
  <c r="W227" i="42"/>
  <c r="W229" i="50"/>
  <c r="W226" i="40"/>
  <c r="W226" i="42"/>
  <c r="W228" i="50"/>
  <c r="W225" i="40"/>
  <c r="W225" i="42"/>
  <c r="W227" i="50"/>
  <c r="W224" i="40"/>
  <c r="W224" i="42"/>
  <c r="W226" i="50"/>
  <c r="W223" i="40"/>
  <c r="W223" i="42"/>
  <c r="W225" i="50"/>
  <c r="W222" i="40"/>
  <c r="W222" i="42"/>
  <c r="W224" i="50"/>
  <c r="W221" i="40"/>
  <c r="W221" i="42"/>
  <c r="W223" i="50"/>
  <c r="W220" i="40"/>
  <c r="W220" i="42"/>
  <c r="W222" i="50"/>
  <c r="W219" i="40"/>
  <c r="W219" i="42"/>
  <c r="W221" i="50"/>
  <c r="W218" i="40"/>
  <c r="W218" i="42"/>
  <c r="W220" i="50"/>
  <c r="W217" i="40"/>
  <c r="W217" i="42"/>
  <c r="W219" i="50"/>
  <c r="W216" i="40"/>
  <c r="W216" i="42"/>
  <c r="W218" i="50"/>
  <c r="W215" i="40"/>
  <c r="W215" i="42"/>
  <c r="W217" i="50"/>
  <c r="W214" i="40"/>
  <c r="W214" i="42"/>
  <c r="W216" i="50"/>
  <c r="W213" i="40"/>
  <c r="W213" i="42"/>
  <c r="W215" i="50"/>
  <c r="W212" i="40"/>
  <c r="W212" i="42"/>
  <c r="W214" i="50"/>
  <c r="W211" i="40"/>
  <c r="W211" i="42"/>
  <c r="W213" i="50"/>
  <c r="W210" i="40"/>
  <c r="W210" i="42"/>
  <c r="W212" i="50"/>
  <c r="W209" i="40"/>
  <c r="W209" i="42"/>
  <c r="W211" i="50"/>
  <c r="W208" i="40"/>
  <c r="W208" i="42"/>
  <c r="W210" i="50"/>
  <c r="W207" i="40"/>
  <c r="W207" i="42"/>
  <c r="W209" i="50"/>
  <c r="W206" i="40"/>
  <c r="W206" i="42"/>
  <c r="W208" i="50"/>
  <c r="W205" i="40"/>
  <c r="W205" i="42"/>
  <c r="W207" i="50"/>
  <c r="W204" i="40"/>
  <c r="W204" i="42"/>
  <c r="W206" i="50"/>
  <c r="W203" i="40"/>
  <c r="W203" i="42"/>
  <c r="W205" i="50"/>
  <c r="W202" i="40"/>
  <c r="W202" i="42"/>
  <c r="W204" i="50"/>
  <c r="W201" i="40"/>
  <c r="W201" i="42"/>
  <c r="W203" i="50"/>
  <c r="W200" i="40"/>
  <c r="W200" i="42"/>
  <c r="W202" i="50"/>
  <c r="W199" i="40"/>
  <c r="W199" i="42"/>
  <c r="W201" i="50"/>
  <c r="W198" i="40"/>
  <c r="W198" i="42"/>
  <c r="W200" i="50"/>
  <c r="W197" i="40"/>
  <c r="W197" i="42"/>
  <c r="W199" i="50"/>
  <c r="W196" i="40"/>
  <c r="W196" i="42"/>
  <c r="W198" i="50"/>
  <c r="W195" i="40"/>
  <c r="W195" i="42"/>
  <c r="W197" i="50"/>
  <c r="W194" i="40"/>
  <c r="W194" i="42"/>
  <c r="W196" i="50"/>
  <c r="W193" i="40"/>
  <c r="W193" i="42"/>
  <c r="W195" i="50"/>
  <c r="W192" i="40"/>
  <c r="W192" i="42"/>
  <c r="W194" i="50"/>
  <c r="W191" i="40"/>
  <c r="W191" i="42"/>
  <c r="W193" i="50"/>
  <c r="W190" i="40"/>
  <c r="W190" i="42"/>
  <c r="W192" i="50"/>
  <c r="W189" i="40"/>
  <c r="W189" i="42"/>
  <c r="W191" i="50"/>
  <c r="W188" i="40"/>
  <c r="W188" i="42"/>
  <c r="W190" i="50"/>
  <c r="W187" i="40"/>
  <c r="W187" i="42"/>
  <c r="W189" i="50"/>
  <c r="W186" i="40"/>
  <c r="W186" i="42"/>
  <c r="W188" i="50"/>
  <c r="W185" i="40"/>
  <c r="W185" i="42"/>
  <c r="W187" i="50"/>
  <c r="W184" i="40"/>
  <c r="W184" i="42"/>
  <c r="W186" i="50"/>
  <c r="W183" i="40"/>
  <c r="W183" i="42"/>
  <c r="W185" i="50"/>
  <c r="W182" i="40"/>
  <c r="W182" i="42"/>
  <c r="W184" i="50"/>
  <c r="W181" i="40"/>
  <c r="W181" i="42"/>
  <c r="W183" i="50"/>
  <c r="W180" i="40"/>
  <c r="W180" i="42"/>
  <c r="W182" i="50"/>
  <c r="W179" i="40"/>
  <c r="W179" i="42"/>
  <c r="W181" i="50"/>
  <c r="W178" i="40"/>
  <c r="W178" i="42"/>
  <c r="W180" i="50"/>
  <c r="W177" i="40"/>
  <c r="W177" i="42"/>
  <c r="W179" i="50"/>
  <c r="W176" i="40"/>
  <c r="W176" i="42"/>
  <c r="W178" i="50"/>
  <c r="W175" i="40"/>
  <c r="W175" i="42"/>
  <c r="W177" i="50"/>
  <c r="W174" i="40"/>
  <c r="W174" i="42"/>
  <c r="W176" i="50"/>
  <c r="W173" i="40"/>
  <c r="W173" i="42"/>
  <c r="W175" i="50"/>
  <c r="W172" i="40"/>
  <c r="W172" i="42"/>
  <c r="W174" i="50"/>
  <c r="W171" i="40"/>
  <c r="W171" i="42"/>
  <c r="W173" i="50"/>
  <c r="W170" i="40"/>
  <c r="W170" i="42"/>
  <c r="W172" i="50"/>
  <c r="W169" i="40"/>
  <c r="W169" i="42"/>
  <c r="W171" i="50"/>
  <c r="W168" i="40"/>
  <c r="W168" i="42"/>
  <c r="W170" i="50"/>
  <c r="W167" i="40"/>
  <c r="W167" i="42"/>
  <c r="W169" i="50"/>
  <c r="W166" i="40"/>
  <c r="W166" i="42"/>
  <c r="W168" i="50"/>
  <c r="W165" i="40"/>
  <c r="W165" i="42"/>
  <c r="W167" i="50"/>
  <c r="W164" i="40"/>
  <c r="W164" i="42"/>
  <c r="W166" i="50"/>
  <c r="W163" i="40"/>
  <c r="W163" i="42"/>
  <c r="W165" i="50"/>
  <c r="W162" i="40"/>
  <c r="W162" i="42"/>
  <c r="W164" i="50"/>
  <c r="W161" i="40"/>
  <c r="W161" i="42"/>
  <c r="W163" i="50"/>
  <c r="W160" i="40"/>
  <c r="W160" i="42"/>
  <c r="W162" i="50"/>
  <c r="W159" i="40"/>
  <c r="W159" i="42"/>
  <c r="W161" i="50"/>
  <c r="W158" i="40"/>
  <c r="W158" i="42"/>
  <c r="W160" i="50"/>
  <c r="W157" i="40"/>
  <c r="W157" i="42"/>
  <c r="W159" i="50"/>
  <c r="W156" i="40"/>
  <c r="W156" i="42"/>
  <c r="W158" i="50"/>
  <c r="W155" i="40"/>
  <c r="W155" i="42"/>
  <c r="W157" i="50"/>
  <c r="W154" i="40"/>
  <c r="W154" i="42"/>
  <c r="W156" i="50"/>
  <c r="W153" i="40"/>
  <c r="W153" i="42"/>
  <c r="W155" i="50"/>
  <c r="W152" i="40"/>
  <c r="W152" i="42"/>
  <c r="W154" i="50"/>
  <c r="W151" i="40"/>
  <c r="W151" i="42"/>
  <c r="W153" i="50"/>
  <c r="W150" i="40"/>
  <c r="W150" i="42"/>
  <c r="W152" i="50"/>
  <c r="W149" i="40"/>
  <c r="W149" i="42"/>
  <c r="W151" i="50"/>
  <c r="W148" i="40"/>
  <c r="W148" i="42"/>
  <c r="W150" i="50"/>
  <c r="W147" i="40"/>
  <c r="W147" i="42"/>
  <c r="W149" i="50"/>
  <c r="W146" i="40"/>
  <c r="W146" i="42"/>
  <c r="W148" i="50"/>
  <c r="W145" i="40"/>
  <c r="W145" i="42"/>
  <c r="W147" i="50"/>
  <c r="W144" i="40"/>
  <c r="W144" i="42"/>
  <c r="W146" i="50"/>
  <c r="W143" i="40"/>
  <c r="W143" i="42"/>
  <c r="W145" i="50"/>
  <c r="W142" i="40"/>
  <c r="W142" i="42"/>
  <c r="W144" i="50"/>
  <c r="W141" i="40"/>
  <c r="W141" i="42"/>
  <c r="W143" i="50"/>
  <c r="W140" i="40"/>
  <c r="W140" i="42"/>
  <c r="W142" i="50"/>
  <c r="W139" i="40"/>
  <c r="W139" i="42"/>
  <c r="W141" i="50"/>
  <c r="W138" i="40"/>
  <c r="W138" i="42"/>
  <c r="W140" i="50"/>
  <c r="W137" i="40"/>
  <c r="W137" i="42"/>
  <c r="W139" i="50"/>
  <c r="W136" i="40"/>
  <c r="W136" i="42"/>
  <c r="W138" i="50"/>
  <c r="W135" i="40"/>
  <c r="W135" i="42"/>
  <c r="W137" i="50"/>
  <c r="W134" i="40"/>
  <c r="W134" i="42"/>
  <c r="W136" i="50"/>
  <c r="W133" i="40"/>
  <c r="W133" i="42"/>
  <c r="W135" i="50"/>
  <c r="W132" i="40"/>
  <c r="W132" i="42"/>
  <c r="W134" i="50"/>
  <c r="W131" i="40"/>
  <c r="W131" i="42"/>
  <c r="W133" i="50"/>
  <c r="W130" i="40"/>
  <c r="W130" i="42"/>
  <c r="W132" i="50"/>
  <c r="W129" i="40"/>
  <c r="W129" i="42"/>
  <c r="W131" i="50"/>
  <c r="W128" i="40"/>
  <c r="W128" i="42"/>
  <c r="W130" i="50"/>
  <c r="W127" i="40"/>
  <c r="W127" i="42"/>
  <c r="W129" i="50"/>
  <c r="W126" i="40"/>
  <c r="W126" i="42"/>
  <c r="W128" i="50"/>
  <c r="W125" i="40"/>
  <c r="W125" i="42"/>
  <c r="W127" i="50"/>
  <c r="W124" i="40"/>
  <c r="W124" i="42"/>
  <c r="W126" i="50"/>
  <c r="W123" i="40"/>
  <c r="W123" i="42"/>
  <c r="W125" i="50"/>
  <c r="W122" i="40"/>
  <c r="W122" i="42"/>
  <c r="W124" i="50"/>
  <c r="W121" i="40"/>
  <c r="W121" i="42"/>
  <c r="W123" i="50"/>
  <c r="W120" i="40"/>
  <c r="W120" i="42"/>
  <c r="W122" i="50"/>
  <c r="W119" i="40"/>
  <c r="W119" i="42"/>
  <c r="W121" i="50"/>
  <c r="W118" i="40"/>
  <c r="W118" i="42"/>
  <c r="W120" i="50"/>
  <c r="W117" i="40"/>
  <c r="W117" i="42"/>
  <c r="W119" i="50"/>
  <c r="W116" i="40"/>
  <c r="W116" i="42"/>
  <c r="W118" i="50"/>
  <c r="W115" i="40"/>
  <c r="W115" i="42"/>
  <c r="W117" i="50"/>
  <c r="W114" i="40"/>
  <c r="W114" i="42"/>
  <c r="W116" i="50"/>
  <c r="W113" i="40"/>
  <c r="W113" i="42"/>
  <c r="W115" i="50"/>
  <c r="W112" i="40"/>
  <c r="W112" i="42"/>
  <c r="W114" i="50"/>
  <c r="W111" i="40"/>
  <c r="W111" i="42"/>
  <c r="W113" i="50"/>
  <c r="W110" i="40"/>
  <c r="W110" i="42"/>
  <c r="W112" i="50"/>
  <c r="W109" i="40"/>
  <c r="W109" i="42"/>
  <c r="W111" i="50"/>
  <c r="W108" i="40"/>
  <c r="W108" i="42"/>
  <c r="W110" i="50"/>
  <c r="W107" i="40"/>
  <c r="W107" i="42"/>
  <c r="W109" i="50"/>
  <c r="W106" i="40"/>
  <c r="W106" i="42"/>
  <c r="W108" i="50"/>
  <c r="W105" i="40"/>
  <c r="W105" i="42"/>
  <c r="W107" i="50"/>
  <c r="W104" i="40"/>
  <c r="W104" i="42"/>
  <c r="W106" i="50"/>
  <c r="W103" i="40"/>
  <c r="W103" i="42"/>
  <c r="W105" i="50"/>
  <c r="W102" i="40"/>
  <c r="W102" i="42"/>
  <c r="W104" i="50"/>
  <c r="W101" i="40"/>
  <c r="W101" i="42"/>
  <c r="W103" i="50"/>
  <c r="W100" i="40"/>
  <c r="W100" i="42"/>
  <c r="W102" i="50"/>
  <c r="W99" i="40"/>
  <c r="W99" i="42"/>
  <c r="W101" i="50"/>
  <c r="W98" i="40"/>
  <c r="W98" i="42"/>
  <c r="W100" i="50"/>
  <c r="W97" i="40"/>
  <c r="W97" i="42"/>
  <c r="W99" i="50"/>
  <c r="W96" i="40"/>
  <c r="W96" i="42"/>
  <c r="W98" i="50"/>
  <c r="W95" i="40"/>
  <c r="W95" i="42"/>
  <c r="W97" i="50"/>
  <c r="W94" i="40"/>
  <c r="W94" i="42"/>
  <c r="W96" i="50"/>
  <c r="W93" i="40"/>
  <c r="W93" i="42"/>
  <c r="W95" i="50"/>
  <c r="W92" i="40"/>
  <c r="W92" i="42"/>
  <c r="W94" i="50"/>
  <c r="W91" i="40"/>
  <c r="W91" i="42"/>
  <c r="W93" i="50"/>
  <c r="W90" i="40"/>
  <c r="W90" i="42"/>
  <c r="W92" i="50"/>
  <c r="W89" i="40"/>
  <c r="W89" i="42"/>
  <c r="W91" i="50"/>
  <c r="W88" i="40"/>
  <c r="W88" i="42"/>
  <c r="W90" i="50"/>
  <c r="W87" i="40"/>
  <c r="W87" i="42"/>
  <c r="W89" i="50"/>
  <c r="W86" i="40"/>
  <c r="W86" i="42"/>
  <c r="W88" i="50"/>
  <c r="W85" i="40"/>
  <c r="W85" i="42"/>
  <c r="W87" i="50"/>
  <c r="W84" i="40"/>
  <c r="W84" i="42"/>
  <c r="W86" i="50"/>
  <c r="W83" i="40"/>
  <c r="W83" i="42"/>
  <c r="W85" i="50"/>
  <c r="W82" i="40"/>
  <c r="W82" i="42"/>
  <c r="W84" i="50"/>
  <c r="W81" i="40"/>
  <c r="W81" i="42"/>
  <c r="W83" i="50"/>
  <c r="W80" i="40"/>
  <c r="W80" i="42"/>
  <c r="W82" i="50"/>
  <c r="W79" i="40"/>
  <c r="W79" i="42"/>
  <c r="W81" i="50"/>
  <c r="W78" i="40"/>
  <c r="W78" i="42"/>
  <c r="W80" i="50"/>
  <c r="W77" i="40"/>
  <c r="W77" i="42"/>
  <c r="W79" i="50"/>
  <c r="W76" i="40"/>
  <c r="W76" i="42"/>
  <c r="W78" i="50"/>
  <c r="W75" i="40"/>
  <c r="W75" i="42"/>
  <c r="W77" i="50"/>
  <c r="W74" i="40"/>
  <c r="W74" i="42"/>
  <c r="W76" i="50"/>
  <c r="W73" i="40"/>
  <c r="W73" i="42"/>
  <c r="W75" i="50"/>
  <c r="W72" i="40"/>
  <c r="W72" i="42"/>
  <c r="W74" i="50"/>
  <c r="W71" i="40"/>
  <c r="W71" i="42"/>
  <c r="W73" i="50"/>
  <c r="W70" i="40"/>
  <c r="W70" i="42"/>
  <c r="W72" i="50"/>
  <c r="W69" i="40"/>
  <c r="W69" i="42"/>
  <c r="W71" i="50"/>
  <c r="W68" i="40"/>
  <c r="W68" i="42"/>
  <c r="W70" i="50"/>
  <c r="W67" i="40"/>
  <c r="W67" i="42"/>
  <c r="W69" i="50"/>
  <c r="W66" i="40"/>
  <c r="W66" i="42"/>
  <c r="W68" i="50"/>
  <c r="W65" i="40"/>
  <c r="W65" i="42"/>
  <c r="W67" i="50"/>
  <c r="W64" i="40"/>
  <c r="W64" i="42"/>
  <c r="W66" i="50"/>
  <c r="W63" i="40"/>
  <c r="W63" i="42"/>
  <c r="W65" i="50"/>
  <c r="W62" i="40"/>
  <c r="W62" i="42"/>
  <c r="W64" i="50"/>
  <c r="W61" i="40"/>
  <c r="W61" i="42"/>
  <c r="W63" i="50"/>
  <c r="W60" i="40"/>
  <c r="W60" i="42"/>
  <c r="W62" i="50"/>
  <c r="W59" i="40"/>
  <c r="W59" i="42"/>
  <c r="W61" i="50"/>
  <c r="W58" i="40"/>
  <c r="W58" i="42"/>
  <c r="W60" i="50"/>
  <c r="W57" i="40"/>
  <c r="W57" i="42"/>
  <c r="W59" i="50"/>
  <c r="W56" i="40"/>
  <c r="W56" i="42"/>
  <c r="W58" i="50"/>
  <c r="W55" i="40"/>
  <c r="W55" i="42"/>
  <c r="W57" i="50"/>
  <c r="W54" i="40"/>
  <c r="W54" i="42"/>
  <c r="W56" i="50"/>
  <c r="W53" i="40"/>
  <c r="W53" i="42"/>
  <c r="W55" i="50"/>
  <c r="W52" i="40"/>
  <c r="W52" i="42"/>
  <c r="W54" i="50"/>
  <c r="W51" i="40"/>
  <c r="W51" i="42"/>
  <c r="W53" i="50"/>
  <c r="W50" i="40"/>
  <c r="W50" i="42"/>
  <c r="W52" i="50"/>
  <c r="W49" i="40"/>
  <c r="W49" i="42"/>
  <c r="W51" i="50"/>
  <c r="W48" i="40"/>
  <c r="W48" i="42"/>
  <c r="W50" i="50"/>
  <c r="W47" i="40"/>
  <c r="W47" i="42"/>
  <c r="W49" i="50"/>
  <c r="W46" i="40"/>
  <c r="W46" i="42"/>
  <c r="W48" i="50"/>
  <c r="W45" i="40"/>
  <c r="W45" i="42"/>
  <c r="W47" i="50"/>
  <c r="W44" i="40"/>
  <c r="W44" i="42"/>
  <c r="W46" i="50"/>
  <c r="W43" i="40"/>
  <c r="W43" i="42"/>
  <c r="W45" i="50"/>
  <c r="W42" i="40"/>
  <c r="W42" i="42"/>
  <c r="W44" i="50"/>
  <c r="W41" i="40"/>
  <c r="W41" i="42"/>
  <c r="W43" i="50"/>
  <c r="W40" i="40"/>
  <c r="W40" i="42"/>
  <c r="W42" i="50"/>
  <c r="W39" i="40"/>
  <c r="W39" i="42"/>
  <c r="W41" i="50"/>
  <c r="W38" i="40"/>
  <c r="W38" i="42"/>
  <c r="W40" i="50"/>
  <c r="W37" i="40"/>
  <c r="W37" i="42"/>
  <c r="W39" i="50"/>
  <c r="W36" i="40"/>
  <c r="W36" i="42"/>
  <c r="W38" i="50"/>
  <c r="W35" i="40"/>
  <c r="W35" i="42"/>
  <c r="W37" i="50"/>
  <c r="W34" i="40"/>
  <c r="W34" i="42"/>
  <c r="W36" i="50"/>
  <c r="W33" i="40"/>
  <c r="W33" i="42"/>
  <c r="W35" i="50"/>
  <c r="W32" i="40"/>
  <c r="W32" i="42"/>
  <c r="W34" i="50"/>
  <c r="W31" i="40"/>
  <c r="W31" i="42"/>
  <c r="W33" i="50"/>
  <c r="W30" i="40"/>
  <c r="W30" i="42"/>
  <c r="W32" i="50"/>
  <c r="W29" i="40"/>
  <c r="W29" i="42"/>
  <c r="W31" i="50"/>
  <c r="W28" i="40"/>
  <c r="W28" i="42"/>
  <c r="W30" i="50"/>
  <c r="W27" i="40"/>
  <c r="W27" i="42"/>
  <c r="W29" i="50"/>
  <c r="W26" i="40"/>
  <c r="W26" i="42"/>
  <c r="W28" i="50"/>
  <c r="W25" i="40"/>
  <c r="W25" i="42"/>
  <c r="W27" i="50"/>
  <c r="W24" i="40"/>
  <c r="W24" i="42"/>
  <c r="W26" i="50"/>
  <c r="W23" i="40"/>
  <c r="W23" i="42"/>
  <c r="W25" i="50"/>
  <c r="W22" i="40"/>
  <c r="W22" i="42"/>
  <c r="W24" i="50"/>
  <c r="W21" i="40"/>
  <c r="W21" i="42"/>
  <c r="W23" i="50"/>
  <c r="W20" i="40"/>
  <c r="W20" i="42"/>
  <c r="W22" i="50"/>
  <c r="F24" i="42"/>
  <c r="W19" i="40"/>
  <c r="W19" i="42"/>
  <c r="W21" i="50"/>
  <c r="D24" i="42"/>
  <c r="W18" i="40"/>
  <c r="W18" i="42"/>
  <c r="W20" i="50"/>
  <c r="F23" i="42"/>
  <c r="W17" i="40"/>
  <c r="W17" i="42"/>
  <c r="W19" i="50"/>
  <c r="D23" i="42"/>
  <c r="W16" i="40"/>
  <c r="W16" i="42"/>
  <c r="W18" i="50"/>
  <c r="F22" i="42"/>
  <c r="W15" i="40"/>
  <c r="W15" i="42"/>
  <c r="W17" i="50"/>
  <c r="D22" i="42"/>
  <c r="W14" i="40"/>
  <c r="W14" i="42"/>
  <c r="W16" i="50"/>
  <c r="F21" i="42"/>
  <c r="W13" i="40"/>
  <c r="W13" i="42"/>
  <c r="W15" i="50"/>
  <c r="D21" i="42"/>
  <c r="W12" i="40"/>
  <c r="W12" i="42"/>
  <c r="W14" i="50"/>
  <c r="F20" i="42"/>
  <c r="W11" i="40"/>
  <c r="W11" i="42"/>
  <c r="W13" i="50"/>
  <c r="D20" i="42"/>
  <c r="W10" i="40"/>
  <c r="W10" i="42"/>
  <c r="W12" i="50"/>
  <c r="F19" i="42"/>
  <c r="W9" i="40"/>
  <c r="W9" i="42"/>
  <c r="W11" i="50"/>
  <c r="D19" i="42"/>
  <c r="W8" i="40"/>
  <c r="W8" i="42"/>
  <c r="W10" i="50"/>
  <c r="F18" i="42"/>
  <c r="W7" i="40"/>
  <c r="W7" i="42"/>
  <c r="Q27" i="45"/>
  <c r="W9" i="50"/>
  <c r="D18" i="42"/>
  <c r="W6" i="40"/>
  <c r="W6" i="42"/>
  <c r="W8" i="50"/>
  <c r="F17" i="42"/>
  <c r="W5" i="40"/>
  <c r="F21" i="40"/>
  <c r="F18" i="40"/>
  <c r="F20" i="40"/>
  <c r="T15" i="45"/>
  <c r="T14" i="45"/>
  <c r="T20" i="45"/>
  <c r="T13" i="45"/>
  <c r="T16" i="45"/>
  <c r="T17" i="45"/>
  <c r="T19" i="45"/>
  <c r="T18" i="45"/>
  <c r="T21" i="45"/>
  <c r="F12" i="40"/>
  <c r="F16" i="40"/>
  <c r="F9" i="40"/>
  <c r="F19" i="40"/>
  <c r="W5" i="42"/>
  <c r="F15" i="40"/>
  <c r="F4" i="40"/>
  <c r="F13" i="40"/>
  <c r="F7" i="40"/>
  <c r="W7" i="50"/>
  <c r="F14" i="40"/>
  <c r="F10" i="40"/>
  <c r="W4" i="40"/>
  <c r="F4" i="42"/>
  <c r="F5" i="40"/>
  <c r="F17" i="40"/>
  <c r="D17" i="42"/>
  <c r="F11" i="40"/>
  <c r="S21" i="45"/>
  <c r="S17" i="45"/>
  <c r="S13" i="45"/>
  <c r="S16" i="45"/>
  <c r="S18" i="45"/>
  <c r="S20" i="45"/>
  <c r="S15" i="45"/>
  <c r="S19" i="45"/>
  <c r="S14" i="45"/>
  <c r="W4" i="42"/>
  <c r="F6" i="40"/>
  <c r="O6" i="43"/>
  <c r="P6" i="43"/>
  <c r="N6" i="43"/>
  <c r="F8" i="40"/>
  <c r="P13" i="45"/>
  <c r="P14" i="45"/>
  <c r="P18" i="45"/>
  <c r="P20" i="45"/>
  <c r="P21" i="45"/>
  <c r="P17" i="45"/>
  <c r="P16" i="45"/>
  <c r="P19" i="45"/>
  <c r="P15" i="45"/>
  <c r="AG8" i="39"/>
  <c r="H16" i="42"/>
  <c r="D35" i="29"/>
  <c r="R27" i="45"/>
  <c r="S27" i="45"/>
  <c r="AB7" i="48"/>
  <c r="H3" i="40"/>
  <c r="AG9" i="39"/>
  <c r="AH8" i="39"/>
  <c r="AC7" i="48"/>
  <c r="AH9" i="39"/>
  <c r="AG10" i="39"/>
  <c r="AH10" i="39"/>
  <c r="AG11" i="39"/>
  <c r="AG12" i="39"/>
  <c r="AH11" i="39"/>
  <c r="AH12" i="39"/>
  <c r="AG13" i="39"/>
  <c r="AG14" i="39"/>
  <c r="AH13" i="39"/>
  <c r="AG15" i="39"/>
  <c r="AH14" i="39"/>
  <c r="AG16" i="39"/>
  <c r="AH15" i="39"/>
  <c r="AG17" i="39"/>
  <c r="AH16" i="39"/>
  <c r="AG18" i="39"/>
  <c r="AH17" i="39"/>
  <c r="AH18" i="39"/>
  <c r="AG19" i="39"/>
  <c r="AG20" i="39"/>
  <c r="AH19" i="39"/>
  <c r="AG21" i="39"/>
  <c r="AH20" i="39"/>
  <c r="AH21" i="39"/>
  <c r="AG22" i="39"/>
  <c r="AH22" i="39"/>
  <c r="AG23" i="39"/>
  <c r="AG24" i="39"/>
  <c r="AH23" i="39"/>
  <c r="AH24" i="39"/>
  <c r="AG25" i="39"/>
  <c r="AG26" i="39"/>
  <c r="AH25" i="39"/>
  <c r="AH26" i="39"/>
  <c r="AG27" i="39"/>
  <c r="AG28" i="39"/>
  <c r="AH27" i="39"/>
  <c r="AG29" i="39"/>
  <c r="AH28" i="39"/>
  <c r="AG30" i="39"/>
  <c r="AH29" i="39"/>
  <c r="AH30" i="39"/>
  <c r="AG31" i="39"/>
  <c r="AG32" i="39"/>
  <c r="AH31" i="39"/>
  <c r="AH32" i="39"/>
  <c r="AG33" i="39"/>
  <c r="AG34" i="39"/>
  <c r="AH33" i="39"/>
  <c r="AG35" i="39"/>
  <c r="AH34" i="39"/>
  <c r="AG36" i="39"/>
  <c r="AH35" i="39"/>
  <c r="AH36" i="39"/>
  <c r="AG37" i="39"/>
  <c r="AH37" i="39"/>
  <c r="AG38" i="39"/>
  <c r="AH38" i="39"/>
  <c r="AG39" i="39"/>
  <c r="AG40" i="39"/>
  <c r="AH39" i="39"/>
  <c r="AG41" i="39"/>
  <c r="AH40" i="39"/>
  <c r="AG42" i="39"/>
  <c r="AH41" i="39"/>
  <c r="AG43" i="39"/>
  <c r="AH42" i="39"/>
  <c r="AG44" i="39"/>
  <c r="AH43" i="39"/>
  <c r="AH44" i="39"/>
  <c r="AG45" i="39"/>
  <c r="AH45" i="39"/>
  <c r="AG46" i="39"/>
  <c r="AG47" i="39"/>
  <c r="AH46" i="39"/>
  <c r="AG48" i="39"/>
  <c r="AH47" i="39"/>
  <c r="AG49" i="39"/>
  <c r="AH48" i="39"/>
  <c r="AG50" i="39"/>
  <c r="AH49" i="39"/>
  <c r="AH50" i="39"/>
  <c r="AG51" i="39"/>
  <c r="AG52" i="39"/>
  <c r="AH51" i="39"/>
  <c r="AH52" i="39"/>
  <c r="AG53" i="39"/>
  <c r="AG54" i="39"/>
  <c r="AH53" i="39"/>
  <c r="AH54" i="39"/>
  <c r="AG55" i="39"/>
  <c r="AG56" i="39"/>
  <c r="AH55" i="39"/>
  <c r="AG57" i="39"/>
  <c r="AH56" i="39"/>
  <c r="AH57" i="39"/>
  <c r="AG58" i="39"/>
  <c r="AG59" i="39"/>
  <c r="AH58" i="39"/>
  <c r="AG60" i="39"/>
  <c r="AH59" i="39"/>
  <c r="AH60" i="39"/>
  <c r="AG61" i="39"/>
  <c r="AH61" i="39"/>
  <c r="AG62" i="39"/>
  <c r="AG63" i="39"/>
  <c r="AH62" i="39"/>
  <c r="AH63" i="39"/>
  <c r="AG64" i="39"/>
  <c r="AG65" i="39"/>
  <c r="AH64" i="39"/>
  <c r="AH65" i="39"/>
  <c r="AG66" i="39"/>
  <c r="AH66" i="39"/>
  <c r="AG67" i="39"/>
  <c r="AH67" i="39"/>
  <c r="AG68" i="39"/>
  <c r="AG69" i="39"/>
  <c r="AH68" i="39"/>
  <c r="AG70" i="39"/>
  <c r="AH69" i="39"/>
  <c r="AG71" i="39"/>
  <c r="AH70" i="39"/>
  <c r="AH71" i="39"/>
  <c r="AG72" i="39"/>
  <c r="AG73" i="39"/>
  <c r="AH72" i="39"/>
  <c r="AG74" i="39"/>
  <c r="AH73" i="39"/>
  <c r="AH74" i="39"/>
  <c r="AG75" i="39"/>
  <c r="AH75" i="39"/>
  <c r="AG76" i="39"/>
  <c r="AG77" i="39"/>
  <c r="AH76" i="39"/>
  <c r="AH77" i="39"/>
  <c r="AG78" i="39"/>
  <c r="AH78" i="39"/>
  <c r="AG79" i="39"/>
  <c r="AG80" i="39"/>
  <c r="AH79" i="39"/>
  <c r="AG81" i="39"/>
  <c r="AH80" i="39"/>
  <c r="AG82" i="39"/>
  <c r="AH81" i="39"/>
  <c r="AH82" i="39"/>
  <c r="AG83" i="39"/>
  <c r="AH83" i="39"/>
  <c r="AG84" i="39"/>
  <c r="AG85" i="39"/>
  <c r="AH84" i="39"/>
  <c r="AH85" i="39"/>
  <c r="AG86" i="39"/>
  <c r="AG87" i="39"/>
  <c r="AH86" i="39"/>
  <c r="AH87" i="39"/>
  <c r="AG88" i="39"/>
  <c r="AH88" i="39"/>
  <c r="AG89" i="39"/>
  <c r="AG90" i="39"/>
  <c r="AH89" i="39"/>
  <c r="AH90" i="39"/>
  <c r="AG91" i="39"/>
  <c r="AH91" i="39"/>
  <c r="AG92" i="39"/>
  <c r="AH92" i="39"/>
  <c r="AG93" i="39"/>
  <c r="AG94" i="39"/>
  <c r="AH93" i="39"/>
  <c r="AH94" i="39"/>
  <c r="AG95" i="39"/>
  <c r="AG96" i="39"/>
  <c r="AH95" i="39"/>
  <c r="AG97" i="39"/>
  <c r="AH96" i="39"/>
  <c r="AH97" i="39"/>
  <c r="AG98" i="39"/>
  <c r="AG99" i="39"/>
  <c r="AH98" i="39"/>
  <c r="AH99" i="39"/>
  <c r="AG100" i="39"/>
  <c r="AH100" i="39"/>
  <c r="AG101" i="39"/>
  <c r="AH101" i="39"/>
  <c r="AG102" i="39"/>
  <c r="AH102" i="39"/>
  <c r="AG103" i="39"/>
  <c r="AH103" i="39"/>
  <c r="AG104" i="39"/>
  <c r="AH104" i="39"/>
  <c r="AG105" i="39"/>
  <c r="AH105" i="39"/>
  <c r="AG106" i="39"/>
  <c r="AH106" i="39"/>
  <c r="AG107" i="39"/>
  <c r="AG108" i="39"/>
  <c r="AH107" i="39"/>
  <c r="AG109" i="39"/>
  <c r="AH108" i="39"/>
  <c r="AH109" i="39"/>
  <c r="AG110" i="39"/>
  <c r="AG111" i="39"/>
  <c r="AH110" i="39"/>
  <c r="AG112" i="39"/>
  <c r="AH111" i="39"/>
  <c r="AG113" i="39"/>
  <c r="AH112" i="39"/>
  <c r="AH113" i="39"/>
  <c r="AG114" i="39"/>
  <c r="AH114" i="39"/>
  <c r="AG115" i="39"/>
  <c r="AH115" i="39"/>
  <c r="AG116" i="39"/>
  <c r="AH116" i="39"/>
  <c r="AG117" i="39"/>
  <c r="AG118" i="39"/>
  <c r="AH117" i="39"/>
  <c r="AH118" i="39"/>
  <c r="AG119" i="39"/>
  <c r="AG120" i="39"/>
  <c r="AH119" i="39"/>
  <c r="AH120" i="39"/>
  <c r="AG121" i="39"/>
  <c r="AG122" i="39"/>
  <c r="AH121" i="39"/>
  <c r="AH122" i="39"/>
  <c r="AG123" i="39"/>
  <c r="AH123" i="39"/>
  <c r="AG124" i="39"/>
  <c r="AG125" i="39"/>
  <c r="AH124" i="39"/>
  <c r="AG126" i="39"/>
  <c r="AH125" i="39"/>
  <c r="AG127" i="39"/>
  <c r="AH126" i="39"/>
  <c r="AG128" i="39"/>
  <c r="AH127" i="39"/>
  <c r="AH128" i="39"/>
  <c r="AG129" i="39"/>
  <c r="AH129" i="39"/>
  <c r="AG130" i="39"/>
  <c r="AG131" i="39"/>
  <c r="AH130" i="39"/>
  <c r="AG132" i="39"/>
  <c r="AH131" i="39"/>
  <c r="Q28" i="45" l="1"/>
  <c r="AH132" i="39"/>
  <c r="AB8" i="48"/>
  <c r="R28" i="45"/>
  <c r="S28" i="45"/>
  <c r="AB9" i="48"/>
  <c r="AC8" i="48"/>
  <c r="AC9" i="48"/>
  <c r="AB10" i="48"/>
  <c r="AB11" i="48"/>
  <c r="AC10" i="48"/>
  <c r="AB12" i="48"/>
  <c r="AC11" i="48"/>
  <c r="AC12" i="48"/>
  <c r="AB13" i="48"/>
  <c r="AC13" i="48"/>
  <c r="AB14" i="48"/>
  <c r="AC14" i="48"/>
  <c r="AB15" i="48"/>
  <c r="AC15" i="48"/>
  <c r="AB16" i="48"/>
  <c r="AB17" i="48"/>
  <c r="AC16" i="48"/>
  <c r="AB18" i="48"/>
  <c r="AC17" i="48"/>
  <c r="AB19" i="48"/>
  <c r="AC18" i="48"/>
  <c r="AB20" i="48"/>
  <c r="AC19" i="48"/>
  <c r="AB21" i="48"/>
  <c r="AC20" i="48"/>
  <c r="AC21" i="48"/>
  <c r="AB22" i="48"/>
  <c r="AB23" i="48"/>
  <c r="AC22" i="48"/>
  <c r="AB24" i="48"/>
  <c r="AC23" i="48"/>
  <c r="AC24" i="48"/>
  <c r="AB25" i="48"/>
  <c r="AB26" i="48"/>
  <c r="AC26" i="48" s="1"/>
  <c r="AC25" i="48"/>
  <c r="Q29" i="45" l="1"/>
  <c r="R29" i="45"/>
  <c r="S29" i="45"/>
  <c r="I6" i="29" l="1"/>
  <c r="I7" i="29"/>
  <c r="V29" i="45"/>
  <c r="T29" i="45"/>
  <c r="W29" i="45"/>
  <c r="W28" i="45"/>
  <c r="V28" i="45"/>
  <c r="T28" i="45"/>
  <c r="W27" i="45"/>
  <c r="I18" i="42"/>
  <c r="I17" i="42"/>
  <c r="V27" i="45"/>
  <c r="T27" i="45"/>
  <c r="I20" i="42"/>
  <c r="I22" i="42"/>
  <c r="I24" i="42"/>
  <c r="I19" i="42"/>
  <c r="I21" i="42"/>
  <c r="I23" i="42"/>
  <c r="K24" i="42"/>
  <c r="J24" i="42"/>
  <c r="K23" i="42"/>
  <c r="J23" i="42"/>
  <c r="K22" i="42"/>
  <c r="J22" i="42"/>
  <c r="K21" i="42"/>
  <c r="J21" i="42"/>
  <c r="K20" i="42"/>
  <c r="J20" i="42"/>
  <c r="K19" i="42"/>
  <c r="J19" i="42"/>
  <c r="K18" i="42"/>
  <c r="J18" i="42"/>
  <c r="W26" i="45"/>
  <c r="K21" i="40"/>
  <c r="K18" i="40"/>
  <c r="K20" i="40"/>
  <c r="K16" i="40"/>
  <c r="K9" i="40"/>
  <c r="K19" i="40"/>
  <c r="K15" i="40"/>
  <c r="T26" i="45"/>
  <c r="K13" i="40"/>
  <c r="K10" i="40"/>
  <c r="K5" i="40"/>
  <c r="K17" i="42"/>
  <c r="J17" i="42"/>
  <c r="K12" i="40"/>
  <c r="J15" i="42"/>
  <c r="G4" i="39"/>
  <c r="H16" i="48"/>
  <c r="R8" i="45"/>
  <c r="K11" i="50"/>
  <c r="I18" i="40"/>
  <c r="I13" i="42"/>
  <c r="J11" i="50"/>
  <c r="J7" i="50"/>
  <c r="I10" i="40"/>
  <c r="K6" i="50"/>
  <c r="L21" i="51"/>
  <c r="I4" i="50"/>
  <c r="J9" i="50"/>
  <c r="J4" i="42"/>
  <c r="M18" i="43"/>
  <c r="J13" i="50"/>
  <c r="J5" i="50"/>
  <c r="I11" i="42"/>
  <c r="J16" i="42"/>
  <c r="K17" i="40"/>
  <c r="R9" i="45"/>
  <c r="L32" i="51"/>
  <c r="M17" i="39"/>
  <c r="I21" i="40"/>
  <c r="R5" i="45"/>
  <c r="I12" i="40"/>
  <c r="K5" i="42"/>
  <c r="I12" i="50"/>
  <c r="J6" i="40"/>
  <c r="M18" i="51"/>
  <c r="J13" i="40"/>
  <c r="J10" i="50"/>
  <c r="L23" i="51"/>
  <c r="M31" i="51"/>
  <c r="L18" i="43"/>
  <c r="L19" i="51"/>
  <c r="J8" i="40"/>
  <c r="J3" i="42"/>
  <c r="H17" i="48"/>
  <c r="I16" i="42"/>
  <c r="M20" i="39"/>
  <c r="H19" i="48"/>
  <c r="J3" i="50"/>
  <c r="I9" i="42"/>
  <c r="L26" i="39"/>
  <c r="G5" i="39"/>
  <c r="M32" i="51"/>
  <c r="J7" i="40"/>
  <c r="M28" i="51"/>
  <c r="K11" i="42"/>
  <c r="J12" i="42"/>
  <c r="M21" i="39"/>
  <c r="I7" i="50"/>
  <c r="J18" i="40"/>
  <c r="K14" i="50"/>
  <c r="K8" i="50"/>
  <c r="I5" i="42"/>
  <c r="I17" i="40"/>
  <c r="Q9" i="45"/>
  <c r="J20" i="40"/>
  <c r="J14" i="40"/>
  <c r="I13" i="50"/>
  <c r="M30" i="51"/>
  <c r="G16" i="48"/>
  <c r="L31" i="51"/>
  <c r="J19" i="40"/>
  <c r="J11" i="40"/>
  <c r="J5" i="42"/>
  <c r="G5" i="43"/>
  <c r="L24" i="51"/>
  <c r="L22" i="51"/>
  <c r="L25" i="51"/>
  <c r="L17" i="51"/>
  <c r="J21" i="40"/>
  <c r="H4" i="51"/>
  <c r="G18" i="48"/>
  <c r="H7" i="51"/>
  <c r="M21" i="51"/>
  <c r="K9" i="50"/>
  <c r="J16" i="40"/>
  <c r="G6" i="43"/>
  <c r="K4" i="40"/>
  <c r="R7" i="45"/>
  <c r="K13" i="50"/>
  <c r="M17" i="51"/>
  <c r="K8" i="40"/>
  <c r="K10" i="50"/>
  <c r="K4" i="42"/>
  <c r="L21" i="39"/>
  <c r="J15" i="40"/>
  <c r="M19" i="39"/>
  <c r="M24" i="51"/>
  <c r="M25" i="51"/>
  <c r="H4" i="39"/>
  <c r="J12" i="50"/>
  <c r="J6" i="42"/>
  <c r="L18" i="51"/>
  <c r="I8" i="40"/>
  <c r="Q4" i="45"/>
  <c r="I4" i="42"/>
  <c r="M23" i="39"/>
  <c r="G4" i="51"/>
  <c r="J15" i="50"/>
  <c r="M20" i="51"/>
  <c r="M25" i="39"/>
  <c r="H15" i="48"/>
  <c r="J8" i="50"/>
  <c r="R6" i="45"/>
  <c r="K3" i="40"/>
  <c r="I6" i="50"/>
  <c r="K7" i="42"/>
  <c r="K5" i="50"/>
  <c r="H5" i="39"/>
  <c r="L23" i="43"/>
  <c r="M22" i="43"/>
  <c r="M21" i="43"/>
  <c r="K11" i="40"/>
  <c r="M29" i="51"/>
  <c r="J14" i="42"/>
  <c r="H7" i="43"/>
  <c r="Q5" i="45"/>
  <c r="M17" i="43"/>
  <c r="I13" i="40"/>
  <c r="K7" i="50"/>
  <c r="J3" i="40"/>
  <c r="J14" i="50"/>
  <c r="J10" i="40"/>
  <c r="J9" i="40"/>
  <c r="L20" i="51"/>
  <c r="I8" i="50"/>
  <c r="L20" i="43"/>
  <c r="J13" i="42"/>
  <c r="H5" i="51"/>
  <c r="M26" i="51"/>
  <c r="H4" i="43"/>
  <c r="I6" i="40"/>
  <c r="J11" i="42"/>
  <c r="J9" i="42"/>
  <c r="L19" i="43"/>
  <c r="I16" i="40"/>
  <c r="I10" i="50"/>
  <c r="K6" i="40"/>
  <c r="L25" i="39"/>
  <c r="L30" i="51"/>
  <c r="U12" i="45" a="1"/>
  <c r="M19" i="43"/>
  <c r="J17" i="40"/>
  <c r="H6" i="51"/>
  <c r="M26" i="39"/>
  <c r="I5" i="40"/>
  <c r="Q7" i="45"/>
  <c r="R4" i="45"/>
  <c r="R13" i="45" s="1" a="1"/>
  <c r="K15" i="42"/>
  <c r="K3" i="50"/>
  <c r="K7" i="40"/>
  <c r="J12" i="40"/>
  <c r="J7" i="42"/>
  <c r="I4" i="40"/>
  <c r="M20" i="43"/>
  <c r="M23" i="43"/>
  <c r="G7" i="51"/>
  <c r="M23" i="51"/>
  <c r="M18" i="39"/>
  <c r="G6" i="39"/>
  <c r="L24" i="39"/>
  <c r="M22" i="39"/>
  <c r="I11" i="50"/>
  <c r="J6" i="50"/>
  <c r="I8" i="42"/>
  <c r="I14" i="40"/>
  <c r="I5" i="50"/>
  <c r="G7" i="39"/>
  <c r="K4" i="50"/>
  <c r="K12" i="50"/>
  <c r="L19" i="39"/>
  <c r="J4" i="50"/>
  <c r="I6" i="42"/>
  <c r="V26" i="45"/>
  <c r="I14" i="50"/>
  <c r="I15" i="40"/>
  <c r="I19" i="40"/>
  <c r="L18" i="39"/>
  <c r="Q3" i="45"/>
  <c r="I11" i="40"/>
  <c r="Q6" i="45"/>
  <c r="K8" i="42"/>
  <c r="K15" i="50"/>
  <c r="G7" i="43"/>
  <c r="L27" i="51"/>
  <c r="J4" i="40"/>
  <c r="I9" i="50"/>
  <c r="G15" i="48"/>
  <c r="I12" i="42"/>
  <c r="I9" i="40"/>
  <c r="L29" i="51"/>
  <c r="H6" i="43"/>
  <c r="I10" i="42"/>
  <c r="M19" i="51"/>
  <c r="I15" i="50"/>
  <c r="Q8" i="45"/>
  <c r="K6" i="42"/>
  <c r="M27" i="51"/>
  <c r="G4" i="43"/>
  <c r="J8" i="42"/>
  <c r="L20" i="39"/>
  <c r="K10" i="42"/>
  <c r="H6" i="39"/>
  <c r="L23" i="39"/>
  <c r="H18" i="48"/>
  <c r="K13" i="42"/>
  <c r="K9" i="42"/>
  <c r="G17" i="48"/>
  <c r="K12" i="42"/>
  <c r="I14" i="42"/>
  <c r="L17" i="39"/>
  <c r="L22" i="43"/>
  <c r="H7" i="39"/>
  <c r="M24" i="39"/>
  <c r="L26" i="51"/>
  <c r="I7" i="42"/>
  <c r="H5" i="43"/>
  <c r="K14" i="42"/>
  <c r="J5" i="40"/>
  <c r="L17" i="43"/>
  <c r="K16" i="42"/>
  <c r="J10" i="42"/>
  <c r="L22" i="39"/>
  <c r="L21" i="43"/>
  <c r="I15" i="42"/>
  <c r="G5" i="51"/>
  <c r="I20" i="40"/>
  <c r="M22" i="51"/>
  <c r="G19" i="48"/>
  <c r="I7" i="40"/>
  <c r="L28" i="51"/>
  <c r="G6" i="51"/>
  <c r="K3" i="42"/>
  <c r="K14" i="40"/>
  <c r="D3" i="48"/>
  <c r="I3" i="50"/>
  <c r="I3" i="40"/>
  <c r="D3" i="43"/>
  <c r="D3" i="39"/>
  <c r="I3" i="42"/>
  <c r="D3" i="51"/>
  <c r="E3" i="48"/>
  <c r="H3" i="48" s="1"/>
  <c r="G3" i="48"/>
  <c r="L3" i="43"/>
  <c r="F3" i="43"/>
  <c r="G3" i="43"/>
  <c r="F3" i="39"/>
  <c r="G3" i="39"/>
  <c r="L3" i="39"/>
  <c r="L3" i="51"/>
  <c r="G3" i="51"/>
  <c r="F3" i="51"/>
  <c r="I3" i="43"/>
  <c r="H3" i="43"/>
  <c r="M3" i="43"/>
  <c r="I3" i="39"/>
  <c r="M3" i="39"/>
  <c r="H3" i="39"/>
  <c r="I3" i="51"/>
  <c r="M3" i="51"/>
  <c r="H3" i="51"/>
  <c r="O3" i="51" l="1"/>
  <c r="N3" i="51"/>
  <c r="P3" i="51"/>
  <c r="O3" i="39"/>
  <c r="P3" i="39"/>
  <c r="N3" i="39"/>
  <c r="O3" i="43"/>
  <c r="P3" i="43"/>
  <c r="N3" i="43"/>
  <c r="J3" i="51"/>
  <c r="J3" i="39"/>
  <c r="J3" i="43"/>
  <c r="K3" i="48"/>
  <c r="I3" i="48"/>
  <c r="J3" i="48"/>
  <c r="E3" i="51"/>
  <c r="E3" i="39"/>
  <c r="E3" i="43"/>
  <c r="J6" i="51"/>
  <c r="N28" i="51"/>
  <c r="I19" i="48"/>
  <c r="R20" i="40"/>
  <c r="J5" i="51"/>
  <c r="N21" i="43"/>
  <c r="N22" i="39"/>
  <c r="L10" i="42"/>
  <c r="M10" i="42" s="1"/>
  <c r="N17" i="43"/>
  <c r="L5" i="40"/>
  <c r="M5" i="40" s="1"/>
  <c r="R7" i="42"/>
  <c r="N26" i="51"/>
  <c r="N22" i="43"/>
  <c r="N17" i="39"/>
  <c r="I17" i="48"/>
  <c r="N23" i="39"/>
  <c r="N20" i="39"/>
  <c r="L8" i="42"/>
  <c r="R8" i="42" s="1"/>
  <c r="J4" i="43"/>
  <c r="N29" i="51"/>
  <c r="M9" i="40"/>
  <c r="I15" i="48"/>
  <c r="L4" i="40"/>
  <c r="M4" i="40" s="1"/>
  <c r="N27" i="51"/>
  <c r="J7" i="43"/>
  <c r="N18" i="39"/>
  <c r="M15" i="40"/>
  <c r="R14" i="50"/>
  <c r="U26" i="45"/>
  <c r="X26" i="45" s="1"/>
  <c r="L4" i="50"/>
  <c r="M4" i="50" s="1"/>
  <c r="N19" i="39"/>
  <c r="J7" i="39"/>
  <c r="R14" i="40"/>
  <c r="M8" i="42"/>
  <c r="L6" i="50"/>
  <c r="M6" i="50" s="1"/>
  <c r="N24" i="39"/>
  <c r="J6" i="39"/>
  <c r="J7" i="51"/>
  <c r="R4" i="40"/>
  <c r="L7" i="42"/>
  <c r="M7" i="42" s="1"/>
  <c r="L12" i="40"/>
  <c r="R12" i="40" s="1"/>
  <c r="R19" i="45"/>
  <c r="R13" i="45"/>
  <c r="R16" i="45"/>
  <c r="R14" i="45"/>
  <c r="R21" i="45"/>
  <c r="R20" i="45"/>
  <c r="R17" i="45"/>
  <c r="R15" i="45"/>
  <c r="R18" i="45"/>
  <c r="L17" i="40"/>
  <c r="R17" i="40" s="1"/>
  <c r="U13" i="45"/>
  <c r="U15" i="45"/>
  <c r="U19" i="45"/>
  <c r="U20" i="45"/>
  <c r="U18" i="45"/>
  <c r="U16" i="45"/>
  <c r="U21" i="45"/>
  <c r="U14" i="45"/>
  <c r="U17" i="45"/>
  <c r="U12" i="45"/>
  <c r="N30" i="51"/>
  <c r="N25" i="39"/>
  <c r="N19" i="43"/>
  <c r="L9" i="42"/>
  <c r="M9" i="42" s="1"/>
  <c r="L11" i="42"/>
  <c r="M11" i="42" s="1"/>
  <c r="L13" i="42"/>
  <c r="M13" i="42" s="1"/>
  <c r="N20" i="43"/>
  <c r="N20" i="51"/>
  <c r="L9" i="40"/>
  <c r="R9" i="40" s="1"/>
  <c r="L10" i="40"/>
  <c r="R10" i="40" s="1"/>
  <c r="L14" i="50"/>
  <c r="M14" i="50" s="1"/>
  <c r="L3" i="40"/>
  <c r="R3" i="40" s="1"/>
  <c r="L14" i="42"/>
  <c r="R14" i="42" s="1"/>
  <c r="N23" i="43"/>
  <c r="L8" i="50"/>
  <c r="R8" i="50" s="1"/>
  <c r="L15" i="50"/>
  <c r="R15" i="50" s="1"/>
  <c r="J4" i="51"/>
  <c r="N18" i="51"/>
  <c r="L6" i="42"/>
  <c r="M6" i="42" s="1"/>
  <c r="L12" i="50"/>
  <c r="M12" i="50" s="1"/>
  <c r="L15" i="40"/>
  <c r="R15" i="40" s="1"/>
  <c r="N21" i="39"/>
  <c r="J6" i="43"/>
  <c r="L16" i="40"/>
  <c r="M16" i="40" s="1"/>
  <c r="I18" i="48"/>
  <c r="L21" i="40"/>
  <c r="R21" i="40" s="1"/>
  <c r="N17" i="51"/>
  <c r="N25" i="51"/>
  <c r="N22" i="51"/>
  <c r="N24" i="51"/>
  <c r="J5" i="43"/>
  <c r="L5" i="42"/>
  <c r="M5" i="42" s="1"/>
  <c r="L11" i="40"/>
  <c r="R11" i="40" s="1"/>
  <c r="L19" i="40"/>
  <c r="M19" i="40" s="1"/>
  <c r="N31" i="51"/>
  <c r="I16" i="48"/>
  <c r="L14" i="40"/>
  <c r="M14" i="40" s="1"/>
  <c r="L20" i="40"/>
  <c r="M20" i="40" s="1"/>
  <c r="R5" i="42"/>
  <c r="L18" i="40"/>
  <c r="R18" i="40" s="1"/>
  <c r="L12" i="42"/>
  <c r="R12" i="42" s="1"/>
  <c r="L7" i="40"/>
  <c r="M7" i="40" s="1"/>
  <c r="J5" i="39"/>
  <c r="N26" i="39"/>
  <c r="L3" i="50"/>
  <c r="M3" i="50" s="1"/>
  <c r="L3" i="42"/>
  <c r="R3" i="42" s="1"/>
  <c r="K3" i="43" s="1"/>
  <c r="L8" i="40"/>
  <c r="R8" i="40" s="1"/>
  <c r="N19" i="51"/>
  <c r="N18" i="43"/>
  <c r="N23" i="51"/>
  <c r="L10" i="50"/>
  <c r="M10" i="50" s="1"/>
  <c r="L13" i="40"/>
  <c r="M13" i="40" s="1"/>
  <c r="L6" i="40"/>
  <c r="M6" i="40" s="1"/>
  <c r="N32" i="51"/>
  <c r="L16" i="42"/>
  <c r="M16" i="42" s="1"/>
  <c r="L5" i="50"/>
  <c r="R5" i="50" s="1"/>
  <c r="L13" i="50"/>
  <c r="R13" i="50" s="1"/>
  <c r="L4" i="42"/>
  <c r="R4" i="42" s="1"/>
  <c r="L9" i="50"/>
  <c r="R9" i="50" s="1"/>
  <c r="N21" i="51"/>
  <c r="M10" i="40"/>
  <c r="L7" i="50"/>
  <c r="R7" i="50" s="1"/>
  <c r="L11" i="50"/>
  <c r="M11" i="50" s="1"/>
  <c r="J4" i="39"/>
  <c r="L15" i="42"/>
  <c r="M15" i="42" s="1"/>
  <c r="L17" i="42"/>
  <c r="R17" i="42" s="1"/>
  <c r="L18" i="42"/>
  <c r="R18" i="42" s="1"/>
  <c r="L19" i="42"/>
  <c r="R19" i="42" s="1"/>
  <c r="L20" i="42"/>
  <c r="R20" i="42" s="1"/>
  <c r="L21" i="42"/>
  <c r="M21" i="42" s="1"/>
  <c r="L22" i="42"/>
  <c r="M22" i="42" s="1"/>
  <c r="L23" i="42"/>
  <c r="L24" i="42"/>
  <c r="R24" i="42" s="1"/>
  <c r="M23" i="42"/>
  <c r="R23" i="42"/>
  <c r="M19" i="42"/>
  <c r="M20" i="42"/>
  <c r="U27" i="45"/>
  <c r="Y27" i="45" s="1"/>
  <c r="M17" i="42"/>
  <c r="M18" i="42"/>
  <c r="U28" i="45"/>
  <c r="X28" i="45" s="1"/>
  <c r="F6" i="48" s="1"/>
  <c r="U29" i="45"/>
  <c r="Y29" i="45" s="1"/>
  <c r="U3" i="51" a="1"/>
  <c r="U9" i="51" a="1"/>
  <c r="V15" i="43" a="1"/>
  <c r="V3" i="43" a="1"/>
  <c r="V9" i="43" a="1"/>
  <c r="V9" i="39" a="1"/>
  <c r="V3" i="39" a="1"/>
  <c r="V15" i="39" a="1"/>
  <c r="P9" i="48" a="1"/>
  <c r="P3" i="48" a="1"/>
  <c r="T3" i="43" a="1"/>
  <c r="V3" i="51" a="1"/>
  <c r="V9" i="51" a="1"/>
  <c r="V15" i="51" a="1"/>
  <c r="T3" i="51" a="1"/>
  <c r="U9" i="39" a="1"/>
  <c r="U3" i="39" a="1"/>
  <c r="T3" i="39" a="1"/>
  <c r="O3" i="48" a="1"/>
  <c r="Q3" i="48" a="1"/>
  <c r="Q13" i="48" a="1"/>
  <c r="Q9" i="48" a="1"/>
  <c r="U3" i="43" a="1"/>
  <c r="U9" i="43" a="1"/>
  <c r="M12" i="42" l="1"/>
  <c r="R16" i="42"/>
  <c r="M8" i="40"/>
  <c r="R12" i="50"/>
  <c r="M7" i="50"/>
  <c r="X27" i="45"/>
  <c r="F5" i="48" s="1"/>
  <c r="M18" i="40"/>
  <c r="R9" i="42"/>
  <c r="M17" i="40"/>
  <c r="R10" i="50"/>
  <c r="R7" i="40"/>
  <c r="R22" i="42"/>
  <c r="R13" i="42"/>
  <c r="X29" i="45"/>
  <c r="F7" i="48" s="1"/>
  <c r="M24" i="42"/>
  <c r="R11" i="42"/>
  <c r="R6" i="50"/>
  <c r="M8" i="50"/>
  <c r="M9" i="50"/>
  <c r="U9" i="43"/>
  <c r="U10" i="43"/>
  <c r="U5" i="43"/>
  <c r="U4" i="43"/>
  <c r="U3" i="43"/>
  <c r="Q9" i="48"/>
  <c r="Q10" i="48"/>
  <c r="Q13" i="48"/>
  <c r="W13" i="48" s="1"/>
  <c r="Q3" i="48"/>
  <c r="Q4" i="48"/>
  <c r="Q5" i="48"/>
  <c r="O5" i="48"/>
  <c r="O4" i="48"/>
  <c r="O3" i="48"/>
  <c r="T5" i="39"/>
  <c r="T4" i="39"/>
  <c r="T3" i="39"/>
  <c r="U4" i="39"/>
  <c r="U5" i="39"/>
  <c r="U3" i="39"/>
  <c r="U9" i="39"/>
  <c r="U10" i="39"/>
  <c r="T5" i="51"/>
  <c r="T4" i="51"/>
  <c r="T3" i="51"/>
  <c r="V15" i="51"/>
  <c r="AB15" i="51" s="1"/>
  <c r="V9" i="51"/>
  <c r="V10" i="51"/>
  <c r="V3" i="51"/>
  <c r="V5" i="51"/>
  <c r="V4" i="51"/>
  <c r="T5" i="43"/>
  <c r="T4" i="43"/>
  <c r="T3" i="43"/>
  <c r="P3" i="48"/>
  <c r="P5" i="48"/>
  <c r="P4" i="48"/>
  <c r="P9" i="48"/>
  <c r="P10" i="48"/>
  <c r="V15" i="39"/>
  <c r="AB15" i="39" s="1"/>
  <c r="V3" i="39"/>
  <c r="V4" i="39"/>
  <c r="V5" i="39"/>
  <c r="V9" i="39"/>
  <c r="V10" i="39"/>
  <c r="V9" i="43"/>
  <c r="V10" i="43"/>
  <c r="V5" i="43"/>
  <c r="V4" i="43"/>
  <c r="V3" i="43"/>
  <c r="V15" i="43"/>
  <c r="AB15" i="43" s="1"/>
  <c r="U10" i="51"/>
  <c r="U9" i="51"/>
  <c r="U4" i="51"/>
  <c r="U3" i="51"/>
  <c r="U5" i="51"/>
  <c r="R21" i="42"/>
  <c r="R19" i="40"/>
  <c r="M4" i="42"/>
  <c r="K3" i="51"/>
  <c r="K3" i="39"/>
  <c r="R6" i="40"/>
  <c r="R3" i="50"/>
  <c r="Y26" i="45"/>
  <c r="M11" i="40"/>
  <c r="M14" i="42"/>
  <c r="M3" i="40"/>
  <c r="R10" i="42"/>
  <c r="AB6" i="42"/>
  <c r="R4" i="50"/>
  <c r="M21" i="40"/>
  <c r="M13" i="50"/>
  <c r="R5" i="40"/>
  <c r="R11" i="50"/>
  <c r="R6" i="42"/>
  <c r="M15" i="50"/>
  <c r="R15" i="42"/>
  <c r="Y28" i="45"/>
  <c r="R13" i="40"/>
  <c r="M5" i="50"/>
  <c r="M12" i="40"/>
  <c r="R16" i="40"/>
  <c r="F4" i="48"/>
  <c r="F3" i="48"/>
  <c r="AB3" i="40"/>
  <c r="M3" i="42"/>
  <c r="AB9" i="51" l="1" a="1"/>
  <c r="AC10" i="51"/>
  <c r="AB10" i="51"/>
  <c r="AB9" i="51"/>
  <c r="AC9" i="51"/>
  <c r="AB3" i="51" a="1"/>
  <c r="W9" i="48" a="1"/>
  <c r="W3" i="48" a="1"/>
  <c r="AB3" i="39" a="1"/>
  <c r="AB6" i="50"/>
  <c r="AB3" i="50" s="1"/>
  <c r="AB3" i="42"/>
  <c r="AB3" i="43" a="1"/>
  <c r="AB9" i="39" a="1"/>
  <c r="AB9" i="43" a="1"/>
  <c r="AB6" i="40"/>
  <c r="W9" i="48" l="1"/>
  <c r="W10" i="48"/>
  <c r="X10" i="48"/>
  <c r="X9" i="48"/>
  <c r="AB5" i="39"/>
  <c r="AD5" i="39"/>
  <c r="AC5" i="39"/>
  <c r="AC3" i="39"/>
  <c r="AB3" i="39"/>
  <c r="AB4" i="39"/>
  <c r="AD4" i="39"/>
  <c r="AD3" i="39"/>
  <c r="AC4" i="39"/>
  <c r="AB9" i="43"/>
  <c r="AC10" i="43"/>
  <c r="AC9" i="43"/>
  <c r="AB10" i="43"/>
  <c r="AC9" i="39"/>
  <c r="AB10" i="39"/>
  <c r="AB9" i="39"/>
  <c r="AC10" i="39"/>
  <c r="AD3" i="43"/>
  <c r="AC5" i="43"/>
  <c r="AB3" i="43"/>
  <c r="AC4" i="43"/>
  <c r="AB5" i="43"/>
  <c r="AD4" i="43"/>
  <c r="AC3" i="43"/>
  <c r="AD5" i="43"/>
  <c r="AB4" i="43"/>
  <c r="Y4" i="48"/>
  <c r="Y3" i="48"/>
  <c r="Y5" i="48"/>
  <c r="X5" i="48"/>
  <c r="W3" i="48"/>
  <c r="W4" i="48"/>
  <c r="X4" i="48"/>
  <c r="X3" i="48"/>
  <c r="W5" i="48"/>
  <c r="AB3" i="51"/>
  <c r="AB4" i="51"/>
  <c r="AC4" i="51"/>
  <c r="AC5" i="51"/>
  <c r="AD4" i="51"/>
  <c r="AB5" i="51"/>
  <c r="AC3" i="51"/>
  <c r="AD5" i="51"/>
  <c r="AD3" i="51"/>
  <c r="Q13" i="45" a="1"/>
  <c r="U3" i="48" a="1"/>
  <c r="P1" i="50"/>
  <c r="X147" i="50"/>
  <c r="X202" i="50"/>
  <c r="X198" i="50"/>
  <c r="X90" i="50"/>
  <c r="X67" i="50"/>
  <c r="K6" i="51"/>
  <c r="X226" i="50"/>
  <c r="X191" i="50"/>
  <c r="X116" i="50"/>
  <c r="X184" i="50"/>
  <c r="X168" i="50"/>
  <c r="X186" i="50"/>
  <c r="X157" i="50"/>
  <c r="X206" i="50"/>
  <c r="X220" i="50"/>
  <c r="X23" i="50"/>
  <c r="X76" i="50"/>
  <c r="X153" i="50"/>
  <c r="X61" i="50"/>
  <c r="X144" i="50"/>
  <c r="X193" i="50"/>
  <c r="X142" i="50"/>
  <c r="X160" i="50"/>
  <c r="X221" i="50"/>
  <c r="P10" i="50"/>
  <c r="X69" i="50"/>
  <c r="X245" i="50"/>
  <c r="X137" i="50"/>
  <c r="X8" i="50"/>
  <c r="X241" i="50"/>
  <c r="X62" i="50"/>
  <c r="X174" i="50"/>
  <c r="X143" i="50"/>
  <c r="P1" i="42"/>
  <c r="X121" i="50"/>
  <c r="X13" i="50"/>
  <c r="X167" i="42"/>
  <c r="X135" i="50"/>
  <c r="P19" i="42"/>
  <c r="X149" i="42"/>
  <c r="X70" i="42"/>
  <c r="X30" i="50"/>
  <c r="X173" i="50"/>
  <c r="X28" i="50"/>
  <c r="X143" i="42"/>
  <c r="X114" i="50"/>
  <c r="X141" i="50"/>
  <c r="X249" i="50"/>
  <c r="P14" i="42"/>
  <c r="X63" i="42"/>
  <c r="X216" i="42"/>
  <c r="X165" i="42"/>
  <c r="X51" i="42"/>
  <c r="X160" i="42"/>
  <c r="X158" i="42"/>
  <c r="X250" i="42"/>
  <c r="X207" i="42"/>
  <c r="X252" i="42"/>
  <c r="X117" i="42"/>
  <c r="X57" i="42"/>
  <c r="X51" i="50"/>
  <c r="X225" i="50"/>
  <c r="X170" i="50"/>
  <c r="X32" i="42"/>
  <c r="X126" i="42"/>
  <c r="P24" i="42"/>
  <c r="X20" i="42"/>
  <c r="X118" i="42"/>
  <c r="P16" i="42"/>
  <c r="X214" i="50"/>
  <c r="X237" i="50"/>
  <c r="X188" i="50"/>
  <c r="X109" i="50"/>
  <c r="X159" i="42"/>
  <c r="X188" i="42"/>
  <c r="X82" i="42"/>
  <c r="X130" i="42"/>
  <c r="X36" i="42"/>
  <c r="X11" i="42"/>
  <c r="P8" i="42"/>
  <c r="X244" i="50"/>
  <c r="X149" i="50"/>
  <c r="X27" i="42"/>
  <c r="X224" i="50"/>
  <c r="X254" i="50"/>
  <c r="X78" i="50"/>
  <c r="X249" i="42"/>
  <c r="X227" i="42"/>
  <c r="X52" i="42"/>
  <c r="X140" i="42"/>
  <c r="X171" i="50"/>
  <c r="X37" i="50"/>
  <c r="X169" i="42"/>
  <c r="X57" i="50"/>
  <c r="X52" i="50"/>
  <c r="X191" i="42"/>
  <c r="X225" i="42"/>
  <c r="X161" i="42"/>
  <c r="X182" i="42"/>
  <c r="X25" i="42"/>
  <c r="X182" i="50"/>
  <c r="X222" i="50"/>
  <c r="X38" i="50"/>
  <c r="X213" i="42"/>
  <c r="X73" i="42"/>
  <c r="X192" i="42"/>
  <c r="X34" i="42"/>
  <c r="X189" i="42"/>
  <c r="X113" i="50"/>
  <c r="P1" i="40"/>
  <c r="X223" i="50"/>
  <c r="X207" i="40"/>
  <c r="X224" i="40"/>
  <c r="X105" i="40"/>
  <c r="X49" i="40"/>
  <c r="X142" i="42"/>
  <c r="X242" i="42"/>
  <c r="X238" i="42"/>
  <c r="X222" i="42"/>
  <c r="X201" i="50"/>
  <c r="X56" i="50"/>
  <c r="X246" i="40"/>
  <c r="X74" i="50"/>
  <c r="P5" i="40"/>
  <c r="X99" i="42"/>
  <c r="X179" i="42"/>
  <c r="X59" i="42"/>
  <c r="X84" i="50"/>
  <c r="X194" i="50"/>
  <c r="X230" i="50"/>
  <c r="X24" i="40"/>
  <c r="X174" i="40"/>
  <c r="X35" i="40"/>
  <c r="X42" i="40"/>
  <c r="X253" i="40"/>
  <c r="X99" i="40"/>
  <c r="X151" i="40"/>
  <c r="X185" i="40"/>
  <c r="X48" i="40"/>
  <c r="X113" i="42"/>
  <c r="X47" i="42"/>
  <c r="X30" i="42"/>
  <c r="X256" i="42"/>
  <c r="X133" i="42"/>
  <c r="P10" i="42"/>
  <c r="X79" i="42"/>
  <c r="P3" i="42"/>
  <c r="X28" i="42"/>
  <c r="X209" i="42"/>
  <c r="X239" i="42"/>
  <c r="X135" i="42"/>
  <c r="X248" i="50"/>
  <c r="X179" i="40"/>
  <c r="X19" i="42"/>
  <c r="X13" i="42"/>
  <c r="X60" i="50"/>
  <c r="X70" i="50"/>
  <c r="X52" i="40"/>
  <c r="X257" i="40"/>
  <c r="X38" i="40"/>
  <c r="X97" i="40"/>
  <c r="X231" i="42"/>
  <c r="X148" i="42"/>
  <c r="X147" i="42"/>
  <c r="X60" i="42"/>
  <c r="X164" i="42"/>
  <c r="X233" i="42"/>
  <c r="U9" i="48" a="1"/>
  <c r="X64" i="50"/>
  <c r="X21" i="40"/>
  <c r="X71" i="42"/>
  <c r="X100" i="50"/>
  <c r="X179" i="50"/>
  <c r="X173" i="40"/>
  <c r="X181" i="40"/>
  <c r="X157" i="40"/>
  <c r="X6" i="40"/>
  <c r="X138" i="42"/>
  <c r="X174" i="42"/>
  <c r="X116" i="42"/>
  <c r="P21" i="42"/>
  <c r="X187" i="42"/>
  <c r="U13" i="48" a="1"/>
  <c r="X216" i="50"/>
  <c r="X9" i="40"/>
  <c r="X81" i="42"/>
  <c r="X180" i="50"/>
  <c r="X22" i="50"/>
  <c r="X155" i="40"/>
  <c r="P6" i="40"/>
  <c r="X16" i="40"/>
  <c r="X127" i="40"/>
  <c r="X24" i="42"/>
  <c r="X97" i="42"/>
  <c r="X55" i="42"/>
  <c r="X244" i="42"/>
  <c r="X192" i="50"/>
  <c r="P12" i="50"/>
  <c r="X220" i="42"/>
  <c r="X101" i="50"/>
  <c r="X72" i="40"/>
  <c r="X147" i="40"/>
  <c r="X231" i="40"/>
  <c r="X108" i="40"/>
  <c r="X150" i="42"/>
  <c r="X226" i="42"/>
  <c r="X197" i="42"/>
  <c r="X238" i="50"/>
  <c r="X36" i="40"/>
  <c r="X157" i="42"/>
  <c r="X166" i="50"/>
  <c r="X240" i="40"/>
  <c r="X203" i="40"/>
  <c r="X226" i="40"/>
  <c r="X183" i="42"/>
  <c r="X93" i="42"/>
  <c r="X152" i="42"/>
  <c r="X210" i="42"/>
  <c r="X111" i="50"/>
  <c r="X75" i="40"/>
  <c r="X16" i="50"/>
  <c r="X5" i="42"/>
  <c r="X187" i="50"/>
  <c r="X19" i="40"/>
  <c r="X139" i="40"/>
  <c r="X112" i="40"/>
  <c r="P4" i="42"/>
  <c r="X110" i="42"/>
  <c r="X253" i="42"/>
  <c r="X259" i="42"/>
  <c r="X167" i="50"/>
  <c r="X164" i="40"/>
  <c r="X41" i="42"/>
  <c r="X67" i="42"/>
  <c r="X124" i="42"/>
  <c r="X254" i="42"/>
  <c r="X196" i="50"/>
  <c r="X188" i="40"/>
  <c r="X252" i="50"/>
  <c r="X136" i="40"/>
  <c r="P12" i="40"/>
  <c r="X172" i="42"/>
  <c r="X3" i="42"/>
  <c r="X178" i="42"/>
  <c r="X33" i="42"/>
  <c r="X3" i="50"/>
  <c r="X23" i="42"/>
  <c r="X123" i="50"/>
  <c r="X228" i="50"/>
  <c r="X142" i="40"/>
  <c r="X232" i="40"/>
  <c r="P7" i="42"/>
  <c r="X96" i="42"/>
  <c r="X163" i="42"/>
  <c r="X101" i="40"/>
  <c r="X201" i="42"/>
  <c r="X98" i="50"/>
  <c r="X100" i="40"/>
  <c r="X254" i="40"/>
  <c r="X217" i="42"/>
  <c r="X100" i="42"/>
  <c r="X6" i="42"/>
  <c r="X88" i="42"/>
  <c r="X31" i="50"/>
  <c r="X134" i="50"/>
  <c r="X258" i="50"/>
  <c r="X154" i="50"/>
  <c r="X189" i="50"/>
  <c r="X34" i="50"/>
  <c r="P7" i="50"/>
  <c r="X102" i="50"/>
  <c r="X12" i="50"/>
  <c r="X26" i="50"/>
  <c r="X80" i="50"/>
  <c r="X82" i="50"/>
  <c r="X41" i="50"/>
  <c r="P5" i="50"/>
  <c r="X159" i="50"/>
  <c r="X213" i="50"/>
  <c r="P15" i="50"/>
  <c r="K4" i="51"/>
  <c r="X65" i="50"/>
  <c r="X145" i="50"/>
  <c r="X231" i="50"/>
  <c r="X117" i="50"/>
  <c r="X130" i="50"/>
  <c r="X103" i="50"/>
  <c r="X15" i="50"/>
  <c r="P14" i="50"/>
  <c r="X161" i="50"/>
  <c r="X99" i="50"/>
  <c r="X204" i="50"/>
  <c r="X4" i="50"/>
  <c r="X140" i="50"/>
  <c r="X234" i="50"/>
  <c r="X162" i="50"/>
  <c r="X63" i="50"/>
  <c r="X246" i="50"/>
  <c r="X20" i="50"/>
  <c r="X243" i="50"/>
  <c r="X106" i="50"/>
  <c r="X239" i="50"/>
  <c r="X212" i="50"/>
  <c r="X151" i="50"/>
  <c r="X73" i="50"/>
  <c r="X7" i="50"/>
  <c r="X257" i="50"/>
  <c r="K5" i="51"/>
  <c r="X115" i="50"/>
  <c r="X209" i="50"/>
  <c r="X150" i="50"/>
  <c r="X211" i="50"/>
  <c r="X59" i="50"/>
  <c r="X25" i="50"/>
  <c r="X240" i="50"/>
  <c r="X95" i="50"/>
  <c r="X247" i="50"/>
  <c r="X79" i="50"/>
  <c r="X68" i="50"/>
  <c r="X169" i="50"/>
  <c r="X253" i="50"/>
  <c r="X236" i="50"/>
  <c r="X48" i="50"/>
  <c r="X232" i="50"/>
  <c r="X46" i="50"/>
  <c r="X176" i="50"/>
  <c r="X39" i="50"/>
  <c r="P3" i="50"/>
  <c r="X29" i="50"/>
  <c r="X83" i="50"/>
  <c r="X108" i="50"/>
  <c r="X104" i="50"/>
  <c r="X27" i="50"/>
  <c r="X124" i="50"/>
  <c r="X96" i="50"/>
  <c r="X40" i="50"/>
  <c r="X175" i="50"/>
  <c r="X105" i="50"/>
  <c r="X177" i="50"/>
  <c r="X165" i="50"/>
  <c r="X158" i="50"/>
  <c r="X190" i="50"/>
  <c r="X229" i="50"/>
  <c r="P11" i="50"/>
  <c r="X81" i="50"/>
  <c r="X172" i="50"/>
  <c r="X261" i="50"/>
  <c r="X195" i="50"/>
  <c r="X227" i="50"/>
  <c r="X110" i="50"/>
  <c r="X242" i="50"/>
  <c r="P13" i="50"/>
  <c r="X210" i="50"/>
  <c r="X215" i="50"/>
  <c r="X235" i="50"/>
  <c r="X66" i="50"/>
  <c r="P8" i="50"/>
  <c r="X203" i="50"/>
  <c r="X75" i="50"/>
  <c r="X118" i="50"/>
  <c r="X107" i="50"/>
  <c r="X126" i="50"/>
  <c r="X131" i="50"/>
  <c r="X164" i="50"/>
  <c r="X128" i="50"/>
  <c r="X217" i="50"/>
  <c r="X119" i="50"/>
  <c r="X9" i="50"/>
  <c r="X6" i="50"/>
  <c r="X127" i="50"/>
  <c r="X129" i="50"/>
  <c r="K7" i="51"/>
  <c r="X132" i="50"/>
  <c r="P4" i="50"/>
  <c r="X262" i="50"/>
  <c r="X77" i="50"/>
  <c r="X200" i="50"/>
  <c r="X44" i="50"/>
  <c r="X178" i="50"/>
  <c r="X138" i="50"/>
  <c r="X47" i="50"/>
  <c r="X10" i="50"/>
  <c r="X58" i="50"/>
  <c r="X205" i="50"/>
  <c r="X139" i="50"/>
  <c r="X122" i="50"/>
  <c r="X71" i="50"/>
  <c r="X11" i="50"/>
  <c r="X148" i="50"/>
  <c r="X219" i="50"/>
  <c r="X155" i="50"/>
  <c r="X55" i="50"/>
  <c r="X43" i="50"/>
  <c r="X94" i="50"/>
  <c r="X35" i="50"/>
  <c r="P6" i="50"/>
  <c r="X14" i="50"/>
  <c r="X207" i="50"/>
  <c r="X185" i="50"/>
  <c r="X97" i="50"/>
  <c r="X112" i="50"/>
  <c r="X45" i="50"/>
  <c r="X197" i="50"/>
  <c r="X49" i="50"/>
  <c r="X86" i="50"/>
  <c r="X181" i="50"/>
  <c r="X125" i="50"/>
  <c r="P9" i="50"/>
  <c r="X260" i="50"/>
  <c r="X72" i="50"/>
  <c r="X33" i="50"/>
  <c r="X255" i="50"/>
  <c r="X17" i="50"/>
  <c r="X87" i="50"/>
  <c r="X50" i="50"/>
  <c r="X18" i="50"/>
  <c r="X156" i="50"/>
  <c r="X199" i="50"/>
  <c r="X133" i="50"/>
  <c r="X89" i="50"/>
  <c r="X42" i="50"/>
  <c r="X21" i="50"/>
  <c r="X85" i="50"/>
  <c r="X88" i="50"/>
  <c r="X91" i="50"/>
  <c r="X183" i="50"/>
  <c r="X53" i="50"/>
  <c r="X256" i="50"/>
  <c r="X19" i="50"/>
  <c r="X93" i="50"/>
  <c r="X250" i="50"/>
  <c r="X152" i="50"/>
  <c r="X92" i="50"/>
  <c r="X259" i="50"/>
  <c r="X24" i="50"/>
  <c r="X163" i="50"/>
  <c r="X36" i="50"/>
  <c r="X32" i="50"/>
  <c r="X5" i="50"/>
  <c r="X146" i="50"/>
  <c r="X54" i="50"/>
  <c r="X233" i="50"/>
  <c r="X251" i="50"/>
  <c r="X218" i="50"/>
  <c r="X208" i="50"/>
  <c r="X136" i="50"/>
  <c r="X120" i="50"/>
  <c r="X218" i="42"/>
  <c r="X26" i="42"/>
  <c r="X128" i="42"/>
  <c r="X12" i="42"/>
  <c r="X50" i="42"/>
  <c r="X181" i="42"/>
  <c r="P17" i="42"/>
  <c r="P22" i="42"/>
  <c r="X177" i="42"/>
  <c r="X162" i="42"/>
  <c r="X91" i="42"/>
  <c r="X245" i="42"/>
  <c r="X196" i="42"/>
  <c r="X72" i="42"/>
  <c r="X43" i="42"/>
  <c r="X176" i="42"/>
  <c r="X103" i="42"/>
  <c r="X153" i="42"/>
  <c r="X154" i="42"/>
  <c r="X202" i="42"/>
  <c r="X109" i="42"/>
  <c r="X219" i="42"/>
  <c r="X77" i="42"/>
  <c r="X240" i="42"/>
  <c r="P11" i="42"/>
  <c r="X168" i="42"/>
  <c r="X18" i="42"/>
  <c r="X184" i="42"/>
  <c r="X29" i="42"/>
  <c r="X112" i="42"/>
  <c r="X86" i="42"/>
  <c r="X206" i="42"/>
  <c r="X105" i="42"/>
  <c r="X78" i="42"/>
  <c r="X16" i="42"/>
  <c r="X84" i="42"/>
  <c r="X98" i="42"/>
  <c r="X251" i="42"/>
  <c r="X175" i="42"/>
  <c r="X7" i="42"/>
  <c r="X119" i="42"/>
  <c r="X237" i="42"/>
  <c r="X9" i="42"/>
  <c r="X136" i="42"/>
  <c r="X194" i="42"/>
  <c r="X4" i="42"/>
  <c r="X46" i="42"/>
  <c r="P23" i="42"/>
  <c r="X68" i="42"/>
  <c r="X215" i="42"/>
  <c r="X200" i="42"/>
  <c r="X49" i="42"/>
  <c r="X132" i="42"/>
  <c r="X198" i="42"/>
  <c r="X120" i="42"/>
  <c r="X156" i="42"/>
  <c r="X58" i="42"/>
  <c r="X45" i="42"/>
  <c r="X180" i="42"/>
  <c r="X241" i="42"/>
  <c r="P13" i="42"/>
  <c r="X15" i="42"/>
  <c r="X186" i="42"/>
  <c r="X37" i="42"/>
  <c r="X229" i="42"/>
  <c r="X108" i="42"/>
  <c r="X195" i="42"/>
  <c r="X221" i="42"/>
  <c r="X54" i="42"/>
  <c r="X243" i="42"/>
  <c r="X125" i="42"/>
  <c r="X257" i="42"/>
  <c r="X114" i="42"/>
  <c r="P5" i="42"/>
  <c r="X248" i="42"/>
  <c r="X48" i="42"/>
  <c r="X261" i="42"/>
  <c r="X236" i="42"/>
  <c r="X107" i="42"/>
  <c r="X131" i="42"/>
  <c r="X258" i="42"/>
  <c r="X83" i="42"/>
  <c r="X170" i="42"/>
  <c r="X230" i="42"/>
  <c r="X42" i="42"/>
  <c r="X121" i="42"/>
  <c r="X203" i="42"/>
  <c r="X129" i="42"/>
  <c r="X224" i="42"/>
  <c r="X223" i="42"/>
  <c r="X190" i="42"/>
  <c r="X65" i="42"/>
  <c r="X145" i="42"/>
  <c r="X246" i="42"/>
  <c r="X123" i="42"/>
  <c r="X64" i="42"/>
  <c r="P18" i="42"/>
  <c r="X17" i="42"/>
  <c r="X111" i="42"/>
  <c r="X14" i="42"/>
  <c r="X90" i="42"/>
  <c r="X208" i="42"/>
  <c r="X8" i="42"/>
  <c r="X146" i="42"/>
  <c r="X89" i="42"/>
  <c r="X62" i="42"/>
  <c r="X66" i="42"/>
  <c r="X35" i="42"/>
  <c r="P20" i="42"/>
  <c r="X205" i="42"/>
  <c r="X74" i="42"/>
  <c r="X94" i="42"/>
  <c r="X151" i="42"/>
  <c r="X101" i="42"/>
  <c r="X21" i="42"/>
  <c r="X171" i="42"/>
  <c r="X76" i="42"/>
  <c r="P9" i="42"/>
  <c r="X173" i="42"/>
  <c r="X92" i="42"/>
  <c r="X155" i="42"/>
  <c r="X214" i="42"/>
  <c r="P6" i="42"/>
  <c r="X127" i="42"/>
  <c r="P12" i="42"/>
  <c r="X260" i="42"/>
  <c r="X232" i="42"/>
  <c r="X106" i="42"/>
  <c r="X228" i="42"/>
  <c r="X139" i="42"/>
  <c r="X75" i="42"/>
  <c r="X122" i="42"/>
  <c r="X166" i="42"/>
  <c r="X53" i="42"/>
  <c r="X39" i="42"/>
  <c r="X247" i="42"/>
  <c r="X102" i="42"/>
  <c r="X137" i="42"/>
  <c r="X85" i="42"/>
  <c r="X115" i="42"/>
  <c r="X56" i="42"/>
  <c r="X144" i="42"/>
  <c r="X31" i="42"/>
  <c r="X185" i="42"/>
  <c r="X211" i="42"/>
  <c r="X234" i="42"/>
  <c r="X69" i="42"/>
  <c r="X141" i="42"/>
  <c r="X44" i="42"/>
  <c r="X204" i="42"/>
  <c r="X87" i="42"/>
  <c r="X22" i="42"/>
  <c r="X235" i="42"/>
  <c r="X193" i="42"/>
  <c r="X40" i="42"/>
  <c r="X10" i="42"/>
  <c r="X61" i="42"/>
  <c r="X104" i="42"/>
  <c r="X199" i="42"/>
  <c r="X134" i="42"/>
  <c r="X212" i="42"/>
  <c r="X80" i="42"/>
  <c r="X38" i="42"/>
  <c r="X95" i="42"/>
  <c r="X255" i="42"/>
  <c r="P15" i="42"/>
  <c r="X219" i="40"/>
  <c r="X7" i="40"/>
  <c r="X103" i="40"/>
  <c r="X220" i="40"/>
  <c r="X55" i="40"/>
  <c r="X208" i="40"/>
  <c r="X154" i="40"/>
  <c r="X206" i="40"/>
  <c r="X87" i="40"/>
  <c r="X222" i="40"/>
  <c r="X44" i="40"/>
  <c r="X158" i="40"/>
  <c r="X39" i="40"/>
  <c r="X138" i="40"/>
  <c r="X261" i="40"/>
  <c r="X248" i="40"/>
  <c r="X191" i="40"/>
  <c r="X89" i="40"/>
  <c r="X32" i="40"/>
  <c r="X116" i="40"/>
  <c r="X153" i="40"/>
  <c r="X26" i="40"/>
  <c r="X76" i="40"/>
  <c r="X201" i="40"/>
  <c r="P13" i="40"/>
  <c r="X96" i="40"/>
  <c r="X119" i="40"/>
  <c r="P16" i="40"/>
  <c r="X109" i="40"/>
  <c r="X70" i="40"/>
  <c r="X47" i="40"/>
  <c r="P19" i="40"/>
  <c r="X156" i="40"/>
  <c r="X54" i="40"/>
  <c r="X197" i="40"/>
  <c r="X171" i="40"/>
  <c r="X233" i="40"/>
  <c r="X50" i="40"/>
  <c r="X60" i="40"/>
  <c r="X243" i="40"/>
  <c r="X177" i="40"/>
  <c r="X28" i="40"/>
  <c r="X82" i="40"/>
  <c r="X234" i="40"/>
  <c r="X205" i="40"/>
  <c r="X45" i="40"/>
  <c r="X144" i="40"/>
  <c r="X145" i="40"/>
  <c r="X133" i="40"/>
  <c r="X122" i="40"/>
  <c r="X149" i="40"/>
  <c r="X30" i="40"/>
  <c r="P21" i="40"/>
  <c r="X167" i="40"/>
  <c r="X25" i="40"/>
  <c r="X94" i="40"/>
  <c r="P10" i="40"/>
  <c r="X86" i="40"/>
  <c r="X161" i="40"/>
  <c r="X148" i="40"/>
  <c r="X252" i="40"/>
  <c r="X187" i="40"/>
  <c r="X247" i="40"/>
  <c r="X4" i="40"/>
  <c r="X178" i="40"/>
  <c r="X250" i="40"/>
  <c r="X256" i="40"/>
  <c r="X23" i="40"/>
  <c r="P8" i="40"/>
  <c r="X80" i="40"/>
  <c r="X241" i="40"/>
  <c r="X134" i="40"/>
  <c r="P17" i="40"/>
  <c r="P14" i="40"/>
  <c r="X17" i="40"/>
  <c r="X223" i="40"/>
  <c r="X121" i="40"/>
  <c r="X202" i="40"/>
  <c r="X180" i="40"/>
  <c r="X198" i="40"/>
  <c r="X189" i="40"/>
  <c r="X259" i="40"/>
  <c r="X192" i="40"/>
  <c r="X214" i="40"/>
  <c r="X29" i="40"/>
  <c r="X98" i="40"/>
  <c r="X84" i="40"/>
  <c r="X93" i="40"/>
  <c r="X27" i="40"/>
  <c r="X13" i="40"/>
  <c r="X65" i="40"/>
  <c r="X5" i="40"/>
  <c r="X199" i="40"/>
  <c r="X61" i="40"/>
  <c r="X239" i="40"/>
  <c r="X57" i="40"/>
  <c r="X242" i="40"/>
  <c r="X200" i="40"/>
  <c r="X137" i="40"/>
  <c r="X132" i="40"/>
  <c r="X193" i="40"/>
  <c r="X159" i="40"/>
  <c r="X230" i="40"/>
  <c r="X118" i="40"/>
  <c r="X190" i="40"/>
  <c r="X81" i="40"/>
  <c r="X104" i="40"/>
  <c r="X22" i="40"/>
  <c r="X12" i="40"/>
  <c r="X63" i="40"/>
  <c r="X210" i="40"/>
  <c r="X216" i="40"/>
  <c r="X110" i="40"/>
  <c r="X53" i="40"/>
  <c r="X3" i="40"/>
  <c r="X211" i="40"/>
  <c r="X67" i="40"/>
  <c r="X169" i="40"/>
  <c r="X83" i="40"/>
  <c r="X58" i="40"/>
  <c r="X114" i="40"/>
  <c r="X260" i="40"/>
  <c r="X186" i="40"/>
  <c r="X249" i="40"/>
  <c r="X124" i="40"/>
  <c r="X107" i="40"/>
  <c r="X102" i="40"/>
  <c r="X51" i="40"/>
  <c r="X8" i="40"/>
  <c r="X175" i="40"/>
  <c r="X237" i="40"/>
  <c r="X59" i="40"/>
  <c r="X215" i="40"/>
  <c r="P18" i="40"/>
  <c r="P11" i="40"/>
  <c r="X56" i="40"/>
  <c r="X71" i="40"/>
  <c r="X128" i="40"/>
  <c r="X85" i="40"/>
  <c r="X255" i="40"/>
  <c r="X88" i="40"/>
  <c r="X165" i="40"/>
  <c r="X69" i="40"/>
  <c r="X194" i="40"/>
  <c r="X229" i="40"/>
  <c r="X115" i="40"/>
  <c r="X113" i="40"/>
  <c r="X117" i="40"/>
  <c r="X126" i="40"/>
  <c r="X146" i="40"/>
  <c r="X225" i="40"/>
  <c r="X129" i="40"/>
  <c r="X236" i="40"/>
  <c r="X77" i="40"/>
  <c r="X143" i="40"/>
  <c r="X74" i="40"/>
  <c r="X73" i="40"/>
  <c r="X33" i="40"/>
  <c r="X95" i="40"/>
  <c r="X106" i="40"/>
  <c r="X78" i="40"/>
  <c r="X182" i="40"/>
  <c r="X140" i="40"/>
  <c r="X120" i="40"/>
  <c r="X212" i="40"/>
  <c r="P15" i="40"/>
  <c r="P3" i="40"/>
  <c r="X18" i="40"/>
  <c r="X213" i="40"/>
  <c r="X123" i="40"/>
  <c r="X176" i="40"/>
  <c r="P9" i="40"/>
  <c r="X184" i="40"/>
  <c r="X170" i="40"/>
  <c r="X130" i="40"/>
  <c r="X251" i="40"/>
  <c r="X204" i="40"/>
  <c r="X217" i="40"/>
  <c r="X166" i="40"/>
  <c r="X10" i="40"/>
  <c r="X218" i="40"/>
  <c r="X41" i="40"/>
  <c r="X111" i="40"/>
  <c r="X131" i="40"/>
  <c r="X40" i="40"/>
  <c r="X62" i="40"/>
  <c r="X68" i="40"/>
  <c r="P20" i="40"/>
  <c r="X163" i="40"/>
  <c r="X209" i="40"/>
  <c r="X125" i="40"/>
  <c r="X141" i="40"/>
  <c r="X15" i="40"/>
  <c r="X64" i="40"/>
  <c r="X196" i="40"/>
  <c r="X262" i="40"/>
  <c r="X160" i="40"/>
  <c r="X195" i="40"/>
  <c r="X46" i="40"/>
  <c r="X244" i="40"/>
  <c r="X31" i="40"/>
  <c r="X152" i="40"/>
  <c r="X43" i="40"/>
  <c r="X235" i="40"/>
  <c r="X228" i="40"/>
  <c r="X79" i="40"/>
  <c r="X227" i="40"/>
  <c r="X90" i="40"/>
  <c r="P7" i="40"/>
  <c r="X172" i="40"/>
  <c r="X150" i="40"/>
  <c r="P4" i="40"/>
  <c r="X258" i="40"/>
  <c r="X168" i="40"/>
  <c r="X183" i="40"/>
  <c r="X245" i="40"/>
  <c r="X20" i="40"/>
  <c r="X14" i="40"/>
  <c r="X162" i="40"/>
  <c r="X91" i="40"/>
  <c r="X66" i="40"/>
  <c r="X11" i="40"/>
  <c r="X238" i="40"/>
  <c r="X135" i="40"/>
  <c r="X92" i="40"/>
  <c r="X34" i="40"/>
  <c r="X221" i="40"/>
  <c r="X37" i="40"/>
  <c r="Z9" i="51" a="1"/>
  <c r="Z3" i="51" a="1"/>
  <c r="Z15" i="51" a="1"/>
  <c r="Q19" i="45"/>
  <c r="Q17" i="45"/>
  <c r="Q21" i="45"/>
  <c r="U10" i="48"/>
  <c r="Q14" i="45"/>
  <c r="U3" i="48"/>
  <c r="Z15" i="51"/>
  <c r="X15" i="51"/>
  <c r="Q20" i="45"/>
  <c r="Z5" i="51"/>
  <c r="Z10" i="51"/>
  <c r="Z9" i="51"/>
  <c r="U4" i="48"/>
  <c r="Q16" i="45"/>
  <c r="Z3" i="51"/>
  <c r="Q13" i="45"/>
  <c r="U5" i="48"/>
  <c r="U9" i="48"/>
  <c r="U13" i="48"/>
  <c r="S13" i="48"/>
  <c r="AD12" i="48" s="1"/>
  <c r="Q18" i="45"/>
  <c r="AI63" i="51"/>
  <c r="AI256" i="51"/>
  <c r="Z4" i="51"/>
  <c r="Q15" i="45"/>
  <c r="AI71" i="51"/>
  <c r="AD19" i="48"/>
  <c r="AD22" i="48"/>
  <c r="AD6" i="48"/>
  <c r="AD25" i="48"/>
  <c r="AD9" i="48"/>
  <c r="AD21" i="48"/>
  <c r="AD17" i="48"/>
  <c r="AD7" i="48"/>
  <c r="AD11" i="48"/>
  <c r="AD24" i="48"/>
  <c r="AD8" i="48"/>
  <c r="AD14" i="48"/>
  <c r="AD16" i="48"/>
  <c r="AD23" i="48"/>
  <c r="AI66" i="51"/>
  <c r="AD13" i="48"/>
  <c r="AD3" i="48"/>
  <c r="AD18" i="48"/>
  <c r="AD26" i="48"/>
  <c r="AD4" i="48"/>
  <c r="AD5" i="48"/>
  <c r="AD20" i="48"/>
  <c r="AD15" i="48"/>
  <c r="AD10" i="48"/>
  <c r="Q3" i="40"/>
  <c r="D13" i="39"/>
  <c r="K7" i="39"/>
  <c r="K4" i="39"/>
  <c r="K5" i="39"/>
  <c r="K6" i="39"/>
  <c r="Z9" i="39" a="1"/>
  <c r="Z15" i="39" a="1"/>
  <c r="Z3" i="39" a="1"/>
  <c r="AI218" i="51" l="1"/>
  <c r="AI107" i="51"/>
  <c r="AI87" i="51"/>
  <c r="AI23" i="51"/>
  <c r="AI111" i="51"/>
  <c r="AI128" i="51"/>
  <c r="AI153" i="51"/>
  <c r="AI133" i="51"/>
  <c r="AI12" i="51"/>
  <c r="AI97" i="51"/>
  <c r="AI77" i="51"/>
  <c r="AI216" i="51"/>
  <c r="AI84" i="51"/>
  <c r="AI187" i="51"/>
  <c r="AI59" i="51"/>
  <c r="AI10" i="51"/>
  <c r="AI249" i="51"/>
  <c r="AI166" i="51"/>
  <c r="AI74" i="51"/>
  <c r="AI140" i="51"/>
  <c r="AI122" i="51"/>
  <c r="AI14" i="51"/>
  <c r="AI62" i="51"/>
  <c r="AI237" i="51"/>
  <c r="AI219" i="51"/>
  <c r="AI105" i="51"/>
  <c r="AI204" i="51"/>
  <c r="AI21" i="51"/>
  <c r="AI55" i="51"/>
  <c r="AI117" i="51"/>
  <c r="AI148" i="51"/>
  <c r="AI18" i="51"/>
  <c r="AI184" i="51"/>
  <c r="AI70" i="51"/>
  <c r="AI61" i="51"/>
  <c r="AI210" i="51"/>
  <c r="AI163" i="51"/>
  <c r="AI137" i="51"/>
  <c r="AI38" i="51"/>
  <c r="AI185" i="51"/>
  <c r="AI181" i="51"/>
  <c r="AI201" i="51"/>
  <c r="AI25" i="51"/>
  <c r="AI186" i="51"/>
  <c r="AI170" i="51"/>
  <c r="AI69" i="51"/>
  <c r="AI73" i="51"/>
  <c r="AI164" i="51"/>
  <c r="AI138" i="51"/>
  <c r="AI72" i="51"/>
  <c r="AI203" i="51"/>
  <c r="AI57" i="51"/>
  <c r="AI190" i="51"/>
  <c r="AI215" i="51"/>
  <c r="AI44" i="51"/>
  <c r="AI229" i="51"/>
  <c r="AI116" i="51"/>
  <c r="AI224" i="51"/>
  <c r="AI13" i="51"/>
  <c r="AI258" i="51"/>
  <c r="AI175" i="51"/>
  <c r="AI195" i="51"/>
  <c r="AI228" i="51"/>
  <c r="AI162" i="51"/>
  <c r="AI240" i="51"/>
  <c r="AI144" i="51"/>
  <c r="AI80" i="51"/>
  <c r="AI223" i="51"/>
  <c r="AI191" i="51"/>
  <c r="AI6" i="51"/>
  <c r="AI158" i="51"/>
  <c r="AI86" i="51"/>
  <c r="AI35" i="51"/>
  <c r="AI217" i="51"/>
  <c r="AI179" i="51"/>
  <c r="AI125" i="51"/>
  <c r="AI8" i="51"/>
  <c r="AI47" i="51"/>
  <c r="AI3" i="51"/>
  <c r="AI19" i="51"/>
  <c r="AI232" i="51"/>
  <c r="AI241" i="51"/>
  <c r="AI58" i="51"/>
  <c r="AI129" i="51"/>
  <c r="AI231" i="51"/>
  <c r="AI245" i="51"/>
  <c r="AI141" i="51"/>
  <c r="AI41" i="51"/>
  <c r="AI193" i="51"/>
  <c r="AI209" i="51"/>
  <c r="AI96" i="51"/>
  <c r="AI182" i="51"/>
  <c r="AI54" i="51"/>
  <c r="AI254" i="51"/>
  <c r="AI206" i="51"/>
  <c r="AI174" i="51"/>
  <c r="AI247" i="51"/>
  <c r="AI45" i="51"/>
  <c r="AI169" i="51"/>
  <c r="AI208" i="51"/>
  <c r="AI52" i="51"/>
  <c r="AI177" i="51"/>
  <c r="AI200" i="51"/>
  <c r="AI28" i="51"/>
  <c r="AI222" i="51"/>
  <c r="AI34" i="51"/>
  <c r="AI43" i="51"/>
  <c r="AI189" i="51"/>
  <c r="AI257" i="51"/>
  <c r="AI50" i="51"/>
  <c r="AI108" i="51"/>
  <c r="AI120" i="51"/>
  <c r="AI60" i="51"/>
  <c r="AI160" i="51"/>
  <c r="AI194" i="51"/>
  <c r="AI20" i="51"/>
  <c r="AI221" i="51"/>
  <c r="AI145" i="51"/>
  <c r="AI112" i="51"/>
  <c r="AI36" i="51"/>
  <c r="AI126" i="51"/>
  <c r="AI124" i="51"/>
  <c r="AI157" i="51"/>
  <c r="AI176" i="51"/>
  <c r="AI104" i="51"/>
  <c r="AI255" i="51"/>
  <c r="AI103" i="51"/>
  <c r="AI75" i="51"/>
  <c r="AI39" i="51"/>
  <c r="AI234" i="51"/>
  <c r="AI156" i="51"/>
  <c r="AI113" i="51"/>
  <c r="AI123" i="51"/>
  <c r="AI172" i="51"/>
  <c r="AI252" i="51"/>
  <c r="AI4" i="51"/>
  <c r="AI64" i="51"/>
  <c r="AI236" i="51"/>
  <c r="AI253" i="51"/>
  <c r="AI27" i="51"/>
  <c r="AI154" i="51"/>
  <c r="AI159" i="51"/>
  <c r="AI16" i="51"/>
  <c r="AI102" i="51"/>
  <c r="AI251" i="51"/>
  <c r="AI243" i="51"/>
  <c r="AI98" i="51"/>
  <c r="AI197" i="51"/>
  <c r="AI171" i="51"/>
  <c r="AI114" i="51"/>
  <c r="AI17" i="51"/>
  <c r="AI48" i="51"/>
  <c r="AI150" i="51"/>
  <c r="AI109" i="51"/>
  <c r="AI233" i="51"/>
  <c r="AI46" i="51"/>
  <c r="AI226" i="51"/>
  <c r="AI119" i="51"/>
  <c r="AI30" i="51"/>
  <c r="AI90" i="51"/>
  <c r="AI42" i="51"/>
  <c r="AI76" i="51"/>
  <c r="AI146" i="51"/>
  <c r="AI165" i="51"/>
  <c r="AI131" i="51"/>
  <c r="AI212" i="51"/>
  <c r="AI79" i="51"/>
  <c r="AI134" i="51"/>
  <c r="AI183" i="51"/>
  <c r="AI7" i="51"/>
  <c r="AI33" i="51"/>
  <c r="AI230" i="51"/>
  <c r="AI225" i="51"/>
  <c r="AI244" i="51"/>
  <c r="AI31" i="51"/>
  <c r="AI92" i="51"/>
  <c r="AI110" i="51"/>
  <c r="AI202" i="51"/>
  <c r="AI29" i="51"/>
  <c r="AI95" i="51"/>
  <c r="AI53" i="51"/>
  <c r="AI121" i="51"/>
  <c r="AI15" i="51"/>
  <c r="AI250" i="51"/>
  <c r="AI142" i="51"/>
  <c r="AI89" i="51"/>
  <c r="AI136" i="51"/>
  <c r="AI67" i="51"/>
  <c r="AI173" i="51"/>
  <c r="AI32" i="51"/>
  <c r="AI106" i="51"/>
  <c r="AI167" i="51"/>
  <c r="AI205" i="51"/>
  <c r="AI198" i="51"/>
  <c r="AI143" i="51"/>
  <c r="AI65" i="51"/>
  <c r="AI155" i="51"/>
  <c r="AI248" i="51"/>
  <c r="AI115" i="51"/>
  <c r="AI192" i="51"/>
  <c r="AI161" i="51"/>
  <c r="AI85" i="51"/>
  <c r="AI149" i="51"/>
  <c r="AI99" i="51"/>
  <c r="AI242" i="51"/>
  <c r="AI135" i="51"/>
  <c r="AI132" i="51"/>
  <c r="AI188" i="51"/>
  <c r="AI227" i="51"/>
  <c r="AI238" i="51"/>
  <c r="AI11" i="51"/>
  <c r="AI246" i="51"/>
  <c r="AI168" i="51"/>
  <c r="AI239" i="51"/>
  <c r="AI83" i="51"/>
  <c r="AI178" i="51"/>
  <c r="AI68" i="51"/>
  <c r="AI180" i="51"/>
  <c r="AI51" i="51"/>
  <c r="AI22" i="51"/>
  <c r="AI9" i="51"/>
  <c r="AI152" i="51"/>
  <c r="AI100" i="51"/>
  <c r="AI5" i="51"/>
  <c r="AI147" i="51"/>
  <c r="AI213" i="51"/>
  <c r="AI40" i="51"/>
  <c r="AI37" i="51"/>
  <c r="AI235" i="51"/>
  <c r="AI78" i="51"/>
  <c r="AI118" i="51"/>
  <c r="AI151" i="51"/>
  <c r="AI220" i="51"/>
  <c r="AI26" i="51"/>
  <c r="AI130" i="51"/>
  <c r="AI211" i="51"/>
  <c r="AI207" i="51"/>
  <c r="AI81" i="51"/>
  <c r="AI199" i="51"/>
  <c r="AI93" i="51"/>
  <c r="AI101" i="51"/>
  <c r="AI91" i="51"/>
  <c r="AI88" i="51"/>
  <c r="AI94" i="51"/>
  <c r="AI127" i="51"/>
  <c r="AI24" i="51"/>
  <c r="AI49" i="51"/>
  <c r="AI139" i="51"/>
  <c r="AI82" i="51"/>
  <c r="AI214" i="51"/>
  <c r="AI196" i="51"/>
  <c r="AI259" i="51"/>
  <c r="AI56" i="51"/>
  <c r="Z4" i="39"/>
  <c r="Z9" i="39"/>
  <c r="Z3" i="39"/>
  <c r="Z10" i="39"/>
  <c r="Z5" i="39"/>
  <c r="Z15" i="39"/>
  <c r="X15" i="39"/>
  <c r="AI95" i="39" s="1"/>
  <c r="AI46" i="39"/>
  <c r="AI100" i="39"/>
  <c r="AI18" i="39"/>
  <c r="AI62" i="39"/>
  <c r="AI7" i="39"/>
  <c r="AI64" i="39"/>
  <c r="AI98" i="39"/>
  <c r="AI131" i="39"/>
  <c r="AI99" i="39"/>
  <c r="AI6" i="39"/>
  <c r="AI88" i="39"/>
  <c r="AI81" i="39"/>
  <c r="AI78" i="39"/>
  <c r="AI66" i="39"/>
  <c r="AI17" i="39"/>
  <c r="AI126" i="39"/>
  <c r="AI43" i="39"/>
  <c r="AI127" i="39"/>
  <c r="AI77" i="39"/>
  <c r="AI115" i="39"/>
  <c r="AI51" i="39"/>
  <c r="AI84" i="39"/>
  <c r="AI125" i="39"/>
  <c r="AI119" i="39"/>
  <c r="AI59" i="39"/>
  <c r="AI120" i="39"/>
  <c r="AI31" i="39"/>
  <c r="AC3" i="40"/>
  <c r="Y187" i="40"/>
  <c r="Y39" i="40"/>
  <c r="Y206" i="40"/>
  <c r="Y6" i="40"/>
  <c r="Y93" i="40"/>
  <c r="Y196" i="40"/>
  <c r="AD6" i="40"/>
  <c r="Y228" i="40"/>
  <c r="Y150" i="40"/>
  <c r="Y245" i="40"/>
  <c r="Y247" i="40"/>
  <c r="Y111" i="40"/>
  <c r="Y118" i="40"/>
  <c r="S8" i="40"/>
  <c r="Y232" i="40"/>
  <c r="S9" i="40"/>
  <c r="Y235" i="40"/>
  <c r="Y25" i="40"/>
  <c r="Y252" i="40"/>
  <c r="Y16" i="40"/>
  <c r="Y126" i="40"/>
  <c r="Y203" i="40"/>
  <c r="Y179" i="40"/>
  <c r="Y180" i="40"/>
  <c r="Y14" i="40"/>
  <c r="Y33" i="40"/>
  <c r="Y189" i="40"/>
  <c r="Y185" i="40"/>
  <c r="Y40" i="40"/>
  <c r="S18" i="40"/>
  <c r="Y114" i="40"/>
  <c r="Y34" i="40"/>
  <c r="Y46" i="40"/>
  <c r="Y145" i="40"/>
  <c r="Y20" i="40"/>
  <c r="Y84" i="40"/>
  <c r="Y74" i="40"/>
  <c r="Y108" i="40"/>
  <c r="Y21" i="40"/>
  <c r="Y250" i="40"/>
  <c r="Y229" i="40"/>
  <c r="Y73" i="40"/>
  <c r="Y53" i="40"/>
  <c r="Y24" i="40"/>
  <c r="Y61" i="40"/>
  <c r="Y125" i="40"/>
  <c r="Y71" i="40"/>
  <c r="Y197" i="40"/>
  <c r="Y9" i="40"/>
  <c r="Y110" i="40"/>
  <c r="Y102" i="40"/>
  <c r="Y258" i="40"/>
  <c r="Y56" i="40"/>
  <c r="Y5" i="40"/>
  <c r="Y37" i="40"/>
  <c r="Y167" i="40"/>
  <c r="Y62" i="40"/>
  <c r="Y192" i="40"/>
  <c r="Y227" i="40"/>
  <c r="Y51" i="40"/>
  <c r="Y79" i="40"/>
  <c r="Y92" i="40"/>
  <c r="Y244" i="40"/>
  <c r="Y44" i="40"/>
  <c r="Y151" i="40"/>
  <c r="Y104" i="40"/>
  <c r="Y87" i="40"/>
  <c r="Y106" i="40"/>
  <c r="Y123" i="40"/>
  <c r="S3" i="40"/>
  <c r="Y43" i="40"/>
  <c r="Y78" i="40"/>
  <c r="Y11" i="40"/>
  <c r="Y77" i="40"/>
  <c r="S5" i="40"/>
  <c r="Y47" i="40"/>
  <c r="Y184" i="40"/>
  <c r="Y188" i="40"/>
  <c r="Y129" i="40"/>
  <c r="Y221" i="40"/>
  <c r="Y90" i="40"/>
  <c r="Y36" i="40"/>
  <c r="Y85" i="40"/>
  <c r="Y100" i="40"/>
  <c r="Y109" i="40"/>
  <c r="Y122" i="40"/>
  <c r="Y76" i="40"/>
  <c r="Y19" i="40"/>
  <c r="Y135" i="40"/>
  <c r="Y147" i="40"/>
  <c r="Y241" i="40"/>
  <c r="Y209" i="40"/>
  <c r="Y237" i="40"/>
  <c r="Y262" i="40"/>
  <c r="Y137" i="40"/>
  <c r="Y234" i="40"/>
  <c r="Y152" i="40"/>
  <c r="Y177" i="40"/>
  <c r="Y223" i="40"/>
  <c r="Y45" i="40"/>
  <c r="S14" i="40"/>
  <c r="Y98" i="40"/>
  <c r="Y153" i="40"/>
  <c r="Y255" i="40"/>
  <c r="Y236" i="40"/>
  <c r="Y254" i="40"/>
  <c r="Y10" i="40"/>
  <c r="Y166" i="40"/>
  <c r="Y160" i="40"/>
  <c r="Y95" i="40"/>
  <c r="Y91" i="40"/>
  <c r="Y70" i="40"/>
  <c r="Y132" i="40"/>
  <c r="Y144" i="40"/>
  <c r="Y130" i="40"/>
  <c r="Y214" i="40"/>
  <c r="S13" i="40"/>
  <c r="Y105" i="40"/>
  <c r="Y158" i="40"/>
  <c r="Y55" i="40"/>
  <c r="Y29" i="40"/>
  <c r="Y243" i="40"/>
  <c r="Y164" i="40"/>
  <c r="Y159" i="40"/>
  <c r="Y27" i="40"/>
  <c r="Y208" i="40"/>
  <c r="Y63" i="40"/>
  <c r="Y22" i="40"/>
  <c r="Y81" i="40"/>
  <c r="Y82" i="40"/>
  <c r="Y140" i="40"/>
  <c r="Y217" i="40"/>
  <c r="Y54" i="40"/>
  <c r="Y52" i="40"/>
  <c r="Y211" i="40"/>
  <c r="S11" i="40"/>
  <c r="Y60" i="40"/>
  <c r="Y103" i="40"/>
  <c r="Y136" i="40"/>
  <c r="Y120" i="40"/>
  <c r="Y128" i="40"/>
  <c r="S19" i="40"/>
  <c r="Y165" i="40"/>
  <c r="Y248" i="40"/>
  <c r="Y226" i="40"/>
  <c r="Y231" i="40"/>
  <c r="AD5" i="40"/>
  <c r="Y65" i="40"/>
  <c r="Y99" i="40"/>
  <c r="Y239" i="40"/>
  <c r="Y116" i="40"/>
  <c r="Y246" i="40"/>
  <c r="Y202" i="40"/>
  <c r="Y86" i="40"/>
  <c r="Y233" i="40"/>
  <c r="Y57" i="40"/>
  <c r="Y230" i="40"/>
  <c r="Y256" i="40"/>
  <c r="Y38" i="40"/>
  <c r="Y215" i="40"/>
  <c r="S10" i="40"/>
  <c r="Y42" i="40"/>
  <c r="Y13" i="40"/>
  <c r="Y242" i="40"/>
  <c r="Y101" i="40"/>
  <c r="Y168" i="40"/>
  <c r="Y119" i="40"/>
  <c r="Y68" i="40"/>
  <c r="Y141" i="40"/>
  <c r="Y157" i="40"/>
  <c r="Y218" i="40"/>
  <c r="Y170" i="40"/>
  <c r="Y143" i="40"/>
  <c r="Y66" i="40"/>
  <c r="AD4" i="40"/>
  <c r="Y181" i="40"/>
  <c r="S15" i="40"/>
  <c r="Y4" i="40"/>
  <c r="Y219" i="40"/>
  <c r="Y195" i="40"/>
  <c r="Y107" i="40"/>
  <c r="Y75" i="40"/>
  <c r="Y115" i="40"/>
  <c r="Y138" i="40"/>
  <c r="Y97" i="40"/>
  <c r="Y171" i="40"/>
  <c r="Y28" i="40"/>
  <c r="Y261" i="40"/>
  <c r="Y169" i="40"/>
  <c r="Y210" i="40"/>
  <c r="Y131" i="40"/>
  <c r="Y200" i="40"/>
  <c r="Y3" i="40"/>
  <c r="Y191" i="40"/>
  <c r="Y186" i="40"/>
  <c r="Y156" i="40"/>
  <c r="S16" i="40"/>
  <c r="Y94" i="40"/>
  <c r="Y134" i="40"/>
  <c r="S20" i="40"/>
  <c r="Y117" i="40"/>
  <c r="Y251" i="40"/>
  <c r="S17" i="40"/>
  <c r="Y193" i="40"/>
  <c r="Y35" i="40"/>
  <c r="Y161" i="40"/>
  <c r="Y198" i="40"/>
  <c r="Y7" i="40"/>
  <c r="Y121" i="40"/>
  <c r="S6" i="40"/>
  <c r="Y225" i="40"/>
  <c r="Y32" i="40"/>
  <c r="Y8" i="40"/>
  <c r="Y201" i="40"/>
  <c r="Y205" i="40"/>
  <c r="Y207" i="40"/>
  <c r="Y127" i="40"/>
  <c r="Y133" i="40"/>
  <c r="Y260" i="40"/>
  <c r="Y146" i="40"/>
  <c r="Y50" i="40"/>
  <c r="Y113" i="40"/>
  <c r="Y49" i="40"/>
  <c r="Y23" i="40"/>
  <c r="S12" i="40"/>
  <c r="Y64" i="40"/>
  <c r="Y26" i="40"/>
  <c r="Y176" i="40"/>
  <c r="AD3" i="40"/>
  <c r="Y174" i="40"/>
  <c r="Y17" i="40"/>
  <c r="Y162" i="40"/>
  <c r="Y30" i="40"/>
  <c r="Y190" i="40"/>
  <c r="Y12" i="40"/>
  <c r="Y72" i="40"/>
  <c r="Y204" i="40"/>
  <c r="Y69" i="40"/>
  <c r="Y112" i="40"/>
  <c r="Y216" i="40"/>
  <c r="Y173" i="40"/>
  <c r="Y89" i="40"/>
  <c r="Y249" i="40"/>
  <c r="Y142" i="40"/>
  <c r="S21" i="40"/>
  <c r="Y139" i="40"/>
  <c r="Y257" i="40"/>
  <c r="Y80" i="40"/>
  <c r="Y240" i="40"/>
  <c r="S7" i="40"/>
  <c r="Y172" i="40"/>
  <c r="Y18" i="40"/>
  <c r="Y155" i="40"/>
  <c r="Y224" i="40"/>
  <c r="Y213" i="40"/>
  <c r="Y194" i="40"/>
  <c r="Y48" i="40"/>
  <c r="Y15" i="40"/>
  <c r="Y220" i="40"/>
  <c r="Y154" i="40"/>
  <c r="Y59" i="40"/>
  <c r="Y149" i="40"/>
  <c r="Y253" i="40"/>
  <c r="Y222" i="40"/>
  <c r="Y41" i="40"/>
  <c r="Y259" i="40"/>
  <c r="Y58" i="40"/>
  <c r="Y182" i="40"/>
  <c r="Y124" i="40"/>
  <c r="Y148" i="40"/>
  <c r="Y31" i="40"/>
  <c r="Y178" i="40"/>
  <c r="Y238" i="40"/>
  <c r="Y88" i="40"/>
  <c r="Y83" i="40"/>
  <c r="Y183" i="40"/>
  <c r="Y96" i="40"/>
  <c r="Y163" i="40"/>
  <c r="Y199" i="40"/>
  <c r="Y175" i="40"/>
  <c r="S4" i="40"/>
  <c r="Y67" i="40"/>
  <c r="Y212" i="40"/>
  <c r="AI60" i="39" l="1"/>
  <c r="AI111" i="39"/>
  <c r="AI16" i="39"/>
  <c r="AI123" i="39"/>
  <c r="AI80" i="39"/>
  <c r="AI11" i="39"/>
  <c r="AI75" i="39"/>
  <c r="AI117" i="39"/>
  <c r="AI37" i="39"/>
  <c r="AI55" i="39"/>
  <c r="AI104" i="39"/>
  <c r="AI3" i="39"/>
  <c r="AI47" i="39"/>
  <c r="AI44" i="39"/>
  <c r="AI24" i="39"/>
  <c r="AI91" i="39"/>
  <c r="AI61" i="39"/>
  <c r="AI15" i="39"/>
  <c r="AI116" i="39"/>
  <c r="AI94" i="39"/>
  <c r="AI25" i="39"/>
  <c r="AI85" i="39"/>
  <c r="AI21" i="39"/>
  <c r="AI109" i="39"/>
  <c r="AI12" i="39"/>
  <c r="AI83" i="39"/>
  <c r="AI93" i="39"/>
  <c r="AI129" i="39"/>
  <c r="AI110" i="39"/>
  <c r="AI113" i="39"/>
  <c r="AI130" i="39"/>
  <c r="AI79" i="39"/>
  <c r="AI92" i="39"/>
  <c r="AI102" i="39"/>
  <c r="AI33" i="39"/>
  <c r="AI28" i="39"/>
  <c r="AI40" i="39"/>
  <c r="AI10" i="39"/>
  <c r="AI13" i="39"/>
  <c r="AI5" i="39"/>
  <c r="AI30" i="39"/>
  <c r="AI69" i="39"/>
  <c r="AI48" i="39"/>
  <c r="AI70" i="39"/>
  <c r="AI42" i="39"/>
  <c r="AI58" i="39"/>
  <c r="AI41" i="39"/>
  <c r="AI20" i="39"/>
  <c r="AI56" i="39"/>
  <c r="AI101" i="39"/>
  <c r="AI57" i="39"/>
  <c r="AI106" i="39"/>
  <c r="AI45" i="39"/>
  <c r="AI27" i="39"/>
  <c r="AI63" i="39"/>
  <c r="AI53" i="39"/>
  <c r="AI29" i="39"/>
  <c r="AI32" i="39"/>
  <c r="AI35" i="39"/>
  <c r="AI52" i="39"/>
  <c r="AI112" i="39"/>
  <c r="AI103" i="39"/>
  <c r="AI90" i="39"/>
  <c r="AI128" i="39"/>
  <c r="AI74" i="39"/>
  <c r="AI107" i="39"/>
  <c r="AI73" i="39"/>
  <c r="AI86" i="39"/>
  <c r="AI65" i="39"/>
  <c r="AI68" i="39"/>
  <c r="AI8" i="39"/>
  <c r="AI49" i="39"/>
  <c r="AI9" i="39"/>
  <c r="AI38" i="39"/>
  <c r="AI22" i="39"/>
  <c r="AI124" i="39"/>
  <c r="AI67" i="39"/>
  <c r="AI97" i="39"/>
  <c r="AI50" i="39"/>
  <c r="AI19" i="39"/>
  <c r="AI105" i="39"/>
  <c r="AI39" i="39"/>
  <c r="AI76" i="39"/>
  <c r="AI54" i="39"/>
  <c r="AI96" i="39"/>
  <c r="AI121" i="39"/>
  <c r="AI23" i="39"/>
  <c r="AI14" i="39"/>
  <c r="AI89" i="39"/>
  <c r="AI26" i="39"/>
  <c r="AI87" i="39"/>
  <c r="AI132" i="39"/>
  <c r="AI34" i="39"/>
  <c r="AI4" i="39"/>
  <c r="AI82" i="39"/>
  <c r="AI72" i="39"/>
  <c r="AI108" i="39"/>
  <c r="AI36" i="39"/>
  <c r="AI114" i="39"/>
  <c r="AI122" i="39"/>
  <c r="AI118" i="39"/>
  <c r="AI71" i="39"/>
  <c r="Q3" i="42"/>
  <c r="D13" i="43"/>
  <c r="K4" i="43"/>
  <c r="AC3" i="50"/>
  <c r="Y47" i="50"/>
  <c r="Y113" i="50"/>
  <c r="Y210" i="50"/>
  <c r="Y57" i="50"/>
  <c r="Y74" i="50"/>
  <c r="Y127" i="50"/>
  <c r="Y70" i="50"/>
  <c r="Y177" i="50"/>
  <c r="S4" i="50"/>
  <c r="Y243" i="50"/>
  <c r="Y34" i="50"/>
  <c r="S6" i="50"/>
  <c r="S7" i="50"/>
  <c r="Y53" i="50"/>
  <c r="Y217" i="50"/>
  <c r="Y100" i="50"/>
  <c r="Y42" i="50"/>
  <c r="Y145" i="50"/>
  <c r="Y23" i="50"/>
  <c r="Y105" i="50"/>
  <c r="Y92" i="50"/>
  <c r="Y114" i="50"/>
  <c r="Y154" i="50"/>
  <c r="Y115" i="50"/>
  <c r="Y69" i="50"/>
  <c r="Y162" i="50"/>
  <c r="Y155" i="50"/>
  <c r="Y85" i="50"/>
  <c r="AD3" i="50"/>
  <c r="S5" i="50"/>
  <c r="Y89" i="50"/>
  <c r="Y131" i="50"/>
  <c r="Y101" i="50"/>
  <c r="AD4" i="50"/>
  <c r="Y63" i="50"/>
  <c r="Y180" i="50"/>
  <c r="Y97" i="50"/>
  <c r="S11" i="50"/>
  <c r="S15" i="50"/>
  <c r="Y81" i="50"/>
  <c r="Y176" i="50"/>
  <c r="S14" i="50"/>
  <c r="Y45" i="50"/>
  <c r="Y93" i="50"/>
  <c r="Y61" i="50"/>
  <c r="Y62" i="50"/>
  <c r="Y12" i="50"/>
  <c r="Y138" i="50"/>
  <c r="Y104" i="50"/>
  <c r="Y172" i="50"/>
  <c r="Y44" i="50"/>
  <c r="Y79" i="50"/>
  <c r="Y178" i="50"/>
  <c r="Y173" i="50"/>
  <c r="Y252" i="50"/>
  <c r="Y184" i="50"/>
  <c r="Y228" i="50"/>
  <c r="Y194" i="50"/>
  <c r="Y4" i="50"/>
  <c r="Y164" i="50"/>
  <c r="Y151" i="50"/>
  <c r="Y189" i="50"/>
  <c r="Y204" i="50"/>
  <c r="Y118" i="50"/>
  <c r="Y182" i="50"/>
  <c r="Y259" i="50"/>
  <c r="Y202" i="50"/>
  <c r="Y254" i="50"/>
  <c r="Y186" i="50"/>
  <c r="Y170" i="50"/>
  <c r="Y235" i="50"/>
  <c r="Y240" i="50"/>
  <c r="Y159" i="50"/>
  <c r="Y197" i="50"/>
  <c r="Y205" i="50"/>
  <c r="Y168" i="50"/>
  <c r="Y222" i="50"/>
  <c r="Y223" i="50"/>
  <c r="Y200" i="50"/>
  <c r="Y5" i="50"/>
  <c r="Y91" i="50"/>
  <c r="Y233" i="50"/>
  <c r="Y125" i="50"/>
  <c r="Y218" i="50"/>
  <c r="Y238" i="50"/>
  <c r="Y26" i="50"/>
  <c r="Y253" i="50"/>
  <c r="Y214" i="50"/>
  <c r="S12" i="50"/>
  <c r="Y13" i="50"/>
  <c r="Y52" i="50"/>
  <c r="Y198" i="50"/>
  <c r="Y191" i="50"/>
  <c r="Y24" i="50"/>
  <c r="Y121" i="50"/>
  <c r="Y49" i="50"/>
  <c r="Y212" i="50"/>
  <c r="Y36" i="50"/>
  <c r="Y7" i="50"/>
  <c r="Y156" i="50"/>
  <c r="Y3" i="50"/>
  <c r="Y64" i="50"/>
  <c r="Y181" i="50"/>
  <c r="Y77" i="50"/>
  <c r="Y135" i="50"/>
  <c r="Y98" i="50"/>
  <c r="Y102" i="50"/>
  <c r="Y199" i="50"/>
  <c r="Y153" i="50"/>
  <c r="Y25" i="50"/>
  <c r="Y41" i="50"/>
  <c r="Y234" i="50"/>
  <c r="AD5" i="50"/>
  <c r="Y83" i="50"/>
  <c r="Y226" i="50"/>
  <c r="Y147" i="50"/>
  <c r="Y40" i="50"/>
  <c r="Y96" i="50"/>
  <c r="Y30" i="50"/>
  <c r="Y51" i="50"/>
  <c r="Y54" i="50"/>
  <c r="Y78" i="50"/>
  <c r="Y260" i="50"/>
  <c r="Y193" i="50"/>
  <c r="Y106" i="50"/>
  <c r="Y245" i="50"/>
  <c r="Y174" i="50"/>
  <c r="Y216" i="50"/>
  <c r="Y129" i="50"/>
  <c r="Y22" i="50"/>
  <c r="Y107" i="50"/>
  <c r="Y27" i="50"/>
  <c r="Y142" i="50"/>
  <c r="Y203" i="50"/>
  <c r="Y11" i="50"/>
  <c r="Y16" i="50"/>
  <c r="S13" i="50"/>
  <c r="Y262" i="50"/>
  <c r="S9" i="50"/>
  <c r="Y251" i="50"/>
  <c r="Y161" i="50"/>
  <c r="Y132" i="50"/>
  <c r="Y229" i="50"/>
  <c r="Y215" i="50"/>
  <c r="Y244" i="50"/>
  <c r="Y60" i="50"/>
  <c r="Y196" i="50"/>
  <c r="Y169" i="50"/>
  <c r="Y124" i="50"/>
  <c r="Y6" i="50"/>
  <c r="Y163" i="50"/>
  <c r="Y10" i="50"/>
  <c r="Y19" i="50"/>
  <c r="Y72" i="50"/>
  <c r="Y112" i="50"/>
  <c r="Y43" i="50"/>
  <c r="Y211" i="50"/>
  <c r="Y56" i="50"/>
  <c r="Y48" i="50"/>
  <c r="Y208" i="50"/>
  <c r="Y28" i="50"/>
  <c r="Y165" i="50"/>
  <c r="Y188" i="50"/>
  <c r="Y8" i="50"/>
  <c r="Y141" i="50"/>
  <c r="Y148" i="50"/>
  <c r="Y65" i="50"/>
  <c r="Y231" i="50"/>
  <c r="Y258" i="50"/>
  <c r="Y160" i="50"/>
  <c r="Y38" i="50"/>
  <c r="Y71" i="50"/>
  <c r="Y122" i="50"/>
  <c r="Y29" i="50"/>
  <c r="Y206" i="50"/>
  <c r="Y213" i="50"/>
  <c r="Y120" i="50"/>
  <c r="Y232" i="50"/>
  <c r="Y128" i="50"/>
  <c r="Y50" i="50"/>
  <c r="Y103" i="50"/>
  <c r="Y137" i="50"/>
  <c r="Y35" i="50"/>
  <c r="Y221" i="50"/>
  <c r="Y190" i="50"/>
  <c r="Y209" i="50"/>
  <c r="Y108" i="50"/>
  <c r="Y192" i="50"/>
  <c r="AD6" i="50"/>
  <c r="Y143" i="50"/>
  <c r="Y87" i="50"/>
  <c r="Y185" i="50"/>
  <c r="Y239" i="50"/>
  <c r="Y175" i="50"/>
  <c r="Y68" i="50"/>
  <c r="Y144" i="50"/>
  <c r="Y80" i="50"/>
  <c r="Y117" i="50"/>
  <c r="Y246" i="50"/>
  <c r="Y116" i="50"/>
  <c r="Y236" i="50"/>
  <c r="Y201" i="50"/>
  <c r="Y73" i="50"/>
  <c r="Y66" i="50"/>
  <c r="S10" i="50"/>
  <c r="Y250" i="50"/>
  <c r="Y99" i="50"/>
  <c r="Y237" i="50"/>
  <c r="Y158" i="50"/>
  <c r="Y111" i="50"/>
  <c r="Y207" i="50"/>
  <c r="Y149" i="50"/>
  <c r="Y67" i="50"/>
  <c r="Y227" i="50"/>
  <c r="Y179" i="50"/>
  <c r="Y256" i="50"/>
  <c r="Y248" i="50"/>
  <c r="Y21" i="50"/>
  <c r="S8" i="50"/>
  <c r="Y17" i="50"/>
  <c r="Y123" i="50"/>
  <c r="Y136" i="50"/>
  <c r="Y195" i="50"/>
  <c r="Y166" i="50"/>
  <c r="Y119" i="50"/>
  <c r="Y32" i="50"/>
  <c r="Y14" i="50"/>
  <c r="Y9" i="50"/>
  <c r="Y241" i="50"/>
  <c r="Y230" i="50"/>
  <c r="Y75" i="50"/>
  <c r="Y15" i="50"/>
  <c r="Y187" i="50"/>
  <c r="Y183" i="50"/>
  <c r="Y59" i="50"/>
  <c r="Y95" i="50"/>
  <c r="Y55" i="50"/>
  <c r="Y130" i="50"/>
  <c r="Y18" i="50"/>
  <c r="Y261" i="50"/>
  <c r="Y146" i="50"/>
  <c r="Y90" i="50"/>
  <c r="Y84" i="50"/>
  <c r="Y46" i="50"/>
  <c r="Y152" i="50"/>
  <c r="Y82" i="50"/>
  <c r="Y126" i="50"/>
  <c r="Y171" i="50"/>
  <c r="Y31" i="50"/>
  <c r="Y167" i="50"/>
  <c r="Y86" i="50"/>
  <c r="Y140" i="50"/>
  <c r="Y110" i="50"/>
  <c r="Y219" i="50"/>
  <c r="Y242" i="50"/>
  <c r="Y58" i="50"/>
  <c r="Y39" i="50"/>
  <c r="Y257" i="50"/>
  <c r="Y249" i="50"/>
  <c r="Y88" i="50"/>
  <c r="Y220" i="50"/>
  <c r="Y76" i="50"/>
  <c r="Y150" i="50"/>
  <c r="Y247" i="50"/>
  <c r="Y157" i="50"/>
  <c r="Y109" i="50"/>
  <c r="Y225" i="50"/>
  <c r="Y255" i="50"/>
  <c r="Y134" i="50"/>
  <c r="Y33" i="50"/>
  <c r="Y139" i="50"/>
  <c r="S3" i="50"/>
  <c r="Y133" i="50"/>
  <c r="Y94" i="50"/>
  <c r="Y224" i="50"/>
  <c r="Y37" i="50"/>
  <c r="Y20" i="50"/>
  <c r="K7" i="43"/>
  <c r="K6" i="43"/>
  <c r="K5" i="43"/>
  <c r="Z15" i="43" a="1"/>
  <c r="Z9" i="43" a="1"/>
  <c r="Z3" i="43" a="1"/>
  <c r="Z5" i="43" l="1"/>
  <c r="Z3" i="43"/>
  <c r="Z4" i="43"/>
  <c r="Z9" i="43"/>
  <c r="Z10" i="43"/>
  <c r="Z15" i="43"/>
  <c r="X15" i="43" s="1"/>
  <c r="AI62" i="43" l="1"/>
  <c r="AI22" i="43"/>
  <c r="AI20" i="43"/>
  <c r="AI47" i="43"/>
  <c r="AI44" i="43"/>
  <c r="AI25" i="43"/>
  <c r="AI18" i="43"/>
  <c r="AI11" i="43"/>
  <c r="AI7" i="43"/>
  <c r="AI49" i="43"/>
  <c r="AI54" i="43"/>
  <c r="AI39" i="43"/>
  <c r="AI56" i="43"/>
  <c r="AI5" i="43"/>
  <c r="AI12" i="43"/>
  <c r="AI42" i="43"/>
  <c r="AI43" i="43"/>
  <c r="AI50" i="43"/>
  <c r="AI41" i="43"/>
  <c r="AI14" i="43"/>
  <c r="AI15" i="43"/>
  <c r="AI58" i="43"/>
  <c r="AI61" i="43"/>
  <c r="AI34" i="43"/>
  <c r="AI26" i="43"/>
  <c r="AI60" i="43"/>
  <c r="AI55" i="43"/>
  <c r="AI13" i="43"/>
  <c r="AI29" i="43"/>
  <c r="AI59" i="43"/>
  <c r="AI19" i="43"/>
  <c r="AI21" i="43"/>
  <c r="AI40" i="43"/>
  <c r="AI48" i="43"/>
  <c r="AI8" i="43"/>
  <c r="AI9" i="43"/>
  <c r="AI32" i="43"/>
  <c r="AI27" i="43"/>
  <c r="AI45" i="43"/>
  <c r="AI23" i="43"/>
  <c r="AI57" i="43"/>
  <c r="AI30" i="43"/>
  <c r="AI6" i="43"/>
  <c r="AI63" i="43"/>
  <c r="AI64" i="43"/>
  <c r="AI10" i="43"/>
  <c r="AI33" i="43"/>
  <c r="AI53" i="43"/>
  <c r="AI38" i="43"/>
  <c r="AI17" i="43"/>
  <c r="AI37" i="43"/>
  <c r="AI52" i="43"/>
  <c r="AI36" i="43"/>
  <c r="AI24" i="43"/>
  <c r="AI51" i="43"/>
  <c r="AI3" i="43"/>
  <c r="AI35" i="43"/>
  <c r="AI16" i="43"/>
  <c r="AI65" i="43"/>
  <c r="AI28" i="43"/>
  <c r="AI31" i="43"/>
  <c r="AI46" i="43"/>
  <c r="AI4" i="43"/>
  <c r="X9" i="43" a="1"/>
  <c r="X3" i="43" a="1"/>
  <c r="X9" i="43" l="1"/>
  <c r="X10" i="43"/>
  <c r="X3" i="43"/>
  <c r="X5" i="43"/>
  <c r="X4" i="43"/>
  <c r="Q19" i="43"/>
  <c r="C29" i="43"/>
  <c r="H10" i="33" s="1"/>
  <c r="L10" i="33" s="1"/>
  <c r="M10" i="33"/>
  <c r="Q22" i="43" l="1"/>
  <c r="C32" i="43" s="1"/>
  <c r="H13" i="33" s="1"/>
  <c r="L13" i="33" s="1"/>
  <c r="AK9" i="43"/>
  <c r="AK40" i="43"/>
  <c r="AK10" i="43"/>
  <c r="AK13" i="43"/>
  <c r="AK41" i="43"/>
  <c r="AK52" i="43"/>
  <c r="AK60" i="43"/>
  <c r="AK62" i="43"/>
  <c r="AK16" i="43"/>
  <c r="AK4" i="43"/>
  <c r="AK35" i="43"/>
  <c r="AK27" i="43"/>
  <c r="AK7" i="43"/>
  <c r="AK26" i="43"/>
  <c r="AK30" i="43"/>
  <c r="AK56" i="43"/>
  <c r="AK22" i="43"/>
  <c r="AK11" i="43"/>
  <c r="AK8" i="43"/>
  <c r="AK58" i="43"/>
  <c r="AK50" i="43"/>
  <c r="AK43" i="43"/>
  <c r="AK31" i="43"/>
  <c r="AK57" i="43"/>
  <c r="AK51" i="43"/>
  <c r="AK45" i="43"/>
  <c r="AK20" i="43"/>
  <c r="AK49" i="43"/>
  <c r="AK29" i="43"/>
  <c r="AK33" i="43"/>
  <c r="AK28" i="43"/>
  <c r="AK64" i="43"/>
  <c r="AK6" i="43"/>
  <c r="AK19" i="43"/>
  <c r="AK15" i="43"/>
  <c r="AK17" i="43"/>
  <c r="AK5" i="43"/>
  <c r="AK21" i="43"/>
  <c r="AK3" i="43"/>
  <c r="AK53" i="43"/>
  <c r="AK46" i="43"/>
  <c r="AK36" i="43"/>
  <c r="AK14" i="43"/>
  <c r="AK55" i="43"/>
  <c r="AK39" i="43"/>
  <c r="AK47" i="43"/>
  <c r="AK12" i="43"/>
  <c r="Q17" i="43"/>
  <c r="C27" i="43" s="1"/>
  <c r="H8" i="33" s="1"/>
  <c r="L8" i="33" s="1"/>
  <c r="AK23" i="43"/>
  <c r="AK44" i="43"/>
  <c r="AK63" i="43"/>
  <c r="AK34" i="43"/>
  <c r="AK25" i="43"/>
  <c r="AK65" i="43"/>
  <c r="AK18" i="43"/>
  <c r="AK59" i="43"/>
  <c r="AK24" i="43"/>
  <c r="AK48" i="43"/>
  <c r="AK61" i="43"/>
  <c r="AK38" i="43"/>
  <c r="AK37" i="43"/>
  <c r="AK42" i="43"/>
  <c r="AK54" i="43"/>
  <c r="AK32" i="43"/>
  <c r="Q18" i="43"/>
  <c r="C28" i="43" s="1"/>
  <c r="H9" i="33" s="1"/>
  <c r="L9" i="33" s="1"/>
  <c r="AJ14" i="43"/>
  <c r="AJ31" i="43"/>
  <c r="AJ7" i="43"/>
  <c r="AJ30" i="43"/>
  <c r="AJ18" i="43"/>
  <c r="AJ44" i="43"/>
  <c r="AJ19" i="43"/>
  <c r="AJ38" i="43"/>
  <c r="AJ9" i="43"/>
  <c r="AJ57" i="43"/>
  <c r="AJ35" i="43"/>
  <c r="AJ39" i="43"/>
  <c r="AJ4" i="43"/>
  <c r="AJ6" i="43"/>
  <c r="AJ26" i="43"/>
  <c r="AJ50" i="43"/>
  <c r="AJ46" i="43"/>
  <c r="AJ22" i="43"/>
  <c r="AJ27" i="43"/>
  <c r="AJ59" i="43"/>
  <c r="AJ64" i="43"/>
  <c r="AJ11" i="43"/>
  <c r="AJ17" i="43"/>
  <c r="AJ12" i="43"/>
  <c r="AJ32" i="43"/>
  <c r="AJ5" i="43"/>
  <c r="AJ42" i="43"/>
  <c r="AJ45" i="43"/>
  <c r="AJ61" i="43"/>
  <c r="AJ8" i="43"/>
  <c r="AJ15" i="43"/>
  <c r="AJ55" i="43"/>
  <c r="AJ13" i="43"/>
  <c r="AJ21" i="43"/>
  <c r="AJ36" i="43"/>
  <c r="AJ43" i="43"/>
  <c r="AJ65" i="43"/>
  <c r="AJ10" i="43"/>
  <c r="AJ33" i="43"/>
  <c r="AJ20" i="43"/>
  <c r="AJ37" i="43"/>
  <c r="AJ58" i="43"/>
  <c r="AJ62" i="43"/>
  <c r="AJ53" i="43"/>
  <c r="AJ28" i="43"/>
  <c r="AJ41" i="43"/>
  <c r="AJ25" i="43"/>
  <c r="AJ63" i="43"/>
  <c r="AJ40" i="43"/>
  <c r="AJ47" i="43"/>
  <c r="AJ60" i="43"/>
  <c r="AJ34" i="43"/>
  <c r="AJ49" i="43"/>
  <c r="AJ24" i="43"/>
  <c r="AJ16" i="43"/>
  <c r="AJ3" i="43"/>
  <c r="AJ48" i="43"/>
  <c r="AJ23" i="43"/>
  <c r="AJ51" i="43"/>
  <c r="AJ52" i="43"/>
  <c r="AJ54" i="43"/>
  <c r="AJ56" i="43"/>
  <c r="AJ29" i="43"/>
  <c r="Q20" i="43"/>
  <c r="C30" i="43"/>
  <c r="H11" i="33"/>
  <c r="L11" i="33"/>
  <c r="M13" i="33"/>
  <c r="M8" i="33"/>
  <c r="M9" i="33"/>
  <c r="M11" i="33"/>
  <c r="Q21" i="43"/>
  <c r="C31" i="43"/>
  <c r="H12" i="33"/>
  <c r="L12" i="33"/>
  <c r="M12" i="33"/>
  <c r="Q23" i="43"/>
  <c r="C33" i="43"/>
  <c r="H14" i="33"/>
  <c r="L14" i="33"/>
  <c r="M14" i="33"/>
  <c r="N8" i="33"/>
  <c r="AE3" i="42"/>
  <c r="Y145" i="42"/>
  <c r="S22" i="42"/>
  <c r="Y223" i="42"/>
  <c r="Y207" i="42"/>
  <c r="Y113" i="42"/>
  <c r="Y83" i="42"/>
  <c r="Y170" i="42"/>
  <c r="Y126" i="42"/>
  <c r="Y172" i="42"/>
  <c r="Y69" i="42"/>
  <c r="Y204" i="42"/>
  <c r="Y187" i="42"/>
  <c r="Y224" i="42"/>
  <c r="Y39" i="42"/>
  <c r="Y118" i="42"/>
  <c r="S11" i="42"/>
  <c r="Y183" i="42"/>
  <c r="Y136" i="42"/>
  <c r="S23" i="42"/>
  <c r="Y157" i="42"/>
  <c r="Y165" i="42"/>
  <c r="Y151" i="42"/>
  <c r="Y49" i="42"/>
  <c r="Y122" i="42"/>
  <c r="Y129" i="42"/>
  <c r="AF3" i="42"/>
  <c r="Y45" i="42"/>
  <c r="Y81" i="42"/>
  <c r="Y251" i="42"/>
  <c r="Y261" i="42"/>
  <c r="Y54" i="42"/>
  <c r="Y107" i="42"/>
  <c r="S6" i="42"/>
  <c r="S19" i="42"/>
  <c r="Y16" i="42"/>
  <c r="S10" i="42"/>
  <c r="Y205" i="42"/>
  <c r="Y26" i="42"/>
  <c r="Y6" i="42"/>
  <c r="Y109" i="42"/>
  <c r="Y17" i="42"/>
  <c r="Y103" i="42"/>
  <c r="Y184" i="42"/>
  <c r="Y20" i="42"/>
  <c r="S12" i="42"/>
  <c r="Y12" i="42"/>
  <c r="Y237" i="42"/>
  <c r="S15" i="42"/>
  <c r="Y146" i="42"/>
  <c r="Y37" i="42"/>
  <c r="Y111" i="42"/>
  <c r="Y66" i="42"/>
  <c r="Y52" i="42"/>
  <c r="Y57" i="42"/>
  <c r="Y61" i="42"/>
  <c r="Y21" i="42"/>
  <c r="Y36" i="42"/>
  <c r="Y22" i="42"/>
  <c r="Y163" i="42"/>
  <c r="Y99" i="42"/>
  <c r="Y255" i="42"/>
  <c r="Y135" i="42"/>
  <c r="Y24" i="42"/>
  <c r="Y162" i="42"/>
  <c r="AF6" i="42"/>
  <c r="Y171" i="42"/>
  <c r="Y189" i="42"/>
  <c r="Y238" i="42"/>
  <c r="Y257" i="42"/>
  <c r="Y182" i="42"/>
  <c r="Y7" i="42"/>
  <c r="Y128" i="42"/>
  <c r="Y82" i="42"/>
  <c r="Y80" i="42"/>
  <c r="Y48" i="42"/>
  <c r="S17" i="42"/>
  <c r="Y138" i="42"/>
  <c r="Y201" i="42"/>
  <c r="S3" i="42"/>
  <c r="Y131" i="42"/>
  <c r="Y105" i="42"/>
  <c r="Y130" i="42"/>
  <c r="S14" i="42"/>
  <c r="Y123" i="42"/>
  <c r="Y161" i="42"/>
  <c r="Y203" i="42"/>
  <c r="Y248" i="42"/>
  <c r="Y67" i="42"/>
  <c r="Y181" i="42"/>
  <c r="Y192" i="42"/>
  <c r="Y143" i="42"/>
  <c r="Y98" i="42"/>
  <c r="Y215" i="42"/>
  <c r="Y168" i="42"/>
  <c r="Y90" i="42"/>
  <c r="Y258" i="42"/>
  <c r="S20" i="42"/>
  <c r="Y120" i="42"/>
  <c r="Y28" i="42"/>
  <c r="Y14" i="42"/>
  <c r="Y193" i="42"/>
  <c r="Y228" i="42"/>
  <c r="Y58" i="42"/>
  <c r="Y30" i="42"/>
  <c r="Y34" i="42"/>
  <c r="S16" i="42"/>
  <c r="Y62" i="42"/>
  <c r="Y200" i="42"/>
  <c r="Y23" i="42"/>
  <c r="S5" i="42"/>
  <c r="Y197" i="42"/>
  <c r="Y247" i="42"/>
  <c r="Y176" i="42"/>
  <c r="Y179" i="42"/>
  <c r="S9" i="42"/>
  <c r="Y218" i="42"/>
  <c r="Y211" i="42"/>
  <c r="Y252" i="42"/>
  <c r="Y156" i="42"/>
  <c r="Y56" i="42"/>
  <c r="Y60" i="42"/>
  <c r="Y50" i="42"/>
  <c r="Y152" i="42"/>
  <c r="Y256" i="42"/>
  <c r="Y91" i="42"/>
  <c r="Y140" i="42"/>
  <c r="Y117" i="42"/>
  <c r="Y219" i="42"/>
  <c r="S21" i="42"/>
  <c r="Y191" i="42"/>
  <c r="Y239" i="42"/>
  <c r="Y241" i="42"/>
  <c r="Y159" i="42"/>
  <c r="Y230" i="42"/>
  <c r="Y19" i="42"/>
  <c r="S13" i="42"/>
  <c r="Y112" i="42"/>
  <c r="Y127" i="42"/>
  <c r="Y153" i="42"/>
  <c r="Y229" i="42"/>
  <c r="Y174" i="42"/>
  <c r="Y38" i="42"/>
  <c r="Y232" i="42"/>
  <c r="Y249" i="42"/>
  <c r="Y33" i="42"/>
  <c r="Y154" i="42"/>
  <c r="Y124" i="42"/>
  <c r="S4" i="42"/>
  <c r="Y86" i="42"/>
  <c r="Y233" i="42"/>
  <c r="Y15" i="42"/>
  <c r="Y142" i="42"/>
  <c r="Y202" i="42"/>
  <c r="Y206" i="42"/>
  <c r="Y194" i="42"/>
  <c r="Y210" i="42"/>
  <c r="Y216" i="42"/>
  <c r="Y148" i="42"/>
  <c r="Y139" i="42"/>
  <c r="Y100" i="42"/>
  <c r="S8" i="42"/>
  <c r="Y235" i="42"/>
  <c r="Y195" i="42"/>
  <c r="Y68" i="42"/>
  <c r="Y166" i="42"/>
  <c r="Y221" i="42"/>
  <c r="Y77" i="42"/>
  <c r="Y97" i="42"/>
  <c r="Y10" i="42"/>
  <c r="Y95" i="42"/>
  <c r="Y47" i="42"/>
  <c r="S7" i="42"/>
  <c r="Y167" i="42"/>
  <c r="Y29" i="42"/>
  <c r="Y75" i="42"/>
  <c r="Y236" i="42"/>
  <c r="Y78" i="42"/>
  <c r="Y134" i="42"/>
  <c r="Y177" i="42"/>
  <c r="Y231" i="42"/>
  <c r="Y190" i="42"/>
  <c r="Y209" i="42"/>
  <c r="Y18" i="42"/>
  <c r="Y76" i="42"/>
  <c r="Y104" i="42"/>
  <c r="Y25" i="42"/>
  <c r="Y158" i="42"/>
  <c r="Y186" i="42"/>
  <c r="Y116" i="42"/>
  <c r="Y121" i="42"/>
  <c r="Y125" i="42"/>
  <c r="Y160" i="42"/>
  <c r="Y88" i="42"/>
  <c r="Y175" i="42"/>
  <c r="Y94" i="42"/>
  <c r="Y64" i="42"/>
  <c r="Y137" i="42"/>
  <c r="Y222" i="42"/>
  <c r="Y173" i="42"/>
  <c r="Y253" i="42"/>
  <c r="Y84" i="42"/>
  <c r="Y214" i="42"/>
  <c r="Y144" i="42"/>
  <c r="Y227" i="42"/>
  <c r="Y32" i="42"/>
  <c r="S24" i="42"/>
  <c r="Y244" i="42"/>
  <c r="Y132" i="42"/>
  <c r="Y93" i="42"/>
  <c r="Y242" i="42"/>
  <c r="Y234" i="42"/>
  <c r="Y65" i="42"/>
  <c r="Y260" i="42"/>
  <c r="Y254" i="42"/>
  <c r="Y198" i="42"/>
  <c r="AF4" i="42"/>
  <c r="Y164" i="42"/>
  <c r="Y240" i="42"/>
  <c r="Y208" i="42"/>
  <c r="Y63" i="42"/>
  <c r="Y73" i="42"/>
  <c r="Y85" i="42"/>
  <c r="Y226" i="42"/>
  <c r="Y199" i="42"/>
  <c r="Y115" i="42"/>
  <c r="Y196" i="42"/>
  <c r="Y217" i="42"/>
  <c r="Y87" i="42"/>
  <c r="Y110" i="42"/>
  <c r="S18" i="42"/>
  <c r="Y185" i="42"/>
  <c r="Y59" i="42"/>
  <c r="Y96" i="42"/>
  <c r="Y53" i="42"/>
  <c r="Y169" i="42"/>
  <c r="Y51" i="42"/>
  <c r="Y55" i="42"/>
  <c r="Y188" i="42"/>
  <c r="Y150" i="42"/>
  <c r="Y133" i="42"/>
  <c r="Y250" i="42"/>
  <c r="Y106" i="42"/>
  <c r="Y13" i="42"/>
  <c r="Y212" i="42"/>
  <c r="Y243" i="42"/>
  <c r="Y35" i="42"/>
  <c r="Y43" i="42"/>
  <c r="Y31" i="42"/>
  <c r="AF5" i="42"/>
  <c r="Y246" i="42"/>
  <c r="Y102" i="42"/>
  <c r="Y114" i="42"/>
  <c r="Y178" i="42"/>
  <c r="Y70" i="42"/>
  <c r="Y3" i="42"/>
  <c r="Y41" i="42"/>
  <c r="Y9" i="42"/>
  <c r="Y44" i="42"/>
  <c r="Y74" i="42"/>
  <c r="Y27" i="42"/>
  <c r="Y180" i="42"/>
  <c r="Y72" i="42"/>
  <c r="Y108" i="42"/>
  <c r="Y119" i="42"/>
  <c r="Y220" i="42"/>
  <c r="Y141" i="42"/>
  <c r="Y8" i="42"/>
  <c r="Y42" i="42"/>
  <c r="Y259" i="42"/>
  <c r="Y40" i="42"/>
  <c r="Y225" i="42"/>
  <c r="Y89" i="42"/>
  <c r="Y155" i="42"/>
  <c r="Y71" i="42"/>
  <c r="Y149" i="42"/>
  <c r="Y11" i="42"/>
  <c r="Y79" i="42"/>
  <c r="Y46" i="42"/>
  <c r="Y92" i="42"/>
  <c r="Y5" i="42"/>
  <c r="Y213" i="42"/>
  <c r="Y4" i="42"/>
  <c r="Y147" i="42"/>
  <c r="Y101" i="42"/>
  <c r="Y245" i="42"/>
  <c r="Q6" i="42"/>
  <c r="T6" i="40"/>
  <c r="J15" i="48"/>
  <c r="Q8" i="40"/>
  <c r="T18" i="42"/>
  <c r="T16" i="40"/>
  <c r="Q9" i="40"/>
  <c r="T16" i="42"/>
  <c r="Q20" i="40"/>
  <c r="O32" i="51"/>
  <c r="O24" i="51"/>
  <c r="O24" i="39"/>
  <c r="O27" i="51"/>
  <c r="O17" i="51"/>
  <c r="Q8" i="42"/>
  <c r="O17" i="43"/>
  <c r="T6" i="50"/>
  <c r="O25" i="39"/>
  <c r="Q10" i="50"/>
  <c r="O23" i="51"/>
  <c r="O29" i="51"/>
  <c r="Q17" i="42"/>
  <c r="P21" i="43"/>
  <c r="O19" i="51"/>
  <c r="Q19" i="42"/>
  <c r="P20" i="43"/>
  <c r="P17" i="43"/>
  <c r="Q22" i="42"/>
  <c r="Q9" i="50"/>
  <c r="Q12" i="50"/>
  <c r="Q11" i="42"/>
  <c r="Q24" i="42"/>
  <c r="O21" i="39"/>
  <c r="Q4" i="50"/>
  <c r="T9" i="50"/>
  <c r="O30" i="51"/>
  <c r="T12" i="50"/>
  <c r="Q21" i="42"/>
  <c r="Q20" i="42"/>
  <c r="Q7" i="42"/>
  <c r="T5" i="40"/>
  <c r="T17" i="40"/>
  <c r="O26" i="39"/>
  <c r="P18" i="43"/>
  <c r="T4" i="50"/>
  <c r="Q7" i="40"/>
  <c r="Q18" i="40"/>
  <c r="P23" i="43"/>
  <c r="T11" i="50"/>
  <c r="J16" i="48"/>
  <c r="O20" i="51"/>
  <c r="T21" i="42"/>
  <c r="T7" i="42"/>
  <c r="T6" i="42"/>
  <c r="Q13" i="42"/>
  <c r="J17" i="48"/>
  <c r="T14" i="50"/>
  <c r="T8" i="42"/>
  <c r="Q6" i="50"/>
  <c r="T13" i="42"/>
  <c r="T10" i="50"/>
  <c r="Q23" i="42"/>
  <c r="Q14" i="50"/>
  <c r="T17" i="42"/>
  <c r="O21" i="43"/>
  <c r="P19" i="43"/>
  <c r="T19" i="42"/>
  <c r="O20" i="43"/>
  <c r="T22" i="42"/>
  <c r="Q5" i="40"/>
  <c r="Q17" i="40"/>
  <c r="T23" i="42"/>
  <c r="O18" i="43"/>
  <c r="O19" i="43"/>
  <c r="T18" i="40"/>
  <c r="O23" i="43"/>
  <c r="Q11" i="50"/>
  <c r="O23" i="39"/>
  <c r="Q10" i="42"/>
  <c r="T11" i="42"/>
  <c r="T24" i="42"/>
  <c r="P22" i="43"/>
  <c r="Q19" i="40"/>
  <c r="O20" i="39"/>
  <c r="T20" i="42"/>
  <c r="T3" i="50"/>
  <c r="Q15" i="40"/>
  <c r="T5" i="42"/>
  <c r="T9" i="40"/>
  <c r="Q16" i="42"/>
  <c r="O22" i="51"/>
  <c r="O18" i="51"/>
  <c r="J18" i="48"/>
  <c r="O25" i="51"/>
  <c r="Q4" i="40"/>
  <c r="T15" i="40"/>
  <c r="Q16" i="40"/>
  <c r="T10" i="42"/>
  <c r="O22" i="39"/>
  <c r="T14" i="40"/>
  <c r="O31" i="51"/>
  <c r="O26" i="51"/>
  <c r="Q7" i="50"/>
  <c r="Q3" i="50"/>
  <c r="D13" i="51" s="1"/>
  <c r="O28" i="51"/>
  <c r="Q14" i="40"/>
  <c r="Q15" i="42"/>
  <c r="T7" i="50"/>
  <c r="T8" i="40"/>
  <c r="T20" i="40"/>
  <c r="T15" i="42"/>
  <c r="Q12" i="42"/>
  <c r="O19" i="39"/>
  <c r="Q9" i="42"/>
  <c r="J19" i="48"/>
  <c r="T12" i="42"/>
  <c r="O21" i="51"/>
  <c r="T9" i="42"/>
  <c r="O22" i="43"/>
  <c r="Q8" i="50"/>
  <c r="Q18" i="42"/>
  <c r="O18" i="39"/>
  <c r="T10" i="40"/>
  <c r="T7" i="40"/>
  <c r="T8" i="50"/>
  <c r="Q13" i="40"/>
  <c r="Q6" i="40"/>
  <c r="Q5" i="42"/>
  <c r="Q10" i="40"/>
  <c r="O17" i="39"/>
  <c r="T19" i="40"/>
  <c r="T13" i="40"/>
  <c r="T4" i="40"/>
  <c r="T13" i="50"/>
  <c r="Q12" i="40"/>
  <c r="Q4" i="42"/>
  <c r="Q13" i="50"/>
  <c r="T12" i="40"/>
  <c r="T15" i="50"/>
  <c r="T4" i="42"/>
  <c r="T3" i="40"/>
  <c r="X9" i="51" a="1"/>
  <c r="X9" i="51" s="1"/>
  <c r="X10" i="51"/>
  <c r="P21" i="51" s="1"/>
  <c r="C40" i="51" s="1"/>
  <c r="H29" i="33" s="1"/>
  <c r="L29" i="33" s="1"/>
  <c r="M29" i="33"/>
  <c r="P28" i="51"/>
  <c r="C47" i="51"/>
  <c r="H36" i="33"/>
  <c r="L36" i="33"/>
  <c r="M36" i="33"/>
  <c r="P31" i="51"/>
  <c r="C50" i="51"/>
  <c r="H39" i="33"/>
  <c r="L39" i="33"/>
  <c r="M39" i="33"/>
  <c r="P20" i="51"/>
  <c r="C39" i="51"/>
  <c r="H28" i="33"/>
  <c r="L28" i="33"/>
  <c r="M28" i="33"/>
  <c r="P18" i="51"/>
  <c r="C37" i="51" s="1"/>
  <c r="H26" i="33" s="1"/>
  <c r="L26" i="33" s="1"/>
  <c r="M26" i="33"/>
  <c r="P29" i="51"/>
  <c r="C48" i="51"/>
  <c r="H37" i="33"/>
  <c r="L37" i="33"/>
  <c r="M37" i="33"/>
  <c r="P23" i="51"/>
  <c r="C42" i="51"/>
  <c r="H31" i="33"/>
  <c r="L31" i="33"/>
  <c r="M31" i="33"/>
  <c r="P24" i="51"/>
  <c r="C43" i="51" s="1"/>
  <c r="H32" i="33" s="1"/>
  <c r="L32" i="33" s="1"/>
  <c r="M32" i="33"/>
  <c r="P19" i="51"/>
  <c r="C38" i="51"/>
  <c r="H27" i="33" s="1"/>
  <c r="L27" i="33" s="1"/>
  <c r="M27" i="33"/>
  <c r="P17" i="51"/>
  <c r="C36" i="51"/>
  <c r="H25" i="33"/>
  <c r="L25" i="33"/>
  <c r="M25" i="33"/>
  <c r="P27" i="51"/>
  <c r="C46" i="51"/>
  <c r="H35" i="33"/>
  <c r="L35" i="33"/>
  <c r="M35" i="33"/>
  <c r="P32" i="51"/>
  <c r="C51" i="51"/>
  <c r="H40" i="33"/>
  <c r="L40" i="33"/>
  <c r="M40" i="33"/>
  <c r="P26" i="51"/>
  <c r="C45" i="51" s="1"/>
  <c r="H34" i="33" s="1"/>
  <c r="L34" i="33" s="1"/>
  <c r="M34" i="33"/>
  <c r="P25" i="51"/>
  <c r="C44" i="51"/>
  <c r="H33" i="33"/>
  <c r="L33" i="33"/>
  <c r="M33" i="33"/>
  <c r="P22" i="51"/>
  <c r="C41" i="51"/>
  <c r="H30" i="33"/>
  <c r="L30" i="33"/>
  <c r="M30" i="33"/>
  <c r="AJ85" i="51"/>
  <c r="AJ82" i="51"/>
  <c r="AJ114" i="51"/>
  <c r="AJ202" i="51"/>
  <c r="AJ204" i="51"/>
  <c r="AJ195" i="51"/>
  <c r="AJ233" i="51"/>
  <c r="AJ8" i="51"/>
  <c r="AJ140" i="51"/>
  <c r="AJ203" i="51"/>
  <c r="AJ122" i="51"/>
  <c r="AJ7" i="51"/>
  <c r="AJ214" i="51"/>
  <c r="AJ184" i="51"/>
  <c r="AJ103" i="51"/>
  <c r="AJ213" i="51"/>
  <c r="AJ77" i="51"/>
  <c r="AJ246" i="51"/>
  <c r="AJ24" i="51"/>
  <c r="AJ258" i="51"/>
  <c r="AJ165" i="51"/>
  <c r="AJ138" i="51"/>
  <c r="AJ177" i="51"/>
  <c r="AJ92" i="51"/>
  <c r="AJ129" i="51"/>
  <c r="AJ174" i="51"/>
  <c r="AJ250" i="51"/>
  <c r="AJ234" i="51"/>
  <c r="AJ109" i="51"/>
  <c r="AJ159" i="51"/>
  <c r="AJ41" i="51"/>
  <c r="AJ164" i="51"/>
  <c r="AJ256" i="51"/>
  <c r="AJ102" i="51"/>
  <c r="AJ96" i="51"/>
  <c r="AJ211" i="51"/>
  <c r="AJ182" i="51"/>
  <c r="AJ194" i="51"/>
  <c r="AJ19" i="51"/>
  <c r="AJ36" i="51"/>
  <c r="AJ200" i="51"/>
  <c r="AJ248" i="51"/>
  <c r="AJ188" i="51"/>
  <c r="AJ95" i="51"/>
  <c r="AJ84" i="51"/>
  <c r="AJ9" i="51"/>
  <c r="AJ241" i="51"/>
  <c r="AJ215" i="51"/>
  <c r="AJ185" i="51"/>
  <c r="AJ105" i="51"/>
  <c r="AJ154" i="51"/>
  <c r="AJ198" i="51"/>
  <c r="AJ60" i="51"/>
  <c r="AJ28" i="51"/>
  <c r="AJ86" i="51"/>
  <c r="AJ125" i="51"/>
  <c r="AJ137" i="51"/>
  <c r="AJ222" i="51"/>
  <c r="AJ6" i="51"/>
  <c r="AJ255" i="51"/>
  <c r="AJ18" i="51"/>
  <c r="AJ197" i="51"/>
  <c r="AJ16" i="51"/>
  <c r="AJ230" i="51"/>
  <c r="AJ126" i="51"/>
  <c r="AJ62" i="51"/>
  <c r="AJ201" i="51"/>
  <c r="AJ88" i="51"/>
  <c r="AJ245" i="51"/>
  <c r="AJ187" i="51"/>
  <c r="AJ78" i="51"/>
  <c r="AJ70" i="51"/>
  <c r="AJ34" i="51"/>
  <c r="AJ87" i="51"/>
  <c r="AJ117" i="51"/>
  <c r="AJ134" i="51"/>
  <c r="AJ131" i="51"/>
  <c r="AJ141" i="51"/>
  <c r="AJ74" i="51"/>
  <c r="AJ193" i="51"/>
  <c r="AJ237" i="51"/>
  <c r="AJ171" i="51"/>
  <c r="AJ94" i="51"/>
  <c r="AJ25" i="51"/>
  <c r="AJ37" i="51"/>
  <c r="AJ20" i="51"/>
  <c r="AJ73" i="51"/>
  <c r="AJ210" i="51"/>
  <c r="AJ221" i="51"/>
  <c r="AJ12" i="51"/>
  <c r="AJ119" i="51"/>
  <c r="AJ161" i="51"/>
  <c r="AJ53" i="51"/>
  <c r="AJ254" i="51"/>
  <c r="AJ231" i="51"/>
  <c r="AJ191" i="51"/>
  <c r="AJ100" i="51"/>
  <c r="AJ118" i="51"/>
  <c r="AJ205" i="51"/>
  <c r="AJ207" i="51"/>
  <c r="AJ46" i="51"/>
  <c r="AJ26" i="51"/>
  <c r="AJ99" i="51"/>
  <c r="AJ153" i="51"/>
  <c r="AJ176" i="51"/>
  <c r="AJ183" i="51"/>
  <c r="AJ59" i="51"/>
  <c r="AJ21" i="51"/>
  <c r="AJ71" i="51"/>
  <c r="AJ128" i="51"/>
  <c r="AJ64" i="51"/>
  <c r="AJ75" i="51"/>
  <c r="AJ45" i="51"/>
  <c r="AJ54" i="51"/>
  <c r="AJ223" i="51"/>
  <c r="AJ76" i="51"/>
  <c r="AJ90" i="51"/>
  <c r="AJ3" i="51"/>
  <c r="AJ107" i="51"/>
  <c r="AJ220" i="51"/>
  <c r="AJ44" i="51"/>
  <c r="AJ50" i="51"/>
  <c r="AJ30" i="51"/>
  <c r="AJ146" i="51"/>
  <c r="AJ101" i="51"/>
  <c r="AJ13" i="51"/>
  <c r="AJ69" i="51"/>
  <c r="AJ180" i="51"/>
  <c r="AJ124" i="51"/>
  <c r="AJ57" i="51"/>
  <c r="AJ14" i="51"/>
  <c r="AJ22" i="51"/>
  <c r="AJ32" i="51"/>
  <c r="AJ208" i="51"/>
  <c r="AJ66" i="51"/>
  <c r="AJ145" i="51"/>
  <c r="AJ178" i="51"/>
  <c r="AJ209" i="51"/>
  <c r="AJ226" i="51"/>
  <c r="AJ136" i="51"/>
  <c r="AJ113" i="51"/>
  <c r="AJ115" i="51"/>
  <c r="AJ35" i="51"/>
  <c r="AJ242" i="51"/>
  <c r="AJ98" i="51"/>
  <c r="AJ97" i="51"/>
  <c r="AJ148" i="51"/>
  <c r="AJ127" i="51"/>
  <c r="AJ83" i="51"/>
  <c r="AJ10" i="51"/>
  <c r="AJ259" i="51"/>
  <c r="AJ106" i="51"/>
  <c r="AJ151" i="51"/>
  <c r="AJ93" i="51"/>
  <c r="AJ227" i="51"/>
  <c r="AJ133" i="51"/>
  <c r="AJ56" i="51"/>
  <c r="AJ232" i="51"/>
  <c r="AJ89" i="51"/>
  <c r="AJ33" i="51"/>
  <c r="AJ49" i="51"/>
  <c r="AJ120" i="51"/>
  <c r="AJ160" i="51"/>
  <c r="AJ155" i="51"/>
  <c r="AJ162" i="51"/>
  <c r="AJ108" i="51"/>
  <c r="AJ147" i="51"/>
  <c r="AJ218" i="51"/>
  <c r="AJ144" i="51"/>
  <c r="AJ51" i="51"/>
  <c r="AJ39" i="51"/>
  <c r="AJ61" i="51"/>
  <c r="AJ158" i="51"/>
  <c r="AJ157" i="51"/>
  <c r="AJ217" i="51"/>
  <c r="AJ236" i="51"/>
  <c r="AJ27" i="51"/>
  <c r="AJ42" i="51"/>
  <c r="AJ123" i="51"/>
  <c r="AJ47" i="51"/>
  <c r="AJ121" i="51"/>
  <c r="AJ139" i="51"/>
  <c r="AJ23" i="51"/>
  <c r="AJ244" i="51"/>
  <c r="AJ72" i="51"/>
  <c r="AJ40" i="51"/>
  <c r="AJ239" i="51"/>
  <c r="AJ253" i="51"/>
  <c r="AJ55" i="51"/>
  <c r="AJ48" i="51"/>
  <c r="AJ111" i="51"/>
  <c r="AJ132" i="51"/>
  <c r="AJ81" i="51"/>
  <c r="AJ168" i="51"/>
  <c r="AJ38" i="51"/>
  <c r="AJ172" i="51"/>
  <c r="AJ130" i="51"/>
  <c r="AJ116" i="51"/>
  <c r="AJ199" i="51"/>
  <c r="AJ225" i="51"/>
  <c r="AJ65" i="51"/>
  <c r="AJ166" i="51"/>
  <c r="AJ5" i="51"/>
  <c r="AJ4" i="51"/>
  <c r="AJ238" i="51"/>
  <c r="AJ79" i="51"/>
  <c r="AJ150" i="51"/>
  <c r="AJ43" i="51"/>
  <c r="AJ104" i="51"/>
  <c r="AJ170" i="51"/>
  <c r="AJ190" i="51"/>
  <c r="AJ58" i="51"/>
  <c r="AJ175" i="51"/>
  <c r="AJ252" i="51"/>
  <c r="AJ143" i="51"/>
  <c r="AJ52" i="51"/>
  <c r="AJ15" i="51"/>
  <c r="AJ149" i="51"/>
  <c r="AJ189" i="51"/>
  <c r="AJ224" i="51"/>
  <c r="AJ110" i="51"/>
  <c r="AJ135" i="51"/>
  <c r="AJ179" i="51"/>
  <c r="AJ17" i="51"/>
  <c r="AJ163" i="51"/>
  <c r="AJ167" i="51"/>
  <c r="AJ142" i="51"/>
  <c r="AJ63" i="51"/>
  <c r="AJ235" i="51"/>
  <c r="AJ80" i="51"/>
  <c r="AJ11" i="51"/>
  <c r="AJ249" i="51"/>
  <c r="AJ212" i="51"/>
  <c r="AJ251" i="51"/>
  <c r="AJ243" i="51"/>
  <c r="AJ257" i="51"/>
  <c r="AJ216" i="51"/>
  <c r="AJ29" i="51"/>
  <c r="AJ156" i="51"/>
  <c r="AJ68" i="51"/>
  <c r="AJ240" i="51"/>
  <c r="AJ229" i="51"/>
  <c r="AJ206" i="51"/>
  <c r="AJ186" i="51"/>
  <c r="AJ112" i="51"/>
  <c r="AJ152" i="51"/>
  <c r="AJ247" i="51"/>
  <c r="AJ196" i="51"/>
  <c r="AJ173" i="51"/>
  <c r="AJ181" i="51"/>
  <c r="AJ91" i="51"/>
  <c r="AJ192" i="51"/>
  <c r="AJ31" i="51"/>
  <c r="AJ169" i="51"/>
  <c r="AJ219" i="51"/>
  <c r="AJ67" i="51"/>
  <c r="AJ228" i="51"/>
  <c r="P30" i="51"/>
  <c r="C49" i="51"/>
  <c r="H38" i="33"/>
  <c r="L38" i="33"/>
  <c r="M38" i="33"/>
  <c r="Q15" i="50"/>
  <c r="Q11" i="40"/>
  <c r="T5" i="50"/>
  <c r="Q14" i="42"/>
  <c r="T3" i="42"/>
  <c r="Q21" i="40"/>
  <c r="T11" i="40"/>
  <c r="Q5" i="50"/>
  <c r="T14" i="42"/>
  <c r="T21" i="40"/>
  <c r="S9" i="48" a="1"/>
  <c r="S9" i="48"/>
  <c r="S10" i="48"/>
  <c r="K18" i="48" s="1"/>
  <c r="AE13" i="48"/>
  <c r="K16" i="48"/>
  <c r="K15" i="48"/>
  <c r="AE22" i="48"/>
  <c r="AE5" i="48"/>
  <c r="AE23" i="48"/>
  <c r="AE11" i="48"/>
  <c r="AE16" i="48"/>
  <c r="AE25" i="48"/>
  <c r="AE8" i="48"/>
  <c r="AE19" i="48"/>
  <c r="AE14" i="48"/>
  <c r="AE24" i="48"/>
  <c r="AE26" i="48"/>
  <c r="AE12" i="48"/>
  <c r="X3" i="39" a="1"/>
  <c r="X4" i="39"/>
  <c r="X5" i="39"/>
  <c r="Q23" i="39" s="1"/>
  <c r="X3" i="39"/>
  <c r="Q26" i="39" s="1"/>
  <c r="Q18" i="39"/>
  <c r="Q19" i="39"/>
  <c r="Q25" i="39"/>
  <c r="Q24" i="39"/>
  <c r="Q17" i="39"/>
  <c r="AK43" i="39"/>
  <c r="AK64" i="39"/>
  <c r="AK45" i="39"/>
  <c r="AK111" i="39"/>
  <c r="AK68" i="39"/>
  <c r="AK58" i="39"/>
  <c r="AK99" i="39"/>
  <c r="AK59" i="39"/>
  <c r="AK57" i="39"/>
  <c r="AK105" i="39"/>
  <c r="AK96" i="39"/>
  <c r="AK103" i="39"/>
  <c r="AK119" i="39"/>
  <c r="AK40" i="39"/>
  <c r="AK120" i="39"/>
  <c r="AK6" i="39"/>
  <c r="AK56" i="39"/>
  <c r="AK116" i="39"/>
  <c r="AK16" i="39"/>
  <c r="AK15" i="39"/>
  <c r="AK131" i="39"/>
  <c r="AK28" i="39"/>
  <c r="AK44" i="39"/>
  <c r="AK108" i="39"/>
  <c r="AK67" i="39"/>
  <c r="AK88" i="39"/>
  <c r="AK115" i="39"/>
  <c r="AK3" i="39"/>
  <c r="AK46" i="39"/>
  <c r="AK76" i="39"/>
  <c r="AK5" i="39"/>
  <c r="AK27" i="39"/>
  <c r="AK129" i="39"/>
  <c r="AK78" i="39"/>
  <c r="AK113" i="39"/>
  <c r="AK51" i="39"/>
  <c r="AK122" i="39"/>
  <c r="AK74" i="39"/>
  <c r="AK60" i="39"/>
  <c r="AK21" i="39"/>
  <c r="AK48" i="39"/>
  <c r="AK52" i="39"/>
  <c r="AK85" i="39"/>
  <c r="AK9" i="39"/>
  <c r="AK117" i="39"/>
  <c r="AK20" i="39"/>
  <c r="AK65" i="39"/>
  <c r="AK101" i="39"/>
  <c r="S3" i="48" a="1"/>
  <c r="S5" i="48"/>
  <c r="S4" i="48"/>
  <c r="S3" i="48"/>
  <c r="L16" i="48"/>
  <c r="C24" i="48"/>
  <c r="H4" i="33" s="1"/>
  <c r="L4" i="33" s="1"/>
  <c r="M4" i="33"/>
  <c r="AK42" i="39" l="1"/>
  <c r="AK102" i="39"/>
  <c r="AK33" i="39"/>
  <c r="AK106" i="39"/>
  <c r="AK39" i="39"/>
  <c r="AK104" i="39"/>
  <c r="AK89" i="39"/>
  <c r="AK10" i="39"/>
  <c r="AK26" i="39"/>
  <c r="AK77" i="39"/>
  <c r="AK41" i="39"/>
  <c r="AK53" i="39"/>
  <c r="AK24" i="39"/>
  <c r="AK114" i="39"/>
  <c r="AK124" i="39"/>
  <c r="AK8" i="39"/>
  <c r="AK95" i="39"/>
  <c r="AK127" i="39"/>
  <c r="AK110" i="39"/>
  <c r="AK62" i="39"/>
  <c r="AK73" i="39"/>
  <c r="AK35" i="39"/>
  <c r="AK118" i="39"/>
  <c r="AK14" i="39"/>
  <c r="AK81" i="39"/>
  <c r="AK63" i="39"/>
  <c r="AK92" i="39"/>
  <c r="AK80" i="39"/>
  <c r="AK11" i="39"/>
  <c r="AK93" i="39"/>
  <c r="AK4" i="39"/>
  <c r="AK132" i="39"/>
  <c r="Q22" i="39"/>
  <c r="AE4" i="48"/>
  <c r="AE15" i="48"/>
  <c r="AE18" i="48"/>
  <c r="AK18" i="39"/>
  <c r="AK86" i="39"/>
  <c r="AK121" i="39"/>
  <c r="AK90" i="39"/>
  <c r="AK109" i="39"/>
  <c r="AK69" i="39"/>
  <c r="AK55" i="39"/>
  <c r="AK126" i="39"/>
  <c r="AK19" i="39"/>
  <c r="AK83" i="39"/>
  <c r="AK31" i="39"/>
  <c r="AK107" i="39"/>
  <c r="AK7" i="39"/>
  <c r="AK13" i="39"/>
  <c r="AK49" i="39"/>
  <c r="AK70" i="39"/>
  <c r="Q21" i="39"/>
  <c r="AE7" i="48"/>
  <c r="AE3" i="48"/>
  <c r="K19" i="48"/>
  <c r="AK34" i="39"/>
  <c r="AK36" i="39"/>
  <c r="AK75" i="39"/>
  <c r="AK23" i="39"/>
  <c r="AK128" i="39"/>
  <c r="AK98" i="39"/>
  <c r="AK84" i="39"/>
  <c r="AK100" i="39"/>
  <c r="AK37" i="39"/>
  <c r="AK112" i="39"/>
  <c r="AK82" i="39"/>
  <c r="AK25" i="39"/>
  <c r="AK123" i="39"/>
  <c r="AK50" i="39"/>
  <c r="AK17" i="39"/>
  <c r="AK47" i="39"/>
  <c r="AK71" i="39"/>
  <c r="Q20" i="39"/>
  <c r="AE17" i="48"/>
  <c r="AE10" i="48"/>
  <c r="AE6" i="48"/>
  <c r="K17" i="48"/>
  <c r="AK12" i="39"/>
  <c r="AK91" i="39"/>
  <c r="AK29" i="39"/>
  <c r="AK79" i="39"/>
  <c r="AK38" i="39"/>
  <c r="AK130" i="39"/>
  <c r="AK22" i="39"/>
  <c r="AK125" i="39"/>
  <c r="AK32" i="39"/>
  <c r="AK87" i="39"/>
  <c r="AK66" i="39"/>
  <c r="AK94" i="39"/>
  <c r="AK54" i="39"/>
  <c r="AK61" i="39"/>
  <c r="AK72" i="39"/>
  <c r="AK97" i="39"/>
  <c r="AK30" i="39"/>
  <c r="AE21" i="48"/>
  <c r="AE9" i="48"/>
  <c r="AE20" i="48"/>
  <c r="L17" i="48"/>
  <c r="C25" i="48"/>
  <c r="H5" i="33"/>
  <c r="L5" i="33"/>
  <c r="M5" i="33"/>
  <c r="L15" i="48"/>
  <c r="C23" i="48" s="1"/>
  <c r="H3" i="33" s="1"/>
  <c r="L3" i="33" s="1"/>
  <c r="M3" i="33"/>
  <c r="L18" i="48"/>
  <c r="C26" i="48"/>
  <c r="H6" i="33"/>
  <c r="L6" i="33"/>
  <c r="M6" i="33"/>
  <c r="L19" i="48"/>
  <c r="C27" i="48"/>
  <c r="H7" i="33"/>
  <c r="L7" i="33"/>
  <c r="M7" i="33"/>
  <c r="N2" i="33"/>
  <c r="AF18" i="48"/>
  <c r="AF4" i="48"/>
  <c r="AF6" i="48"/>
  <c r="AF11" i="48"/>
  <c r="AF14" i="48"/>
  <c r="AF9" i="48"/>
  <c r="AF15" i="48"/>
  <c r="AF24" i="48"/>
  <c r="AF12" i="48"/>
  <c r="AF3" i="48"/>
  <c r="AF5" i="48"/>
  <c r="AF19" i="48"/>
  <c r="AF26" i="48"/>
  <c r="AF22" i="48"/>
  <c r="AF25" i="48"/>
  <c r="AF20" i="48"/>
  <c r="AF7" i="48"/>
  <c r="AF10" i="48"/>
  <c r="AF13" i="48"/>
  <c r="AF23" i="48"/>
  <c r="AF16" i="48"/>
  <c r="AF17" i="48"/>
  <c r="AF21" i="48"/>
  <c r="AF8" i="48"/>
  <c r="X9" i="39" a="1"/>
  <c r="X9" i="39"/>
  <c r="X10" i="39"/>
  <c r="P18" i="39"/>
  <c r="C31" i="39"/>
  <c r="H16" i="33"/>
  <c r="L16" i="33"/>
  <c r="M16" i="33"/>
  <c r="P19" i="39"/>
  <c r="C32" i="39"/>
  <c r="H17" i="33"/>
  <c r="L17" i="33"/>
  <c r="M17" i="33"/>
  <c r="P20" i="39"/>
  <c r="C33" i="39"/>
  <c r="H18" i="33"/>
  <c r="L18" i="33"/>
  <c r="M18" i="33"/>
  <c r="P22" i="39"/>
  <c r="C35" i="39"/>
  <c r="H20" i="33"/>
  <c r="L20" i="33"/>
  <c r="M20" i="33"/>
  <c r="P26" i="39"/>
  <c r="C39" i="39" s="1"/>
  <c r="H24" i="33" s="1"/>
  <c r="L24" i="33" s="1"/>
  <c r="M24" i="33"/>
  <c r="P17" i="39"/>
  <c r="C30" i="39" s="1"/>
  <c r="H15" i="33" s="1"/>
  <c r="L15" i="33" s="1"/>
  <c r="M15" i="33"/>
  <c r="P21" i="39"/>
  <c r="C34" i="39"/>
  <c r="H19" i="33"/>
  <c r="L19" i="33"/>
  <c r="M19" i="33"/>
  <c r="P25" i="39"/>
  <c r="C38" i="39"/>
  <c r="H23" i="33"/>
  <c r="L23" i="33"/>
  <c r="M23" i="33"/>
  <c r="P23" i="39"/>
  <c r="C36" i="39"/>
  <c r="H21" i="33"/>
  <c r="L21" i="33"/>
  <c r="M21" i="33"/>
  <c r="P24" i="39"/>
  <c r="C37" i="39"/>
  <c r="H22" i="33"/>
  <c r="L22" i="33"/>
  <c r="M22" i="33"/>
  <c r="AJ65" i="39"/>
  <c r="AJ106" i="39"/>
  <c r="AJ128" i="39"/>
  <c r="AJ80" i="39"/>
  <c r="AJ44" i="39"/>
  <c r="AJ18" i="39"/>
  <c r="AJ19" i="39"/>
  <c r="AJ20" i="39"/>
  <c r="AJ92" i="39"/>
  <c r="AJ93" i="39"/>
  <c r="AJ74" i="39"/>
  <c r="AJ82" i="39"/>
  <c r="AJ77" i="39"/>
  <c r="AJ53" i="39"/>
  <c r="AJ111" i="39"/>
  <c r="AJ27" i="39"/>
  <c r="AJ10" i="39"/>
  <c r="AJ108" i="39"/>
  <c r="AJ73" i="39"/>
  <c r="AJ125" i="39"/>
  <c r="AJ71" i="39"/>
  <c r="AJ95" i="39"/>
  <c r="AJ91" i="39"/>
  <c r="AJ100" i="39"/>
  <c r="AJ47" i="39"/>
  <c r="AJ132" i="39"/>
  <c r="AJ6" i="39"/>
  <c r="AJ51" i="39"/>
  <c r="AJ107" i="39"/>
  <c r="AJ105" i="39"/>
  <c r="AJ103" i="39"/>
  <c r="AJ46" i="39"/>
  <c r="AJ127" i="39"/>
  <c r="AJ61" i="39"/>
  <c r="AJ120" i="39"/>
  <c r="AJ69" i="39"/>
  <c r="AJ33" i="39"/>
  <c r="AJ5" i="39"/>
  <c r="AJ115" i="39"/>
  <c r="AJ35" i="39"/>
  <c r="AJ81" i="39"/>
  <c r="AJ94" i="39"/>
  <c r="AJ119" i="39"/>
  <c r="AJ56" i="39"/>
  <c r="AJ45" i="39"/>
  <c r="AJ67" i="39"/>
  <c r="AJ75" i="39"/>
  <c r="AJ41" i="39"/>
  <c r="AJ62" i="39"/>
  <c r="AJ42" i="39"/>
  <c r="AJ97" i="39"/>
  <c r="AJ30" i="39"/>
  <c r="AJ113" i="39"/>
  <c r="AJ49" i="39"/>
  <c r="AJ123" i="39"/>
  <c r="AJ130" i="39"/>
  <c r="AJ66" i="39"/>
  <c r="AJ12" i="39"/>
  <c r="AJ25" i="39"/>
  <c r="AJ84" i="39"/>
  <c r="AJ29" i="39"/>
  <c r="AJ87" i="39"/>
  <c r="AJ9" i="39"/>
  <c r="AJ8" i="39"/>
  <c r="AJ114" i="39"/>
  <c r="AJ121" i="39"/>
  <c r="AJ126" i="39"/>
  <c r="AJ110" i="39"/>
  <c r="AJ16" i="39"/>
  <c r="AJ118" i="39"/>
  <c r="AJ90" i="39"/>
  <c r="AJ31" i="39"/>
  <c r="AJ52" i="39"/>
  <c r="AJ63" i="39"/>
  <c r="AJ64" i="39"/>
  <c r="AJ28" i="39"/>
  <c r="AJ17" i="39"/>
  <c r="AJ59" i="39"/>
  <c r="AJ57" i="39"/>
  <c r="AJ55" i="39"/>
  <c r="AJ116" i="39"/>
  <c r="AJ86" i="39"/>
  <c r="AJ39" i="39"/>
  <c r="AJ98" i="39"/>
  <c r="AJ96" i="39"/>
  <c r="AJ40" i="39"/>
  <c r="AJ79" i="39"/>
  <c r="AJ58" i="39"/>
  <c r="AJ102" i="39"/>
  <c r="AJ15" i="39"/>
  <c r="AJ131" i="39"/>
  <c r="AJ21" i="39"/>
  <c r="AJ72" i="39"/>
  <c r="AJ78" i="39"/>
  <c r="AJ101" i="39"/>
  <c r="AJ32" i="39"/>
  <c r="AJ11" i="39"/>
  <c r="AJ14" i="39"/>
  <c r="AJ3" i="39"/>
  <c r="AJ34" i="39"/>
  <c r="AJ117" i="39"/>
  <c r="AJ36" i="39"/>
  <c r="AJ83" i="39"/>
  <c r="AJ109" i="39"/>
  <c r="AJ85" i="39"/>
  <c r="AJ129" i="39"/>
  <c r="AJ89" i="39"/>
  <c r="AJ48" i="39"/>
  <c r="AJ54" i="39"/>
  <c r="AJ22" i="39"/>
  <c r="AJ104" i="39"/>
  <c r="AJ70" i="39"/>
  <c r="AJ60" i="39"/>
  <c r="AJ7" i="39"/>
  <c r="AJ88" i="39"/>
  <c r="AJ13" i="39"/>
  <c r="AJ4" i="39"/>
  <c r="AJ50" i="39"/>
  <c r="AJ124" i="39"/>
  <c r="AJ112" i="39"/>
  <c r="AJ23" i="39"/>
  <c r="AJ99" i="39"/>
  <c r="AJ122" i="39"/>
  <c r="AJ76" i="39"/>
  <c r="AJ68" i="39"/>
  <c r="AJ43" i="39"/>
  <c r="AJ26" i="39"/>
  <c r="AJ37" i="39"/>
  <c r="AJ38" i="39"/>
  <c r="AJ24" i="39"/>
  <c r="X3" i="51" a="1"/>
  <c r="X5" i="51"/>
  <c r="Q20" i="51" s="1"/>
  <c r="X4" i="51"/>
  <c r="Q25" i="51" s="1"/>
  <c r="X3" i="51"/>
  <c r="Q17" i="51" s="1"/>
  <c r="Q21" i="51"/>
  <c r="Q31" i="51"/>
  <c r="Q27" i="51"/>
  <c r="Q24" i="51"/>
  <c r="Q32" i="51"/>
  <c r="Q28" i="51"/>
  <c r="AK181" i="51"/>
  <c r="AK183" i="51"/>
  <c r="AK10" i="51"/>
  <c r="AK232" i="51"/>
  <c r="AK77" i="51"/>
  <c r="AK106" i="51"/>
  <c r="AK139" i="51"/>
  <c r="AK136" i="51"/>
  <c r="AK156" i="51"/>
  <c r="AK97" i="51"/>
  <c r="AK72" i="51"/>
  <c r="AK58" i="51"/>
  <c r="AK144" i="51"/>
  <c r="AK85" i="51"/>
  <c r="AK140" i="51"/>
  <c r="AK138" i="51"/>
  <c r="AK192" i="51"/>
  <c r="AK87" i="51"/>
  <c r="AK165" i="51"/>
  <c r="AK96" i="51"/>
  <c r="AK145" i="51"/>
  <c r="AK27" i="51"/>
  <c r="AK54" i="51"/>
  <c r="AK203" i="51"/>
  <c r="AK225" i="51"/>
  <c r="AK190" i="51"/>
  <c r="AK255" i="51"/>
  <c r="AK174" i="51"/>
  <c r="AK23" i="51"/>
  <c r="AK149" i="51"/>
  <c r="AK29" i="51"/>
  <c r="AK21" i="51"/>
  <c r="AK95" i="51"/>
  <c r="AK80" i="51"/>
  <c r="AK173" i="51"/>
  <c r="AK34" i="51"/>
  <c r="AK15" i="51"/>
  <c r="AK227" i="51"/>
  <c r="AK33" i="51"/>
  <c r="AK9" i="51"/>
  <c r="AK143" i="51"/>
  <c r="AK126" i="51"/>
  <c r="AK74" i="51"/>
  <c r="AK244" i="51"/>
  <c r="AK178" i="51"/>
  <c r="AK147" i="51"/>
  <c r="AK5" i="51"/>
  <c r="AK257" i="51"/>
  <c r="AK151" i="51"/>
  <c r="AK239" i="51"/>
  <c r="AK59" i="51"/>
  <c r="AK241" i="51"/>
  <c r="AK125" i="51"/>
  <c r="AK187" i="51"/>
  <c r="AK75" i="51"/>
  <c r="AK41" i="51"/>
  <c r="AK68" i="51"/>
  <c r="AK254" i="51"/>
  <c r="AK230" i="51"/>
  <c r="AK154" i="51"/>
  <c r="AK162" i="51"/>
  <c r="AK234" i="51"/>
  <c r="AK120" i="51"/>
  <c r="AK26" i="51"/>
  <c r="AK7" i="51"/>
  <c r="AK94" i="51"/>
  <c r="AK205" i="51"/>
  <c r="AK25" i="51"/>
  <c r="AK221" i="51"/>
  <c r="AK197" i="51"/>
  <c r="AK124" i="51"/>
  <c r="AK93" i="51"/>
  <c r="AK122" i="51"/>
  <c r="AK28" i="51"/>
  <c r="AK38" i="51"/>
  <c r="AK116" i="51"/>
  <c r="AK169" i="51"/>
  <c r="AK161" i="51"/>
  <c r="AK39" i="51"/>
  <c r="AK137" i="51"/>
  <c r="AK253" i="51"/>
  <c r="AK209" i="51"/>
  <c r="AK220" i="51"/>
  <c r="AK166" i="51"/>
  <c r="AK18" i="51"/>
  <c r="AK117" i="51"/>
  <c r="AK176" i="51"/>
  <c r="AK51" i="51"/>
  <c r="AK67" i="51"/>
  <c r="AK76" i="51"/>
  <c r="AK258" i="51"/>
  <c r="AK170" i="51"/>
  <c r="AK219" i="51"/>
  <c r="AK112" i="51"/>
  <c r="AK180" i="51"/>
  <c r="AK238" i="51"/>
  <c r="AK63" i="51"/>
  <c r="N15" i="33"/>
  <c r="N25" i="33"/>
  <c r="AK86" i="51" l="1"/>
  <c r="AK206" i="51"/>
  <c r="AK157" i="51"/>
  <c r="AK198" i="51"/>
  <c r="AK114" i="51"/>
  <c r="AK107" i="51"/>
  <c r="AK150" i="51"/>
  <c r="AK57" i="51"/>
  <c r="AK121" i="51"/>
  <c r="AK214" i="51"/>
  <c r="AK223" i="51"/>
  <c r="AK71" i="51"/>
  <c r="AK65" i="51"/>
  <c r="AK210" i="51"/>
  <c r="AK12" i="51"/>
  <c r="AK127" i="51"/>
  <c r="AK45" i="51"/>
  <c r="AK109" i="51"/>
  <c r="AK69" i="51"/>
  <c r="Q18" i="51"/>
  <c r="AK88" i="51"/>
  <c r="AK52" i="51"/>
  <c r="AK235" i="51"/>
  <c r="AK195" i="51"/>
  <c r="AK91" i="51"/>
  <c r="AK152" i="51"/>
  <c r="AK163" i="51"/>
  <c r="AK164" i="51"/>
  <c r="AK17" i="51"/>
  <c r="AK212" i="51"/>
  <c r="AK148" i="51"/>
  <c r="AK204" i="51"/>
  <c r="AK159" i="51"/>
  <c r="AK185" i="51"/>
  <c r="AK146" i="51"/>
  <c r="AK249" i="51"/>
  <c r="AK62" i="51"/>
  <c r="AK202" i="51"/>
  <c r="AK90" i="51"/>
  <c r="AK66" i="51"/>
  <c r="AK201" i="51"/>
  <c r="Q23" i="51"/>
  <c r="AK193" i="51"/>
  <c r="AK60" i="51"/>
  <c r="AK30" i="51"/>
  <c r="AK118" i="51"/>
  <c r="AK84" i="51"/>
  <c r="AK104" i="51"/>
  <c r="AK61" i="51"/>
  <c r="AK35" i="51"/>
  <c r="AK11" i="51"/>
  <c r="AK83" i="51"/>
  <c r="AK142" i="51"/>
  <c r="AK211" i="51"/>
  <c r="AK231" i="51"/>
  <c r="AK200" i="51"/>
  <c r="AK111" i="51"/>
  <c r="AK242" i="51"/>
  <c r="AK222" i="51"/>
  <c r="AK6" i="51"/>
  <c r="AK133" i="51"/>
  <c r="AK3" i="51"/>
  <c r="AK82" i="51"/>
  <c r="AK79" i="51"/>
  <c r="AK103" i="51"/>
  <c r="AK160" i="51"/>
  <c r="AK115" i="51"/>
  <c r="AK123" i="51"/>
  <c r="AK78" i="51"/>
  <c r="AK102" i="51"/>
  <c r="AK100" i="51"/>
  <c r="AK153" i="51"/>
  <c r="AK98" i="51"/>
  <c r="AK70" i="51"/>
  <c r="AK56" i="51"/>
  <c r="AK44" i="51"/>
  <c r="AK89" i="51"/>
  <c r="AK172" i="51"/>
  <c r="Q19" i="51"/>
  <c r="Q30" i="51"/>
  <c r="AK217" i="51"/>
  <c r="AK48" i="51"/>
  <c r="AK175" i="51"/>
  <c r="AK245" i="51"/>
  <c r="AK207" i="51"/>
  <c r="AK141" i="51"/>
  <c r="AK101" i="51"/>
  <c r="AK236" i="51"/>
  <c r="AK171" i="51"/>
  <c r="AK247" i="51"/>
  <c r="AK20" i="51"/>
  <c r="AK155" i="51"/>
  <c r="AK92" i="51"/>
  <c r="AK199" i="51"/>
  <c r="AK240" i="51"/>
  <c r="AK55" i="51"/>
  <c r="AK229" i="51"/>
  <c r="AK248" i="51"/>
  <c r="AK186" i="51"/>
  <c r="AK32" i="51"/>
  <c r="AK226" i="51"/>
  <c r="AK218" i="51"/>
  <c r="AK251" i="51"/>
  <c r="AK134" i="51"/>
  <c r="AK243" i="51"/>
  <c r="AK40" i="51"/>
  <c r="AK119" i="51"/>
  <c r="AK99" i="51"/>
  <c r="AK167" i="51"/>
  <c r="AK22" i="51"/>
  <c r="AK129" i="51"/>
  <c r="AK14" i="51"/>
  <c r="AK216" i="51"/>
  <c r="AK194" i="51"/>
  <c r="AK108" i="51"/>
  <c r="AK158" i="51"/>
  <c r="AK47" i="51"/>
  <c r="AK113" i="51"/>
  <c r="AK16" i="51"/>
  <c r="AK64" i="51"/>
  <c r="AK53" i="51"/>
  <c r="AK49" i="51"/>
  <c r="AK256" i="51"/>
  <c r="AK188" i="51"/>
  <c r="AK19" i="51"/>
  <c r="AK130" i="51"/>
  <c r="AK184" i="51"/>
  <c r="AK233" i="51"/>
  <c r="AK177" i="51"/>
  <c r="AK228" i="51"/>
  <c r="AK131" i="51"/>
  <c r="AK42" i="51"/>
  <c r="Q26" i="51"/>
  <c r="Q29" i="51"/>
  <c r="AK213" i="51"/>
  <c r="AK105" i="51"/>
  <c r="AK168" i="51"/>
  <c r="AK237" i="51"/>
  <c r="AK46" i="51"/>
  <c r="AK252" i="51"/>
  <c r="AK128" i="51"/>
  <c r="AK135" i="51"/>
  <c r="AK73" i="51"/>
  <c r="AK24" i="51"/>
  <c r="AK215" i="51"/>
  <c r="AK246" i="51"/>
  <c r="AK110" i="51"/>
  <c r="AK37" i="51"/>
  <c r="AK259" i="51"/>
  <c r="AK208" i="51"/>
  <c r="AK31" i="51"/>
  <c r="AK191" i="51"/>
  <c r="AK13" i="51"/>
  <c r="AK8" i="51"/>
  <c r="AK81" i="51"/>
  <c r="AK196" i="51"/>
  <c r="AK132" i="51"/>
  <c r="AK189" i="51"/>
  <c r="AK182" i="51"/>
  <c r="AK50" i="51"/>
  <c r="AK4" i="51"/>
  <c r="AK250" i="51"/>
  <c r="AK179" i="51"/>
  <c r="AK43" i="51"/>
  <c r="AK36" i="51"/>
  <c r="AK224" i="51"/>
  <c r="Q22" i="51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<sst xmlns="http://schemas.openxmlformats.org/spreadsheetml/2006/main" count="579" uniqueCount="160">
  <si>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</si>
  <si>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</si>
  <si>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</si>
  <si>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</si>
  <si>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</si>
  <si>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</si>
  <si>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</si>
  <si>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</si>
  <si>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</si>
  <si>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</si>
  <si>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</si>
  <si>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</si>
  <si>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</si>
  <si>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</si>
  <si>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</si>
  <si>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</si>
  <si>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</si>
  <si>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</si>
  <si>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</si>
  <si>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</si>
  <si>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</si>
  <si>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</si>
  <si>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</si>
  <si>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</si>
  <si>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</si>
  <si>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</si>
  <si>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</si>
  <si>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</si>
  <si>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</si>
  <si>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</si>
  <si>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</si>
  <si>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</si>
  <si>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</si>
  <si>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</si>
  <si>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</si>
  <si>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</si>
  <si>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</si>
  <si>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</si>
  <si>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</si>
  <si>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</si>
  <si>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</si>
  <si>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</si>
  <si>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</si>
  <si>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</si>
  <si>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</si>
  <si>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</si>
  <si>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</si>
  <si>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</si>
  <si>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</si>
  <si>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</si>
  <si>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</si>
  <si>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</si>
  <si>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</si>
  <si>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</si>
  <si>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</si>
  <si>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</si>
  <si>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</si>
  <si>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</si>
  <si>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</si>
  <si>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</si>
  <si>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</si>
  <si>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</si>
  <si>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</si>
  <si>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</si>
  <si>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</si>
  <si>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</si>
  <si>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</si>
  <si>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</si>
  <si>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</si>
  <si>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</si>
  <si>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</si>
  <si>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</si>
  <si>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</si>
  <si>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</si>
  <si>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</si>
  <si>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</si>
  <si>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</si>
  <si>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</si>
  <si>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</si>
  <si>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</si>
  <si>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</si>
  <si>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</si>
  <si>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</si>
  <si>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</si>
  <si>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</si>
  <si>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</si>
  <si>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</si>
  <si>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</si>
  <si>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</si>
  <si>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</si>
  <si>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</si>
  <si>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</si>
  <si>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</si>
  <si>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</si>
  <si>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</si>
  <si>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</si>
  <si>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</si>
  <si>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</si>
  <si>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</si>
  <si>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</si>
  <si>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</si>
  <si>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</si>
  <si>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</si>
  <si>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</si>
  <si>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</si>
  <si>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</si>
  <si>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</si>
  <si>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</si>
  <si>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</si>
  <si>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</si>
  <si>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</si>
  <si>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</si>
  <si>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</si>
  <si>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</si>
  <si>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</si>
  <si>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</si>
  <si>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</si>
  <si>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</si>
  <si>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</si>
  <si>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</si>
  <si>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</si>
  <si>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</si>
  <si>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</si>
  <si>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</si>
  <si>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</si>
  <si>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</si>
  <si>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</si>
  <si>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</si>
  <si>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</si>
  <si>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</si>
  <si>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</si>
  <si>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</si>
  <si>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</si>
  <si>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</si>
  <si>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</si>
  <si>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</si>
  <si>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</si>
  <si>
    <t>Quote ID</t>
  </si>
  <si>
    <t>Quote Object</t>
  </si>
  <si>
    <t>AM</t>
  </si>
  <si>
    <t>1E</t>
  </si>
  <si>
    <t>a</t>
  </si>
  <si>
    <t>b</t>
  </si>
  <si>
    <t>c</t>
  </si>
  <si>
    <t>d</t>
  </si>
  <si>
    <t>Parameters</t>
  </si>
  <si>
    <t>Guess</t>
  </si>
  <si>
    <t>End Criteria</t>
  </si>
  <si>
    <t>Optimization Method</t>
  </si>
  <si>
    <t>Abcd</t>
  </si>
  <si>
    <t>Calibrated Parameters</t>
  </si>
  <si>
    <t>year fraction</t>
  </si>
  <si>
    <t>Abcd Basis Interp</t>
  </si>
  <si>
    <t>Mode</t>
  </si>
  <si>
    <t>Range</t>
  </si>
  <si>
    <t>Year Fraction</t>
  </si>
  <si>
    <t>Abcd Diff (bps)</t>
  </si>
  <si>
    <t xml:space="preserve">Abcd Basis Interp </t>
  </si>
  <si>
    <t>Abcd Diff  (bps)</t>
  </si>
  <si>
    <t>Selected 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</si>
</sst>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  <xf numFmtId="9" fontId="23" fillId="0" borderId="0" applyFont="0" applyFill="0" applyBorder="0" applyAlignment="0" applyProtection="0"/>
  </cellStyleXfs>
  <cellXfs count="358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0" fontId="11" fillId="4" borderId="4" xfId="14" applyNumberFormat="1" applyFont="1" applyFill="1" applyBorder="1" applyAlignment="1">
      <alignment horizontal="center"/>
    </xf>
    <xf numFmtId="0" fontId="11" fillId="4" borderId="4" xfId="34" applyNumberFormat="1" applyFont="1" applyFill="1" applyBorder="1" applyAlignment="1">
      <alignment horizontal="center"/>
    </xf>
    <xf numFmtId="0" fontId="11" fillId="4" borderId="4" xfId="31" applyNumberFormat="1" applyFont="1" applyFill="1" applyBorder="1" applyAlignment="1">
      <alignment horizontal="center"/>
    </xf>
    <xf numFmtId="0" fontId="11" fillId="4" borderId="4" xfId="14" applyFont="1" applyFill="1" applyBorder="1" applyAlignment="1">
      <alignment horizontal="center"/>
    </xf>
    <xf numFmtId="171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/>
    <xf numFmtId="0" fontId="11" fillId="4" borderId="4" xfId="14" applyFont="1" applyFill="1" applyBorder="1"/>
    <xf numFmtId="0" fontId="11" fillId="4" borderId="11" xfId="14" applyNumberFormat="1" applyFont="1" applyFill="1" applyBorder="1" applyAlignment="1">
      <alignment horizontal="center"/>
    </xf>
    <xf numFmtId="0" fontId="11" fillId="4" borderId="11" xfId="34" applyNumberFormat="1" applyFont="1" applyFill="1" applyBorder="1" applyAlignment="1">
      <alignment horizontal="center"/>
    </xf>
    <xf numFmtId="0" fontId="11" fillId="4" borderId="11" xfId="31" applyNumberFormat="1" applyFont="1" applyFill="1" applyBorder="1" applyAlignment="1">
      <alignment horizontal="center"/>
    </xf>
    <xf numFmtId="0" fontId="11" fillId="4" borderId="11" xfId="14" applyFont="1" applyFill="1" applyBorder="1" applyAlignment="1">
      <alignment horizontal="center"/>
    </xf>
    <xf numFmtId="171" fontId="11" fillId="4" borderId="11" xfId="14" applyNumberFormat="1" applyFont="1" applyFill="1" applyBorder="1" applyAlignment="1">
      <alignment horizontal="left"/>
    </xf>
    <xf numFmtId="0" fontId="11" fillId="4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4" borderId="11" xfId="14" applyNumberFormat="1" applyFont="1" applyFill="1" applyBorder="1" applyAlignment="1">
      <alignment horizontal="left"/>
    </xf>
    <xf numFmtId="0" fontId="11" fillId="4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4" borderId="9" xfId="14" applyNumberFormat="1" applyFont="1" applyFill="1" applyBorder="1" applyAlignment="1">
      <alignment horizontal="center"/>
    </xf>
    <xf numFmtId="0" fontId="11" fillId="4" borderId="9" xfId="34" applyNumberFormat="1" applyFont="1" applyFill="1" applyBorder="1" applyAlignment="1">
      <alignment horizontal="center"/>
    </xf>
    <xf numFmtId="0" fontId="11" fillId="4" borderId="9" xfId="31" applyNumberFormat="1" applyFont="1" applyFill="1" applyBorder="1" applyAlignment="1">
      <alignment horizontal="center"/>
    </xf>
    <xf numFmtId="0" fontId="11" fillId="4" borderId="9" xfId="14" applyFont="1" applyFill="1" applyBorder="1" applyAlignment="1">
      <alignment horizontal="center"/>
    </xf>
    <xf numFmtId="171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/>
    <xf numFmtId="0" fontId="11" fillId="4" borderId="9" xfId="14" applyFont="1" applyFill="1" applyBorder="1"/>
    <xf numFmtId="174" fontId="11" fillId="3" borderId="9" xfId="0" applyNumberFormat="1" applyFont="1" applyFill="1" applyBorder="1" applyAlignment="1">
      <alignment horizontal="center"/>
    </xf>
    <xf numFmtId="174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6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175" fontId="11" fillId="9" borderId="10" xfId="0" quotePrefix="1" applyNumberFormat="1" applyFont="1" applyFill="1" applyBorder="1" applyAlignment="1">
      <alignment horizontal="center"/>
    </xf>
    <xf numFmtId="1" fontId="15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0" fontId="11" fillId="7" borderId="0" xfId="0" applyFont="1" applyFill="1" applyBorder="1" applyAlignment="1"/>
    <xf numFmtId="170" fontId="11" fillId="7" borderId="0" xfId="0" applyNumberFormat="1" applyFont="1" applyFill="1" applyBorder="1" applyAlignment="1"/>
    <xf numFmtId="171" fontId="11" fillId="7" borderId="0" xfId="0" applyNumberFormat="1" applyFont="1" applyFill="1" applyBorder="1" applyAlignment="1"/>
    <xf numFmtId="172" fontId="11" fillId="7" borderId="0" xfId="0" applyNumberFormat="1" applyFont="1" applyFill="1" applyBorder="1"/>
    <xf numFmtId="171" fontId="11" fillId="7" borderId="0" xfId="17" applyNumberFormat="1" applyFont="1" applyFill="1" applyBorder="1"/>
    <xf numFmtId="0" fontId="19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/>
    <xf numFmtId="2" fontId="11" fillId="7" borderId="0" xfId="0" applyNumberFormat="1" applyFont="1" applyFill="1"/>
    <xf numFmtId="2" fontId="11" fillId="7" borderId="6" xfId="0" applyNumberFormat="1" applyFont="1" applyFill="1" applyBorder="1" applyAlignment="1">
      <alignment horizontal="center" vertical="center"/>
    </xf>
    <xf numFmtId="2" fontId="11" fillId="7" borderId="5" xfId="0" applyNumberFormat="1" applyFont="1" applyFill="1" applyBorder="1" applyAlignment="1">
      <alignment horizontal="center" vertical="center"/>
    </xf>
    <xf numFmtId="171" fontId="11" fillId="7" borderId="4" xfId="0" applyNumberFormat="1" applyFont="1" applyFill="1" applyBorder="1" applyAlignment="1">
      <alignment vertical="center"/>
    </xf>
    <xf numFmtId="171" fontId="11" fillId="7" borderId="4" xfId="0" applyNumberFormat="1" applyFont="1" applyFill="1" applyBorder="1" applyAlignment="1"/>
    <xf numFmtId="0" fontId="11" fillId="7" borderId="0" xfId="0" applyFont="1" applyFill="1" applyAlignment="1">
      <alignment vertical="center"/>
    </xf>
    <xf numFmtId="0" fontId="21" fillId="7" borderId="0" xfId="0" applyFont="1" applyFill="1" applyAlignment="1">
      <alignment horizontal="center" vertical="center"/>
    </xf>
    <xf numFmtId="2" fontId="11" fillId="7" borderId="0" xfId="0" applyNumberFormat="1" applyFont="1" applyFill="1" applyBorder="1" applyAlignment="1">
      <alignment horizontal="center" vertical="center"/>
    </xf>
    <xf numFmtId="2" fontId="11" fillId="7" borderId="0" xfId="0" applyNumberFormat="1" applyFont="1" applyFill="1" applyBorder="1"/>
    <xf numFmtId="2" fontId="11" fillId="7" borderId="0" xfId="0" applyNumberFormat="1" applyFont="1" applyFill="1" applyBorder="1" applyAlignment="1"/>
    <xf numFmtId="0" fontId="11" fillId="7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2" fontId="11" fillId="7" borderId="4" xfId="0" applyNumberFormat="1" applyFont="1" applyFill="1" applyBorder="1" applyAlignment="1">
      <alignment horizontal="center" vertical="center"/>
    </xf>
    <xf numFmtId="176" fontId="11" fillId="7" borderId="0" xfId="0" applyNumberFormat="1" applyFont="1" applyFill="1"/>
    <xf numFmtId="171" fontId="11" fillId="7" borderId="0" xfId="0" applyNumberFormat="1" applyFont="1" applyFill="1" applyBorder="1"/>
    <xf numFmtId="171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Continuous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Continuous" vertical="center" wrapText="1"/>
    </xf>
    <xf numFmtId="0" fontId="11" fillId="10" borderId="2" xfId="0" applyFont="1" applyFill="1" applyBorder="1" applyAlignment="1"/>
    <xf numFmtId="170" fontId="11" fillId="10" borderId="2" xfId="0" applyNumberFormat="1" applyFont="1" applyFill="1" applyBorder="1" applyAlignment="1"/>
    <xf numFmtId="178" fontId="20" fillId="10" borderId="2" xfId="0" applyNumberFormat="1" applyFont="1" applyFill="1" applyBorder="1" applyAlignment="1"/>
    <xf numFmtId="172" fontId="11" fillId="10" borderId="2" xfId="0" applyNumberFormat="1" applyFont="1" applyFill="1" applyBorder="1"/>
    <xf numFmtId="171" fontId="11" fillId="10" borderId="2" xfId="17" applyNumberFormat="1" applyFont="1" applyFill="1" applyBorder="1"/>
    <xf numFmtId="0" fontId="11" fillId="10" borderId="4" xfId="0" applyFont="1" applyFill="1" applyBorder="1" applyAlignment="1"/>
    <xf numFmtId="170" fontId="11" fillId="10" borderId="4" xfId="0" applyNumberFormat="1" applyFont="1" applyFill="1" applyBorder="1" applyAlignment="1"/>
    <xf numFmtId="178" fontId="11" fillId="10" borderId="4" xfId="0" applyNumberFormat="1" applyFont="1" applyFill="1" applyBorder="1" applyAlignment="1"/>
    <xf numFmtId="172" fontId="11" fillId="10" borderId="4" xfId="0" applyNumberFormat="1" applyFont="1" applyFill="1" applyBorder="1"/>
    <xf numFmtId="171" fontId="11" fillId="10" borderId="4" xfId="17" applyNumberFormat="1" applyFont="1" applyFill="1" applyBorder="1"/>
    <xf numFmtId="0" fontId="11" fillId="10" borderId="11" xfId="0" applyFont="1" applyFill="1" applyBorder="1" applyAlignment="1"/>
    <xf numFmtId="170" fontId="11" fillId="10" borderId="11" xfId="0" applyNumberFormat="1" applyFont="1" applyFill="1" applyBorder="1" applyAlignment="1"/>
    <xf numFmtId="178" fontId="11" fillId="10" borderId="11" xfId="0" applyNumberFormat="1" applyFont="1" applyFill="1" applyBorder="1" applyAlignment="1"/>
    <xf numFmtId="172" fontId="11" fillId="10" borderId="11" xfId="0" applyNumberFormat="1" applyFont="1" applyFill="1" applyBorder="1"/>
    <xf numFmtId="171" fontId="11" fillId="10" borderId="11" xfId="17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0" fontId="11" fillId="10" borderId="9" xfId="0" applyNumberFormat="1" applyFont="1" applyFill="1" applyBorder="1" applyAlignment="1"/>
    <xf numFmtId="170" fontId="11" fillId="10" borderId="9" xfId="0" applyNumberFormat="1" applyFont="1" applyFill="1" applyBorder="1"/>
    <xf numFmtId="172" fontId="11" fillId="10" borderId="9" xfId="0" applyNumberFormat="1" applyFont="1" applyFill="1" applyBorder="1"/>
    <xf numFmtId="174" fontId="11" fillId="10" borderId="9" xfId="0" applyNumberFormat="1" applyFont="1" applyFill="1" applyBorder="1"/>
    <xf numFmtId="171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170" fontId="11" fillId="10" borderId="4" xfId="0" applyNumberFormat="1" applyFont="1" applyFill="1" applyBorder="1"/>
    <xf numFmtId="174" fontId="11" fillId="10" borderId="4" xfId="0" applyNumberFormat="1" applyFont="1" applyFill="1" applyBorder="1"/>
    <xf numFmtId="174" fontId="11" fillId="10" borderId="4" xfId="17" applyNumberFormat="1" applyFont="1" applyFill="1" applyBorder="1"/>
    <xf numFmtId="0" fontId="11" fillId="10" borderId="11" xfId="0" applyFont="1" applyFill="1" applyBorder="1" applyAlignment="1">
      <alignment horizontal="center" vertical="center"/>
    </xf>
    <xf numFmtId="170" fontId="11" fillId="10" borderId="11" xfId="0" applyNumberFormat="1" applyFont="1" applyFill="1" applyBorder="1"/>
    <xf numFmtId="174" fontId="11" fillId="10" borderId="11" xfId="0" applyNumberFormat="1" applyFont="1" applyFill="1" applyBorder="1"/>
    <xf numFmtId="174" fontId="11" fillId="10" borderId="11" xfId="17" applyNumberFormat="1" applyFont="1" applyFill="1" applyBorder="1"/>
    <xf numFmtId="171" fontId="11" fillId="10" borderId="11" xfId="0" applyNumberFormat="1" applyFont="1" applyFill="1" applyBorder="1"/>
    <xf numFmtId="170" fontId="11" fillId="10" borderId="2" xfId="0" applyNumberFormat="1" applyFont="1" applyFill="1" applyBorder="1" applyAlignment="1">
      <alignment horizontal="center" vertical="center"/>
    </xf>
    <xf numFmtId="170" fontId="11" fillId="10" borderId="2" xfId="0" applyNumberFormat="1" applyFont="1" applyFill="1" applyBorder="1" applyAlignment="1">
      <alignment vertical="center"/>
    </xf>
    <xf numFmtId="171" fontId="11" fillId="10" borderId="2" xfId="0" applyNumberFormat="1" applyFont="1" applyFill="1" applyBorder="1" applyAlignment="1">
      <alignment horizontal="center" vertical="center"/>
    </xf>
    <xf numFmtId="171" fontId="11" fillId="10" borderId="9" xfId="0" applyNumberFormat="1" applyFont="1" applyFill="1" applyBorder="1"/>
    <xf numFmtId="0" fontId="11" fillId="8" borderId="15" xfId="0" applyFont="1" applyFill="1" applyBorder="1"/>
    <xf numFmtId="174" fontId="11" fillId="10" borderId="2" xfId="0" applyNumberFormat="1" applyFont="1" applyFill="1" applyBorder="1" applyAlignment="1"/>
    <xf numFmtId="172" fontId="11" fillId="10" borderId="2" xfId="0" applyNumberFormat="1" applyFont="1" applyFill="1" applyBorder="1" applyAlignment="1"/>
    <xf numFmtId="171" fontId="11" fillId="10" borderId="2" xfId="0" applyNumberFormat="1" applyFont="1" applyFill="1" applyBorder="1" applyAlignment="1"/>
    <xf numFmtId="174" fontId="11" fillId="10" borderId="4" xfId="0" applyNumberFormat="1" applyFont="1" applyFill="1" applyBorder="1" applyAlignment="1"/>
    <xf numFmtId="172" fontId="11" fillId="10" borderId="4" xfId="0" applyNumberFormat="1" applyFont="1" applyFill="1" applyBorder="1" applyAlignment="1"/>
    <xf numFmtId="171" fontId="11" fillId="10" borderId="4" xfId="0" applyNumberFormat="1" applyFont="1" applyFill="1" applyBorder="1" applyAlignment="1"/>
    <xf numFmtId="174" fontId="11" fillId="10" borderId="11" xfId="0" applyNumberFormat="1" applyFont="1" applyFill="1" applyBorder="1" applyAlignment="1"/>
    <xf numFmtId="172" fontId="11" fillId="10" borderId="11" xfId="0" applyNumberFormat="1" applyFont="1" applyFill="1" applyBorder="1" applyAlignment="1"/>
    <xf numFmtId="171" fontId="11" fillId="10" borderId="11" xfId="0" applyNumberFormat="1" applyFont="1" applyFill="1" applyBorder="1" applyAlignment="1"/>
    <xf numFmtId="0" fontId="11" fillId="10" borderId="0" xfId="0" applyFont="1" applyFill="1" applyBorder="1"/>
    <xf numFmtId="174" fontId="11" fillId="10" borderId="14" xfId="0" applyNumberFormat="1" applyFont="1" applyFill="1" applyBorder="1"/>
    <xf numFmtId="171" fontId="11" fillId="10" borderId="6" xfId="0" applyNumberFormat="1" applyFont="1" applyFill="1" applyBorder="1"/>
    <xf numFmtId="174" fontId="11" fillId="10" borderId="6" xfId="0" applyNumberFormat="1" applyFont="1" applyFill="1" applyBorder="1"/>
    <xf numFmtId="0" fontId="11" fillId="10" borderId="21" xfId="0" applyFont="1" applyFill="1" applyBorder="1"/>
    <xf numFmtId="174" fontId="11" fillId="10" borderId="7" xfId="0" applyNumberFormat="1" applyFont="1" applyFill="1" applyBorder="1"/>
    <xf numFmtId="171" fontId="11" fillId="10" borderId="7" xfId="0" applyNumberFormat="1" applyFont="1" applyFill="1" applyBorder="1"/>
    <xf numFmtId="0" fontId="16" fillId="6" borderId="14" xfId="0" applyFont="1" applyFill="1" applyBorder="1" applyAlignment="1">
      <alignment horizontal="centerContinuous" vertical="center" wrapText="1"/>
    </xf>
    <xf numFmtId="0" fontId="16" fillId="6" borderId="15" xfId="0" applyFont="1" applyFill="1" applyBorder="1" applyAlignment="1">
      <alignment horizontal="centerContinuous" vertical="center" wrapText="1"/>
    </xf>
    <xf numFmtId="0" fontId="16" fillId="6" borderId="10" xfId="0" applyFont="1" applyFill="1" applyBorder="1" applyAlignment="1">
      <alignment horizontal="centerContinuous" vertical="center" wrapText="1"/>
    </xf>
    <xf numFmtId="0" fontId="11" fillId="7" borderId="0" xfId="0" applyNumberFormat="1" applyFont="1" applyFill="1" applyBorder="1" applyAlignment="1"/>
    <xf numFmtId="177" fontId="11" fillId="7" borderId="4" xfId="0" applyNumberFormat="1" applyFont="1" applyFill="1" applyBorder="1" applyAlignment="1"/>
    <xf numFmtId="171" fontId="11" fillId="10" borderId="14" xfId="17" applyNumberFormat="1" applyFont="1" applyFill="1" applyBorder="1"/>
    <xf numFmtId="171" fontId="11" fillId="10" borderId="6" xfId="17" applyNumberFormat="1" applyFont="1" applyFill="1" applyBorder="1"/>
    <xf numFmtId="171" fontId="11" fillId="10" borderId="7" xfId="17" applyNumberFormat="1" applyFont="1" applyFill="1" applyBorder="1"/>
    <xf numFmtId="0" fontId="11" fillId="8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1" fontId="16" fillId="8" borderId="12" xfId="20" applyNumberFormat="1" applyFont="1" applyFill="1" applyBorder="1" applyAlignment="1">
      <alignment horizontal="center" vertical="center" wrapText="1"/>
    </xf>
    <xf numFmtId="172" fontId="16" fillId="8" borderId="3" xfId="20" applyNumberFormat="1" applyFont="1" applyFill="1" applyBorder="1" applyAlignment="1">
      <alignment horizontal="center" vertical="center" wrapText="1"/>
    </xf>
    <xf numFmtId="171" fontId="16" fillId="8" borderId="2" xfId="20" applyNumberFormat="1" applyFont="1" applyFill="1" applyBorder="1" applyAlignment="1">
      <alignment horizontal="center" vertical="center" wrapText="1"/>
    </xf>
    <xf numFmtId="171" fontId="16" fillId="8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8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1" fontId="11" fillId="10" borderId="6" xfId="20" applyNumberFormat="1" applyFont="1" applyFill="1" applyBorder="1" applyAlignment="1"/>
    <xf numFmtId="171" fontId="11" fillId="10" borderId="5" xfId="20" applyNumberFormat="1" applyFont="1" applyFill="1" applyBorder="1" applyAlignment="1"/>
    <xf numFmtId="171" fontId="11" fillId="10" borderId="7" xfId="20" applyNumberFormat="1" applyFont="1" applyFill="1" applyBorder="1" applyAlignment="1"/>
    <xf numFmtId="171" fontId="11" fillId="10" borderId="8" xfId="20" applyNumberFormat="1" applyFont="1" applyFill="1" applyBorder="1" applyAlignment="1"/>
    <xf numFmtId="171" fontId="11" fillId="10" borderId="12" xfId="20" applyNumberFormat="1" applyFont="1" applyFill="1" applyBorder="1" applyAlignment="1"/>
    <xf numFmtId="171" fontId="11" fillId="10" borderId="3" xfId="20" applyNumberFormat="1" applyFont="1" applyFill="1" applyBorder="1" applyAlignment="1"/>
    <xf numFmtId="171" fontId="11" fillId="10" borderId="14" xfId="20" applyNumberFormat="1" applyFont="1" applyFill="1" applyBorder="1" applyAlignment="1"/>
    <xf numFmtId="171" fontId="11" fillId="10" borderId="10" xfId="20" applyNumberFormat="1" applyFont="1" applyFill="1" applyBorder="1" applyAlignment="1"/>
    <xf numFmtId="171" fontId="11" fillId="10" borderId="4" xfId="20" applyNumberFormat="1" applyFont="1" applyFill="1" applyBorder="1" applyAlignment="1"/>
    <xf numFmtId="171" fontId="11" fillId="10" borderId="11" xfId="20" applyNumberFormat="1" applyFont="1" applyFill="1" applyBorder="1" applyAlignment="1"/>
    <xf numFmtId="171" fontId="11" fillId="10" borderId="2" xfId="20" applyNumberFormat="1" applyFont="1" applyFill="1" applyBorder="1" applyAlignment="1"/>
    <xf numFmtId="171" fontId="11" fillId="10" borderId="9" xfId="20" applyNumberFormat="1" applyFont="1" applyFill="1" applyBorder="1" applyAlignment="1"/>
    <xf numFmtId="0" fontId="11" fillId="10" borderId="6" xfId="20" applyNumberFormat="1" applyFont="1" applyFill="1" applyBorder="1" applyAlignment="1">
      <alignment vertical="center"/>
    </xf>
    <xf numFmtId="171" fontId="11" fillId="10" borderId="5" xfId="20" quotePrefix="1" applyNumberFormat="1" applyFont="1" applyFill="1" applyBorder="1" applyAlignment="1"/>
    <xf numFmtId="0" fontId="11" fillId="10" borderId="7" xfId="20" applyNumberFormat="1" applyFont="1" applyFill="1" applyBorder="1" applyAlignment="1">
      <alignment vertical="center"/>
    </xf>
    <xf numFmtId="0" fontId="11" fillId="10" borderId="12" xfId="20" applyNumberFormat="1" applyFont="1" applyFill="1" applyBorder="1" applyAlignment="1">
      <alignment vertical="center"/>
    </xf>
    <xf numFmtId="171" fontId="11" fillId="10" borderId="3" xfId="20" quotePrefix="1" applyNumberFormat="1" applyFont="1" applyFill="1" applyBorder="1" applyAlignment="1"/>
    <xf numFmtId="0" fontId="11" fillId="10" borderId="14" xfId="20" applyNumberFormat="1" applyFont="1" applyFill="1" applyBorder="1" applyAlignment="1"/>
    <xf numFmtId="171" fontId="11" fillId="10" borderId="10" xfId="20" quotePrefix="1" applyNumberFormat="1" applyFont="1" applyFill="1" applyBorder="1" applyAlignment="1"/>
    <xf numFmtId="0" fontId="11" fillId="10" borderId="6" xfId="20" applyNumberFormat="1" applyFont="1" applyFill="1" applyBorder="1" applyAlignment="1"/>
    <xf numFmtId="0" fontId="11" fillId="10" borderId="7" xfId="20" applyNumberFormat="1" applyFont="1" applyFill="1" applyBorder="1" applyAlignment="1"/>
    <xf numFmtId="171" fontId="11" fillId="10" borderId="8" xfId="20" quotePrefix="1" applyNumberFormat="1" applyFont="1" applyFill="1" applyBorder="1" applyAlignment="1"/>
    <xf numFmtId="0" fontId="11" fillId="10" borderId="14" xfId="20" applyNumberFormat="1" applyFont="1" applyFill="1" applyBorder="1" applyAlignment="1">
      <alignment horizontal="left"/>
    </xf>
    <xf numFmtId="0" fontId="11" fillId="10" borderId="6" xfId="20" applyNumberFormat="1" applyFont="1" applyFill="1" applyBorder="1" applyAlignment="1">
      <alignment horizontal="left"/>
    </xf>
    <xf numFmtId="0" fontId="11" fillId="10" borderId="7" xfId="20" applyNumberFormat="1" applyFont="1" applyFill="1" applyBorder="1" applyAlignment="1">
      <alignment horizontal="left"/>
    </xf>
    <xf numFmtId="0" fontId="16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6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6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6" fillId="8" borderId="2" xfId="14" applyFont="1" applyFill="1" applyBorder="1" applyAlignment="1">
      <alignment horizontal="center" vertical="center" wrapText="1"/>
    </xf>
    <xf numFmtId="0" fontId="16" fillId="8" borderId="2" xfId="31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1" applyFont="1" applyFill="1"/>
    <xf numFmtId="171" fontId="11" fillId="7" borderId="0" xfId="41" applyNumberFormat="1" applyFont="1" applyFill="1"/>
    <xf numFmtId="0" fontId="11" fillId="7" borderId="0" xfId="14" applyFont="1" applyFill="1" applyAlignment="1">
      <alignment horizontal="left"/>
    </xf>
    <xf numFmtId="0" fontId="11" fillId="7" borderId="15" xfId="14" applyFont="1" applyFill="1" applyBorder="1"/>
    <xf numFmtId="170" fontId="11" fillId="7" borderId="0" xfId="0" applyNumberFormat="1" applyFont="1" applyFill="1"/>
    <xf numFmtId="179" fontId="11" fillId="7" borderId="0" xfId="0" applyNumberFormat="1" applyFont="1" applyFill="1"/>
    <xf numFmtId="170" fontId="11" fillId="7" borderId="0" xfId="0" applyNumberFormat="1" applyFont="1" applyFill="1" applyBorder="1"/>
    <xf numFmtId="0" fontId="11" fillId="7" borderId="17" xfId="0" applyFont="1" applyFill="1" applyBorder="1" applyAlignment="1"/>
    <xf numFmtId="0" fontId="11" fillId="6" borderId="2" xfId="0" applyFont="1" applyFill="1" applyBorder="1" applyAlignment="1">
      <alignment horizontal="center"/>
    </xf>
    <xf numFmtId="0" fontId="11" fillId="8" borderId="2" xfId="0" applyFont="1" applyFill="1" applyBorder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177" fontId="11" fillId="10" borderId="4" xfId="0" applyNumberFormat="1" applyFont="1" applyFill="1" applyBorder="1"/>
    <xf numFmtId="0" fontId="11" fillId="10" borderId="11" xfId="0" applyNumberFormat="1" applyFont="1" applyFill="1" applyBorder="1"/>
    <xf numFmtId="171" fontId="20" fillId="10" borderId="2" xfId="0" applyNumberFormat="1" applyFont="1" applyFill="1" applyBorder="1"/>
    <xf numFmtId="2" fontId="20" fillId="10" borderId="2" xfId="0" applyNumberFormat="1" applyFont="1" applyFill="1" applyBorder="1"/>
    <xf numFmtId="0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0" fontId="11" fillId="10" borderId="2" xfId="0" applyFont="1" applyFill="1" applyBorder="1"/>
    <xf numFmtId="170" fontId="11" fillId="10" borderId="2" xfId="0" applyNumberFormat="1" applyFont="1" applyFill="1" applyBorder="1"/>
    <xf numFmtId="171" fontId="11" fillId="10" borderId="2" xfId="0" applyNumberFormat="1" applyFont="1" applyFill="1" applyBorder="1"/>
    <xf numFmtId="174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2" xfId="0" applyFont="1" applyFill="1" applyBorder="1" applyAlignment="1">
      <alignment horizontal="center"/>
    </xf>
    <xf numFmtId="0" fontId="11" fillId="10" borderId="6" xfId="14" applyFont="1" applyFill="1" applyBorder="1"/>
    <xf numFmtId="171" fontId="11" fillId="10" borderId="4" xfId="14" applyNumberFormat="1" applyFont="1" applyFill="1" applyBorder="1"/>
    <xf numFmtId="171" fontId="11" fillId="10" borderId="4" xfId="14" applyNumberFormat="1" applyFont="1" applyFill="1" applyBorder="1" applyAlignment="1">
      <alignment horizontal="center" vertical="center"/>
    </xf>
    <xf numFmtId="170" fontId="11" fillId="10" borderId="4" xfId="14" applyNumberFormat="1" applyFont="1" applyFill="1" applyBorder="1"/>
    <xf numFmtId="174" fontId="11" fillId="10" borderId="4" xfId="14" applyNumberFormat="1" applyFont="1" applyFill="1" applyBorder="1"/>
    <xf numFmtId="0" fontId="11" fillId="10" borderId="7" xfId="14" applyFont="1" applyFill="1" applyBorder="1"/>
    <xf numFmtId="171" fontId="11" fillId="10" borderId="11" xfId="14" applyNumberFormat="1" applyFont="1" applyFill="1" applyBorder="1"/>
    <xf numFmtId="171" fontId="11" fillId="10" borderId="11" xfId="14" applyNumberFormat="1" applyFont="1" applyFill="1" applyBorder="1" applyAlignment="1">
      <alignment horizontal="center" vertical="center"/>
    </xf>
    <xf numFmtId="170" fontId="11" fillId="10" borderId="11" xfId="14" applyNumberFormat="1" applyFont="1" applyFill="1" applyBorder="1"/>
    <xf numFmtId="174" fontId="11" fillId="10" borderId="11" xfId="14" applyNumberFormat="1" applyFont="1" applyFill="1" applyBorder="1"/>
    <xf numFmtId="174" fontId="11" fillId="10" borderId="9" xfId="14" applyNumberFormat="1" applyFont="1" applyFill="1" applyBorder="1"/>
    <xf numFmtId="0" fontId="11" fillId="10" borderId="4" xfId="14" applyFont="1" applyFill="1" applyBorder="1"/>
    <xf numFmtId="171" fontId="11" fillId="10" borderId="4" xfId="14" applyNumberFormat="1" applyFont="1" applyFill="1" applyBorder="1" applyAlignment="1">
      <alignment horizontal="center"/>
    </xf>
    <xf numFmtId="0" fontId="11" fillId="10" borderId="11" xfId="14" applyFont="1" applyFill="1" applyBorder="1"/>
    <xf numFmtId="171" fontId="11" fillId="10" borderId="11" xfId="14" applyNumberFormat="1" applyFont="1" applyFill="1" applyBorder="1" applyAlignment="1">
      <alignment horizontal="center"/>
    </xf>
    <xf numFmtId="0" fontId="22" fillId="10" borderId="4" xfId="42" applyFont="1" applyFill="1" applyBorder="1"/>
    <xf numFmtId="170" fontId="22" fillId="10" borderId="4" xfId="42" applyNumberFormat="1" applyFont="1" applyFill="1" applyBorder="1"/>
    <xf numFmtId="178" fontId="11" fillId="10" borderId="4" xfId="0" applyNumberFormat="1" applyFont="1" applyFill="1" applyBorder="1"/>
    <xf numFmtId="0" fontId="22" fillId="10" borderId="11" xfId="42" applyFont="1" applyFill="1" applyBorder="1"/>
    <xf numFmtId="170" fontId="22" fillId="10" borderId="11" xfId="42" applyNumberFormat="1" applyFont="1" applyFill="1" applyBorder="1"/>
    <xf numFmtId="178" fontId="11" fillId="10" borderId="11" xfId="0" applyNumberFormat="1" applyFont="1" applyFill="1" applyBorder="1"/>
    <xf numFmtId="0" fontId="11" fillId="7" borderId="0" xfId="0" applyFont="1" applyFill="1" applyAlignment="1">
      <alignment horizontal="right"/>
    </xf>
    <xf numFmtId="0" fontId="11" fillId="7" borderId="0" xfId="0" applyNumberFormat="1" applyFont="1" applyFill="1" applyBorder="1"/>
    <xf numFmtId="177" fontId="20" fillId="10" borderId="2" xfId="0" applyNumberFormat="1" applyFont="1" applyFill="1" applyBorder="1"/>
    <xf numFmtId="177" fontId="11" fillId="10" borderId="11" xfId="0" applyNumberFormat="1" applyFont="1" applyFill="1" applyBorder="1"/>
    <xf numFmtId="0" fontId="11" fillId="3" borderId="6" xfId="15" applyFont="1" applyFill="1" applyBorder="1"/>
    <xf numFmtId="0" fontId="11" fillId="3" borderId="5" xfId="15" applyFont="1" applyFill="1" applyBorder="1"/>
    <xf numFmtId="0" fontId="11" fillId="4" borderId="6" xfId="15" applyFont="1" applyFill="1" applyBorder="1"/>
    <xf numFmtId="0" fontId="11" fillId="4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4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4" borderId="5" xfId="15" applyFont="1" applyFill="1" applyBorder="1"/>
    <xf numFmtId="0" fontId="11" fillId="3" borderId="21" xfId="15" applyFont="1" applyFill="1" applyBorder="1"/>
    <xf numFmtId="0" fontId="15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7" borderId="0" xfId="0" applyFont="1" applyFill="1" applyAlignment="1">
      <alignment horizontal="center" vertical="center"/>
    </xf>
    <xf numFmtId="0" fontId="13" fillId="4" borderId="6" xfId="16" applyFont="1" applyFill="1" applyBorder="1" applyAlignment="1">
      <alignment horizontal="centerContinuous" vertical="center"/>
    </xf>
    <xf numFmtId="0" fontId="13" fillId="4" borderId="0" xfId="16" applyFont="1" applyFill="1" applyBorder="1" applyAlignment="1">
      <alignment horizontal="centerContinuous" vertical="center"/>
    </xf>
    <xf numFmtId="0" fontId="13" fillId="4" borderId="5" xfId="16" applyFont="1" applyFill="1" applyBorder="1" applyAlignment="1">
      <alignment horizontal="centerContinuous" vertical="center"/>
    </xf>
    <xf numFmtId="0" fontId="11" fillId="10" borderId="9" xfId="0" applyFont="1" applyFill="1" applyBorder="1"/>
    <xf numFmtId="0" fontId="11" fillId="6" borderId="9" xfId="0" applyFont="1" applyFill="1" applyBorder="1" applyAlignment="1">
      <alignment horizontal="center"/>
    </xf>
    <xf numFmtId="2" fontId="11" fillId="10" borderId="9" xfId="0" applyNumberFormat="1" applyFont="1" applyFill="1" applyBorder="1"/>
    <xf numFmtId="0" fontId="11" fillId="3" borderId="9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169" fontId="11" fillId="3" borderId="11" xfId="17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/>
    </xf>
    <xf numFmtId="0" fontId="11" fillId="7" borderId="4" xfId="15" applyFont="1" applyFill="1" applyBorder="1" applyAlignment="1">
      <alignment horizontal="right"/>
    </xf>
    <xf numFmtId="0" fontId="11" fillId="7" borderId="11" xfId="15" applyFont="1" applyFill="1" applyBorder="1" applyAlignment="1">
      <alignment horizontal="right"/>
    </xf>
    <xf numFmtId="170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3" borderId="11" xfId="15" applyFont="1" applyFill="1" applyBorder="1" applyAlignment="1">
      <alignment horizontal="center"/>
    </xf>
    <xf numFmtId="0" fontId="11" fillId="7" borderId="2" xfId="15" applyFont="1" applyFill="1" applyBorder="1" applyAlignment="1">
      <alignment horizontal="right"/>
    </xf>
    <xf numFmtId="170" fontId="11" fillId="6" borderId="2" xfId="15" applyNumberFormat="1" applyFont="1" applyFill="1" applyBorder="1" applyAlignment="1">
      <alignment horizontal="center"/>
    </xf>
    <xf numFmtId="171" fontId="11" fillId="3" borderId="4" xfId="17" applyNumberFormat="1" applyFont="1" applyFill="1" applyBorder="1" applyAlignment="1">
      <alignment horizontal="center"/>
    </xf>
    <xf numFmtId="171" fontId="11" fillId="3" borderId="11" xfId="17" applyNumberFormat="1" applyFont="1" applyFill="1" applyBorder="1" applyAlignment="1">
      <alignment horizontal="center"/>
    </xf>
    <xf numFmtId="1" fontId="11" fillId="3" borderId="4" xfId="15" applyNumberFormat="1" applyFont="1" applyFill="1" applyBorder="1" applyAlignment="1">
      <alignment horizontal="center"/>
    </xf>
    <xf numFmtId="0" fontId="11" fillId="5" borderId="11" xfId="11" applyNumberFormat="1" applyFont="1" applyFill="1" applyBorder="1" applyAlignment="1">
      <alignment horizontal="center"/>
    </xf>
    <xf numFmtId="168" fontId="11" fillId="3" borderId="9" xfId="15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 vertical="center"/>
    </xf>
    <xf numFmtId="0" fontId="11" fillId="7" borderId="4" xfId="15" applyFont="1" applyFill="1" applyBorder="1" applyAlignment="1">
      <alignment horizontal="right" vertical="center"/>
    </xf>
    <xf numFmtId="0" fontId="11" fillId="7" borderId="11" xfId="15" applyFont="1" applyFill="1" applyBorder="1" applyAlignment="1">
      <alignment horizontal="right" vertical="center"/>
    </xf>
    <xf numFmtId="0" fontId="16" fillId="7" borderId="9" xfId="0" applyFont="1" applyFill="1" applyBorder="1" applyAlignment="1">
      <alignment horizontal="right"/>
    </xf>
    <xf numFmtId="0" fontId="16" fillId="7" borderId="11" xfId="0" applyFont="1" applyFill="1" applyBorder="1" applyAlignment="1">
      <alignment horizontal="right"/>
    </xf>
    <xf numFmtId="0" fontId="11" fillId="8" borderId="12" xfId="14" applyFont="1" applyFill="1" applyBorder="1" applyAlignment="1">
      <alignment horizontal="center" vertical="center"/>
    </xf>
    <xf numFmtId="0" fontId="11" fillId="8" borderId="3" xfId="14" applyFont="1" applyFill="1" applyBorder="1" applyAlignment="1">
      <alignment horizontal="center" vertical="center"/>
    </xf>
    <xf numFmtId="0" fontId="11" fillId="3" borderId="0" xfId="19" applyFont="1" applyFill="1" applyBorder="1" applyAlignment="1">
      <alignment horizontal="center" vertical="center"/>
    </xf>
    <xf numFmtId="0" fontId="11" fillId="0" borderId="5" xfId="19" applyFont="1" applyFill="1" applyBorder="1" applyAlignment="1">
      <alignment horizontal="center" vertical="center"/>
    </xf>
    <xf numFmtId="0" fontId="5" fillId="7" borderId="0" xfId="14" applyFont="1" applyFill="1" applyAlignment="1">
      <alignment horizontal="center" vertical="center"/>
    </xf>
    <xf numFmtId="171" fontId="11" fillId="10" borderId="0" xfId="0" applyNumberFormat="1" applyFont="1" applyFill="1" applyBorder="1" applyAlignment="1">
      <alignment horizontal="center"/>
    </xf>
    <xf numFmtId="172" fontId="11" fillId="10" borderId="2" xfId="0" applyNumberFormat="1" applyFont="1" applyFill="1" applyBorder="1" applyAlignment="1">
      <alignment horizontal="center"/>
    </xf>
    <xf numFmtId="172" fontId="11" fillId="10" borderId="4" xfId="0" applyNumberFormat="1" applyFont="1" applyFill="1" applyBorder="1" applyAlignment="1">
      <alignment horizontal="center"/>
    </xf>
    <xf numFmtId="172" fontId="11" fillId="10" borderId="9" xfId="0" applyNumberFormat="1" applyFont="1" applyFill="1" applyBorder="1" applyAlignment="1">
      <alignment horizontal="center"/>
    </xf>
    <xf numFmtId="172" fontId="11" fillId="10" borderId="11" xfId="0" applyNumberFormat="1" applyFont="1" applyFill="1" applyBorder="1" applyAlignment="1">
      <alignment horizontal="center"/>
    </xf>
    <xf numFmtId="172" fontId="11" fillId="10" borderId="6" xfId="0" applyNumberFormat="1" applyFont="1" applyFill="1" applyBorder="1" applyAlignment="1">
      <alignment horizontal="right"/>
    </xf>
    <xf numFmtId="172" fontId="11" fillId="10" borderId="7" xfId="0" applyNumberFormat="1" applyFont="1" applyFill="1" applyBorder="1" applyAlignment="1">
      <alignment horizontal="right"/>
    </xf>
    <xf numFmtId="171" fontId="11" fillId="10" borderId="21" xfId="0" applyNumberFormat="1" applyFont="1" applyFill="1" applyBorder="1" applyAlignment="1">
      <alignment horizontal="center"/>
    </xf>
    <xf numFmtId="174" fontId="11" fillId="10" borderId="4" xfId="0" applyNumberFormat="1" applyFont="1" applyFill="1" applyBorder="1" applyAlignment="1">
      <alignment horizontal="center"/>
    </xf>
    <xf numFmtId="174" fontId="11" fillId="10" borderId="11" xfId="0" applyNumberFormat="1" applyFont="1" applyFill="1" applyBorder="1" applyAlignment="1">
      <alignment horizontal="center"/>
    </xf>
    <xf numFmtId="171" fontId="11" fillId="10" borderId="9" xfId="0" applyNumberFormat="1" applyFont="1" applyFill="1" applyBorder="1" applyAlignment="1">
      <alignment horizontal="right"/>
    </xf>
    <xf numFmtId="10" fontId="11" fillId="10" borderId="4" xfId="0" applyNumberFormat="1" applyFont="1" applyFill="1" applyBorder="1" applyAlignment="1">
      <alignment horizontal="right"/>
    </xf>
    <xf numFmtId="2" fontId="11" fillId="10" borderId="4" xfId="0" applyNumberFormat="1" applyFont="1" applyFill="1" applyBorder="1" applyAlignment="1">
      <alignment horizontal="right"/>
    </xf>
    <xf numFmtId="171" fontId="11" fillId="10" borderId="11" xfId="0" applyNumberFormat="1" applyFont="1" applyFill="1" applyBorder="1" applyAlignment="1">
      <alignment horizontal="right"/>
    </xf>
    <xf numFmtId="174" fontId="11" fillId="10" borderId="0" xfId="0" applyNumberFormat="1" applyFont="1" applyFill="1" applyBorder="1" applyAlignment="1">
      <alignment horizontal="right"/>
    </xf>
    <xf numFmtId="174" fontId="11" fillId="10" borderId="21" xfId="0" applyNumberFormat="1" applyFont="1" applyFill="1" applyBorder="1" applyAlignment="1">
      <alignment horizontal="right"/>
    </xf>
    <xf numFmtId="171" fontId="11" fillId="10" borderId="4" xfId="0" applyNumberFormat="1" applyFont="1" applyFill="1" applyBorder="1" applyAlignment="1">
      <alignment horizontal="right"/>
    </xf>
    <xf numFmtId="174" fontId="11" fillId="10" borderId="9" xfId="0" applyNumberFormat="1" applyFont="1" applyFill="1" applyBorder="1" applyAlignment="1">
      <alignment horizontal="right"/>
    </xf>
    <xf numFmtId="171" fontId="11" fillId="10" borderId="0" xfId="0" applyNumberFormat="1" applyFont="1" applyFill="1" applyBorder="1" applyAlignment="1">
      <alignment horizontal="right"/>
    </xf>
    <xf numFmtId="2" fontId="11" fillId="10" borderId="2" xfId="0" applyNumberFormat="1" applyFont="1" applyFill="1" applyBorder="1" applyAlignment="1">
      <alignment horizontal="center" vertical="center"/>
    </xf>
    <xf numFmtId="0" fontId="11" fillId="8" borderId="12" xfId="0" applyFont="1" applyFill="1" applyBorder="1"/>
    <xf numFmtId="0" fontId="11" fillId="8" borderId="13" xfId="0" applyFont="1" applyFill="1" applyBorder="1"/>
    <xf numFmtId="0" fontId="11" fillId="8" borderId="3" xfId="0" applyFont="1" applyFill="1" applyBorder="1"/>
    <xf numFmtId="177" fontId="11" fillId="10" borderId="2" xfId="0" applyNumberFormat="1" applyFont="1" applyFill="1" applyBorder="1" applyAlignment="1"/>
    <xf numFmtId="177" fontId="11" fillId="10" borderId="4" xfId="0" applyNumberFormat="1" applyFont="1" applyFill="1" applyBorder="1" applyAlignment="1"/>
    <xf numFmtId="177" fontId="11" fillId="10" borderId="11" xfId="0" applyNumberFormat="1" applyFont="1" applyFill="1" applyBorder="1" applyAlignment="1"/>
    <xf numFmtId="171" fontId="11" fillId="10" borderId="9" xfId="43" applyNumberFormat="1" applyFont="1" applyFill="1" applyBorder="1"/>
    <xf numFmtId="171" fontId="11" fillId="10" borderId="4" xfId="43" applyNumberFormat="1" applyFont="1" applyFill="1" applyBorder="1"/>
    <xf numFmtId="171" fontId="11" fillId="10" borderId="11" xfId="43" applyNumberFormat="1" applyFont="1" applyFill="1" applyBorder="1"/>
    <xf numFmtId="0" fontId="11" fillId="7" borderId="0" xfId="0" applyFont="1" applyFill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</cellXfs>
  <cellStyles count="44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" xfId="43" builtinId="5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-1.8005612750213732E-4</c:v>
                </c:pt>
                <c:pt idx="1">
                  <c:v>-1.8005612750213732E-4</c:v>
                </c:pt>
                <c:pt idx="2">
                  <c:v>-1.8005612750213732E-4</c:v>
                </c:pt>
                <c:pt idx="3">
                  <c:v>-1.8005612750213732E-4</c:v>
                </c:pt>
                <c:pt idx="4">
                  <c:v>-1.8005612750213732E-4</c:v>
                </c:pt>
                <c:pt idx="5">
                  <c:v>-1.8005612750213732E-4</c:v>
                </c:pt>
                <c:pt idx="6">
                  <c:v>-1.8005612750213732E-4</c:v>
                </c:pt>
                <c:pt idx="7">
                  <c:v>-1.8005612750213732E-4</c:v>
                </c:pt>
                <c:pt idx="8">
                  <c:v>-1.8005612750213732E-4</c:v>
                </c:pt>
                <c:pt idx="9">
                  <c:v>-1.8005612750213732E-4</c:v>
                </c:pt>
                <c:pt idx="10">
                  <c:v>-1.8005612750213732E-4</c:v>
                </c:pt>
                <c:pt idx="11">
                  <c:v>-1.8005612750213732E-4</c:v>
                </c:pt>
                <c:pt idx="12">
                  <c:v>-1.8005612750213732E-4</c:v>
                </c:pt>
                <c:pt idx="13">
                  <c:v>-1.8005612750213732E-4</c:v>
                </c:pt>
                <c:pt idx="14">
                  <c:v>-1.8005612750213732E-4</c:v>
                </c:pt>
                <c:pt idx="15">
                  <c:v>-1.8005612750213732E-4</c:v>
                </c:pt>
                <c:pt idx="16">
                  <c:v>-1.8005612750213732E-4</c:v>
                </c:pt>
                <c:pt idx="17">
                  <c:v>-1.8005612750213732E-4</c:v>
                </c:pt>
                <c:pt idx="18">
                  <c:v>-1.8005612750213732E-4</c:v>
                </c:pt>
                <c:pt idx="19">
                  <c:v>-1.8005612750213732E-4</c:v>
                </c:pt>
                <c:pt idx="20">
                  <c:v>-1.8005612750213732E-4</c:v>
                </c:pt>
                <c:pt idx="21">
                  <c:v>-1.8005612750213732E-4</c:v>
                </c:pt>
                <c:pt idx="22">
                  <c:v>-1.8005612750213732E-4</c:v>
                </c:pt>
                <c:pt idx="23">
                  <c:v>-1.8005612750213732E-4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-1.8320212184903876E-4</c:v>
                </c:pt>
                <c:pt idx="1">
                  <c:v>-1.825932197173804E-4</c:v>
                </c:pt>
                <c:pt idx="2">
                  <c:v>-1.8239025234016097E-4</c:v>
                </c:pt>
                <c:pt idx="3">
                  <c:v>-1.821872849629415E-4</c:v>
                </c:pt>
                <c:pt idx="4">
                  <c:v>-1.8198431758572207E-4</c:v>
                </c:pt>
                <c:pt idx="5">
                  <c:v>-1.8178135020850261E-4</c:v>
                </c:pt>
                <c:pt idx="6">
                  <c:v>-1.8117244807684427E-4</c:v>
                </c:pt>
                <c:pt idx="7">
                  <c:v>-1.8096948069962481E-4</c:v>
                </c:pt>
                <c:pt idx="8">
                  <c:v>-1.8076651332240537E-4</c:v>
                </c:pt>
                <c:pt idx="9">
                  <c:v>-1.8056354594518591E-4</c:v>
                </c:pt>
                <c:pt idx="10">
                  <c:v>-1.8036057856796647E-4</c:v>
                </c:pt>
                <c:pt idx="11">
                  <c:v>-1.7975167643630811E-4</c:v>
                </c:pt>
                <c:pt idx="12">
                  <c:v>-1.7954870905908865E-4</c:v>
                </c:pt>
                <c:pt idx="13">
                  <c:v>-1.7934574168186921E-4</c:v>
                </c:pt>
                <c:pt idx="14">
                  <c:v>-1.7914277430464975E-4</c:v>
                </c:pt>
                <c:pt idx="15">
                  <c:v>-1.7893980692743031E-4</c:v>
                </c:pt>
                <c:pt idx="16">
                  <c:v>-1.7833090479577195E-4</c:v>
                </c:pt>
                <c:pt idx="17">
                  <c:v>-1.7812793741855252E-4</c:v>
                </c:pt>
                <c:pt idx="18">
                  <c:v>-1.7792497004133305E-4</c:v>
                </c:pt>
                <c:pt idx="19">
                  <c:v>-1.7772200266411362E-4</c:v>
                </c:pt>
                <c:pt idx="20">
                  <c:v>-1.7751903528689415E-4</c:v>
                </c:pt>
                <c:pt idx="21">
                  <c:v>-1.7691013315523579E-4</c:v>
                </c:pt>
                <c:pt idx="22">
                  <c:v>-1.7670716577801636E-4</c:v>
                </c:pt>
                <c:pt idx="23">
                  <c:v>-1.7650419840079689E-4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-1.6682681553618461E-4</c:v>
                </c:pt>
                <c:pt idx="1">
                  <c:v>-1.7076420415769835E-4</c:v>
                </c:pt>
                <c:pt idx="2">
                  <c:v>-1.7197275181432092E-4</c:v>
                </c:pt>
                <c:pt idx="3">
                  <c:v>-1.7312934186233578E-4</c:v>
                </c:pt>
                <c:pt idx="4">
                  <c:v>-1.74233974301743E-4</c:v>
                </c:pt>
                <c:pt idx="5">
                  <c:v>-1.7528664913254251E-4</c:v>
                </c:pt>
                <c:pt idx="6">
                  <c:v>-1.7813292797329498E-4</c:v>
                </c:pt>
                <c:pt idx="7">
                  <c:v>-1.7897777236966373E-4</c:v>
                </c:pt>
                <c:pt idx="8">
                  <c:v>-1.7977065915742485E-4</c:v>
                </c:pt>
                <c:pt idx="9">
                  <c:v>-1.8051158833657827E-4</c:v>
                </c:pt>
                <c:pt idx="10">
                  <c:v>-1.8120055990712401E-4</c:v>
                </c:pt>
                <c:pt idx="11">
                  <c:v>-1.8295572896711516E-4</c:v>
                </c:pt>
                <c:pt idx="12">
                  <c:v>-1.8343687010323017E-4</c:v>
                </c:pt>
                <c:pt idx="13">
                  <c:v>-1.8386605363073752E-4</c:v>
                </c:pt>
                <c:pt idx="14">
                  <c:v>-1.8424327954963716E-4</c:v>
                </c:pt>
                <c:pt idx="15">
                  <c:v>-1.8456854785992916E-4</c:v>
                </c:pt>
                <c:pt idx="16">
                  <c:v>-1.8523260713915898E-4</c:v>
                </c:pt>
                <c:pt idx="17">
                  <c:v>-1.8535004501502023E-4</c:v>
                </c:pt>
                <c:pt idx="18">
                  <c:v>-1.8541552528227381E-4</c:v>
                </c:pt>
                <c:pt idx="19">
                  <c:v>-1.8542904794091968E-4</c:v>
                </c:pt>
                <c:pt idx="20">
                  <c:v>-1.8539061299095789E-4</c:v>
                </c:pt>
                <c:pt idx="21">
                  <c:v>-1.8496356248942641E-4</c:v>
                </c:pt>
                <c:pt idx="22">
                  <c:v>-1.8471729710503392E-4</c:v>
                </c:pt>
                <c:pt idx="23">
                  <c:v>-1.8441907411203369E-4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663616"/>
        <c:axId val="629665152"/>
      </c:lineChart>
      <c:dateAx>
        <c:axId val="6296636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9665152"/>
        <c:crosses val="autoZero"/>
        <c:auto val="1"/>
        <c:lblOffset val="100"/>
        <c:baseTimeUnit val="days"/>
      </c:dateAx>
      <c:valAx>
        <c:axId val="6296651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9663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'3MSynthDepo'!$AI$2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'3MSynthDepo'!$AG$3:$AG$132</c:f>
              <c:numCache>
                <c:formatCode>ddd\,\ dd\-mmm\-yyyy</c:formatCode>
                <c:ptCount val="130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  <c:pt idx="24">
                  <c:v>42831</c:v>
                </c:pt>
                <c:pt idx="25">
                  <c:v>42832</c:v>
                </c:pt>
                <c:pt idx="26">
                  <c:v>42835</c:v>
                </c:pt>
                <c:pt idx="27">
                  <c:v>42836</c:v>
                </c:pt>
                <c:pt idx="28">
                  <c:v>42837</c:v>
                </c:pt>
                <c:pt idx="29">
                  <c:v>42838</c:v>
                </c:pt>
                <c:pt idx="30">
                  <c:v>42843</c:v>
                </c:pt>
                <c:pt idx="31">
                  <c:v>42844</c:v>
                </c:pt>
                <c:pt idx="32">
                  <c:v>42845</c:v>
                </c:pt>
                <c:pt idx="33">
                  <c:v>42846</c:v>
                </c:pt>
                <c:pt idx="34">
                  <c:v>42849</c:v>
                </c:pt>
                <c:pt idx="35">
                  <c:v>42850</c:v>
                </c:pt>
                <c:pt idx="36">
                  <c:v>42851</c:v>
                </c:pt>
                <c:pt idx="37">
                  <c:v>42852</c:v>
                </c:pt>
                <c:pt idx="38">
                  <c:v>42853</c:v>
                </c:pt>
                <c:pt idx="39">
                  <c:v>42857</c:v>
                </c:pt>
                <c:pt idx="40">
                  <c:v>42858</c:v>
                </c:pt>
                <c:pt idx="41">
                  <c:v>42859</c:v>
                </c:pt>
                <c:pt idx="42">
                  <c:v>42860</c:v>
                </c:pt>
                <c:pt idx="43">
                  <c:v>42863</c:v>
                </c:pt>
                <c:pt idx="44">
                  <c:v>42864</c:v>
                </c:pt>
                <c:pt idx="45">
                  <c:v>42865</c:v>
                </c:pt>
                <c:pt idx="46">
                  <c:v>42866</c:v>
                </c:pt>
                <c:pt idx="47">
                  <c:v>42867</c:v>
                </c:pt>
                <c:pt idx="48">
                  <c:v>42870</c:v>
                </c:pt>
                <c:pt idx="49">
                  <c:v>42871</c:v>
                </c:pt>
                <c:pt idx="50">
                  <c:v>42872</c:v>
                </c:pt>
                <c:pt idx="51">
                  <c:v>42873</c:v>
                </c:pt>
                <c:pt idx="52">
                  <c:v>42874</c:v>
                </c:pt>
                <c:pt idx="53">
                  <c:v>42877</c:v>
                </c:pt>
                <c:pt idx="54">
                  <c:v>42878</c:v>
                </c:pt>
                <c:pt idx="55">
                  <c:v>42879</c:v>
                </c:pt>
                <c:pt idx="56">
                  <c:v>42880</c:v>
                </c:pt>
                <c:pt idx="57">
                  <c:v>42881</c:v>
                </c:pt>
                <c:pt idx="58">
                  <c:v>42884</c:v>
                </c:pt>
                <c:pt idx="59">
                  <c:v>42885</c:v>
                </c:pt>
                <c:pt idx="60">
                  <c:v>42886</c:v>
                </c:pt>
                <c:pt idx="61">
                  <c:v>42887</c:v>
                </c:pt>
                <c:pt idx="62">
                  <c:v>42888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2.0749422556973757E-4</c:v>
                </c:pt>
                <c:pt idx="1">
                  <c:v>2.0749422556973757E-4</c:v>
                </c:pt>
                <c:pt idx="2">
                  <c:v>2.0749422556973757E-4</c:v>
                </c:pt>
                <c:pt idx="3">
                  <c:v>2.0749422556973757E-4</c:v>
                </c:pt>
                <c:pt idx="4">
                  <c:v>2.0749422556973757E-4</c:v>
                </c:pt>
                <c:pt idx="5">
                  <c:v>2.0749422556973757E-4</c:v>
                </c:pt>
                <c:pt idx="6">
                  <c:v>2.0749422556973757E-4</c:v>
                </c:pt>
                <c:pt idx="7">
                  <c:v>2.0749422556973757E-4</c:v>
                </c:pt>
                <c:pt idx="8">
                  <c:v>2.0749422556973757E-4</c:v>
                </c:pt>
                <c:pt idx="9">
                  <c:v>2.0749422556973757E-4</c:v>
                </c:pt>
                <c:pt idx="10">
                  <c:v>2.0749422556973757E-4</c:v>
                </c:pt>
                <c:pt idx="11">
                  <c:v>2.0749422556973757E-4</c:v>
                </c:pt>
                <c:pt idx="12">
                  <c:v>2.0749422556973757E-4</c:v>
                </c:pt>
                <c:pt idx="13">
                  <c:v>2.0749422556973757E-4</c:v>
                </c:pt>
                <c:pt idx="14">
                  <c:v>2.0749422556973757E-4</c:v>
                </c:pt>
                <c:pt idx="15">
                  <c:v>2.0749422556973757E-4</c:v>
                </c:pt>
                <c:pt idx="16">
                  <c:v>2.0749422556973757E-4</c:v>
                </c:pt>
                <c:pt idx="17">
                  <c:v>2.0749422556973757E-4</c:v>
                </c:pt>
                <c:pt idx="18">
                  <c:v>2.0749422556973757E-4</c:v>
                </c:pt>
                <c:pt idx="19">
                  <c:v>2.0749422556973757E-4</c:v>
                </c:pt>
                <c:pt idx="20">
                  <c:v>2.0749422556973757E-4</c:v>
                </c:pt>
                <c:pt idx="21">
                  <c:v>2.0749422556973757E-4</c:v>
                </c:pt>
                <c:pt idx="22">
                  <c:v>2.0749422556973757E-4</c:v>
                </c:pt>
                <c:pt idx="23">
                  <c:v>2.0749422556973757E-4</c:v>
                </c:pt>
                <c:pt idx="24">
                  <c:v>2.0749422556973757E-4</c:v>
                </c:pt>
                <c:pt idx="25">
                  <c:v>2.0749422556973757E-4</c:v>
                </c:pt>
                <c:pt idx="26">
                  <c:v>2.0749422556973757E-4</c:v>
                </c:pt>
                <c:pt idx="27">
                  <c:v>2.0749422556973757E-4</c:v>
                </c:pt>
                <c:pt idx="28">
                  <c:v>2.0749422556973757E-4</c:v>
                </c:pt>
                <c:pt idx="29">
                  <c:v>2.0749422556973757E-4</c:v>
                </c:pt>
                <c:pt idx="30">
                  <c:v>2.0749422556973757E-4</c:v>
                </c:pt>
                <c:pt idx="31">
                  <c:v>2.0749422556973757E-4</c:v>
                </c:pt>
                <c:pt idx="32">
                  <c:v>2.0749422556973757E-4</c:v>
                </c:pt>
                <c:pt idx="33">
                  <c:v>2.0749422556973757E-4</c:v>
                </c:pt>
                <c:pt idx="34">
                  <c:v>2.0749422556973757E-4</c:v>
                </c:pt>
                <c:pt idx="35">
                  <c:v>2.0749422556973757E-4</c:v>
                </c:pt>
                <c:pt idx="36">
                  <c:v>2.0749422556973757E-4</c:v>
                </c:pt>
                <c:pt idx="37">
                  <c:v>2.0749422556973757E-4</c:v>
                </c:pt>
                <c:pt idx="38">
                  <c:v>2.0749422556973757E-4</c:v>
                </c:pt>
                <c:pt idx="39">
                  <c:v>2.0749422556973757E-4</c:v>
                </c:pt>
                <c:pt idx="40">
                  <c:v>2.0749422556973757E-4</c:v>
                </c:pt>
                <c:pt idx="41">
                  <c:v>2.0749422556973757E-4</c:v>
                </c:pt>
                <c:pt idx="42">
                  <c:v>2.0749422556973757E-4</c:v>
                </c:pt>
                <c:pt idx="43">
                  <c:v>2.0749422556973757E-4</c:v>
                </c:pt>
                <c:pt idx="44">
                  <c:v>2.0749422556973757E-4</c:v>
                </c:pt>
                <c:pt idx="45">
                  <c:v>2.0749422556973757E-4</c:v>
                </c:pt>
                <c:pt idx="46">
                  <c:v>2.0749422556973757E-4</c:v>
                </c:pt>
                <c:pt idx="47">
                  <c:v>2.0749422556973757E-4</c:v>
                </c:pt>
                <c:pt idx="48">
                  <c:v>2.0749422556973757E-4</c:v>
                </c:pt>
                <c:pt idx="49">
                  <c:v>2.0749422556973757E-4</c:v>
                </c:pt>
                <c:pt idx="50">
                  <c:v>2.0749422556973757E-4</c:v>
                </c:pt>
                <c:pt idx="51">
                  <c:v>2.0749422556973757E-4</c:v>
                </c:pt>
                <c:pt idx="52">
                  <c:v>2.0749422556973757E-4</c:v>
                </c:pt>
                <c:pt idx="53">
                  <c:v>2.0749422556973757E-4</c:v>
                </c:pt>
                <c:pt idx="54">
                  <c:v>2.0749422556973757E-4</c:v>
                </c:pt>
                <c:pt idx="55">
                  <c:v>2.0749422556973757E-4</c:v>
                </c:pt>
                <c:pt idx="56">
                  <c:v>2.0749422556973757E-4</c:v>
                </c:pt>
                <c:pt idx="57">
                  <c:v>2.0749422556973757E-4</c:v>
                </c:pt>
                <c:pt idx="58">
                  <c:v>2.0749422556973757E-4</c:v>
                </c:pt>
                <c:pt idx="59">
                  <c:v>2.0749422556973757E-4</c:v>
                </c:pt>
                <c:pt idx="60">
                  <c:v>2.0749422556973757E-4</c:v>
                </c:pt>
                <c:pt idx="61">
                  <c:v>2.0749422556973757E-4</c:v>
                </c:pt>
                <c:pt idx="62">
                  <c:v>2.0749422556973757E-4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'3MSynthDepo'!$AJ$2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'3MSynthDepo'!$AG$3:$AG$132</c:f>
              <c:numCache>
                <c:formatCode>ddd\,\ dd\-mmm\-yyyy</c:formatCode>
                <c:ptCount val="130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  <c:pt idx="24">
                  <c:v>42831</c:v>
                </c:pt>
                <c:pt idx="25">
                  <c:v>42832</c:v>
                </c:pt>
                <c:pt idx="26">
                  <c:v>42835</c:v>
                </c:pt>
                <c:pt idx="27">
                  <c:v>42836</c:v>
                </c:pt>
                <c:pt idx="28">
                  <c:v>42837</c:v>
                </c:pt>
                <c:pt idx="29">
                  <c:v>42838</c:v>
                </c:pt>
                <c:pt idx="30">
                  <c:v>42843</c:v>
                </c:pt>
                <c:pt idx="31">
                  <c:v>42844</c:v>
                </c:pt>
                <c:pt idx="32">
                  <c:v>42845</c:v>
                </c:pt>
                <c:pt idx="33">
                  <c:v>42846</c:v>
                </c:pt>
                <c:pt idx="34">
                  <c:v>42849</c:v>
                </c:pt>
                <c:pt idx="35">
                  <c:v>42850</c:v>
                </c:pt>
                <c:pt idx="36">
                  <c:v>42851</c:v>
                </c:pt>
                <c:pt idx="37">
                  <c:v>42852</c:v>
                </c:pt>
                <c:pt idx="38">
                  <c:v>42853</c:v>
                </c:pt>
                <c:pt idx="39">
                  <c:v>42857</c:v>
                </c:pt>
                <c:pt idx="40">
                  <c:v>42858</c:v>
                </c:pt>
                <c:pt idx="41">
                  <c:v>42859</c:v>
                </c:pt>
                <c:pt idx="42">
                  <c:v>42860</c:v>
                </c:pt>
                <c:pt idx="43">
                  <c:v>42863</c:v>
                </c:pt>
                <c:pt idx="44">
                  <c:v>42864</c:v>
                </c:pt>
                <c:pt idx="45">
                  <c:v>42865</c:v>
                </c:pt>
                <c:pt idx="46">
                  <c:v>42866</c:v>
                </c:pt>
                <c:pt idx="47">
                  <c:v>42867</c:v>
                </c:pt>
                <c:pt idx="48">
                  <c:v>42870</c:v>
                </c:pt>
                <c:pt idx="49">
                  <c:v>42871</c:v>
                </c:pt>
                <c:pt idx="50">
                  <c:v>42872</c:v>
                </c:pt>
                <c:pt idx="51">
                  <c:v>42873</c:v>
                </c:pt>
                <c:pt idx="52">
                  <c:v>42874</c:v>
                </c:pt>
                <c:pt idx="53">
                  <c:v>42877</c:v>
                </c:pt>
                <c:pt idx="54">
                  <c:v>42878</c:v>
                </c:pt>
                <c:pt idx="55">
                  <c:v>42879</c:v>
                </c:pt>
                <c:pt idx="56">
                  <c:v>42880</c:v>
                </c:pt>
                <c:pt idx="57">
                  <c:v>42881</c:v>
                </c:pt>
                <c:pt idx="58">
                  <c:v>42884</c:v>
                </c:pt>
                <c:pt idx="59">
                  <c:v>42885</c:v>
                </c:pt>
                <c:pt idx="60">
                  <c:v>42886</c:v>
                </c:pt>
                <c:pt idx="61">
                  <c:v>42887</c:v>
                </c:pt>
                <c:pt idx="62">
                  <c:v>42888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5.5593989860825734E-5</c:v>
                </c:pt>
                <c:pt idx="1">
                  <c:v>6.5289749586926497E-5</c:v>
                </c:pt>
                <c:pt idx="2">
                  <c:v>6.8521669495626747E-5</c:v>
                </c:pt>
                <c:pt idx="3">
                  <c:v>7.1753589404326997E-5</c:v>
                </c:pt>
                <c:pt idx="4">
                  <c:v>7.498550931302726E-5</c:v>
                </c:pt>
                <c:pt idx="5">
                  <c:v>7.821742922172751E-5</c:v>
                </c:pt>
                <c:pt idx="6">
                  <c:v>8.791318894782826E-5</c:v>
                </c:pt>
                <c:pt idx="7">
                  <c:v>9.1145108856528523E-5</c:v>
                </c:pt>
                <c:pt idx="8">
                  <c:v>9.4377028765228773E-5</c:v>
                </c:pt>
                <c:pt idx="9">
                  <c:v>9.7608948673929023E-5</c:v>
                </c:pt>
                <c:pt idx="10">
                  <c:v>1.0084086858262929E-4</c:v>
                </c:pt>
                <c:pt idx="11">
                  <c:v>1.1053662830873004E-4</c:v>
                </c:pt>
                <c:pt idx="12">
                  <c:v>1.1376854821743029E-4</c:v>
                </c:pt>
                <c:pt idx="13">
                  <c:v>1.1700046812613055E-4</c:v>
                </c:pt>
                <c:pt idx="14">
                  <c:v>1.202323880348308E-4</c:v>
                </c:pt>
                <c:pt idx="15">
                  <c:v>1.2346430794353105E-4</c:v>
                </c:pt>
                <c:pt idx="16">
                  <c:v>1.3316006766963181E-4</c:v>
                </c:pt>
                <c:pt idx="17">
                  <c:v>1.3639198757833208E-4</c:v>
                </c:pt>
                <c:pt idx="18">
                  <c:v>1.3962390748703231E-4</c:v>
                </c:pt>
                <c:pt idx="19">
                  <c:v>1.4285582739573255E-4</c:v>
                </c:pt>
                <c:pt idx="20">
                  <c:v>1.4608774730443284E-4</c:v>
                </c:pt>
                <c:pt idx="21">
                  <c:v>1.557835070305336E-4</c:v>
                </c:pt>
                <c:pt idx="22">
                  <c:v>1.5901542693923384E-4</c:v>
                </c:pt>
                <c:pt idx="23">
                  <c:v>1.6224734684793408E-4</c:v>
                </c:pt>
                <c:pt idx="24">
                  <c:v>1.6547926675663434E-4</c:v>
                </c:pt>
                <c:pt idx="25">
                  <c:v>1.687111866653346E-4</c:v>
                </c:pt>
                <c:pt idx="26">
                  <c:v>1.7840694639143537E-4</c:v>
                </c:pt>
                <c:pt idx="27">
                  <c:v>1.816388663001356E-4</c:v>
                </c:pt>
                <c:pt idx="28">
                  <c:v>1.8487078620883587E-4</c:v>
                </c:pt>
                <c:pt idx="29">
                  <c:v>1.881027061175361E-4</c:v>
                </c:pt>
                <c:pt idx="30">
                  <c:v>2.0426230566103736E-4</c:v>
                </c:pt>
                <c:pt idx="31">
                  <c:v>2.0749422556973766E-4</c:v>
                </c:pt>
                <c:pt idx="32">
                  <c:v>2.1072614547843789E-4</c:v>
                </c:pt>
                <c:pt idx="33">
                  <c:v>2.1395806538713813E-4</c:v>
                </c:pt>
                <c:pt idx="34">
                  <c:v>2.2365382511323889E-4</c:v>
                </c:pt>
                <c:pt idx="35">
                  <c:v>2.2688574502193915E-4</c:v>
                </c:pt>
                <c:pt idx="36">
                  <c:v>2.3011766493063939E-4</c:v>
                </c:pt>
                <c:pt idx="37">
                  <c:v>2.3334958483933968E-4</c:v>
                </c:pt>
                <c:pt idx="38">
                  <c:v>2.3658150474803992E-4</c:v>
                </c:pt>
                <c:pt idx="39">
                  <c:v>2.4950918438284089E-4</c:v>
                </c:pt>
                <c:pt idx="40">
                  <c:v>2.5274110429154118E-4</c:v>
                </c:pt>
                <c:pt idx="41">
                  <c:v>2.5597302420024147E-4</c:v>
                </c:pt>
                <c:pt idx="42">
                  <c:v>2.5920494410894171E-4</c:v>
                </c:pt>
                <c:pt idx="43">
                  <c:v>2.6890070383504242E-4</c:v>
                </c:pt>
                <c:pt idx="44">
                  <c:v>2.7213262374374271E-4</c:v>
                </c:pt>
                <c:pt idx="45">
                  <c:v>2.7536454365244294E-4</c:v>
                </c:pt>
                <c:pt idx="46">
                  <c:v>2.7859646356114323E-4</c:v>
                </c:pt>
                <c:pt idx="47">
                  <c:v>2.8182838346984347E-4</c:v>
                </c:pt>
                <c:pt idx="48">
                  <c:v>2.9152414319594418E-4</c:v>
                </c:pt>
                <c:pt idx="49">
                  <c:v>2.9475606310464447E-4</c:v>
                </c:pt>
                <c:pt idx="50">
                  <c:v>2.9798798301334476E-4</c:v>
                </c:pt>
                <c:pt idx="51">
                  <c:v>3.01219902922045E-4</c:v>
                </c:pt>
                <c:pt idx="52">
                  <c:v>3.0445182283074523E-4</c:v>
                </c:pt>
                <c:pt idx="53">
                  <c:v>3.14147582556846E-4</c:v>
                </c:pt>
                <c:pt idx="54">
                  <c:v>3.1737950246554623E-4</c:v>
                </c:pt>
                <c:pt idx="55">
                  <c:v>3.2061142237424647E-4</c:v>
                </c:pt>
                <c:pt idx="56">
                  <c:v>3.2384334228294676E-4</c:v>
                </c:pt>
                <c:pt idx="57">
                  <c:v>3.27075262191647E-4</c:v>
                </c:pt>
                <c:pt idx="58">
                  <c:v>3.3677102191774776E-4</c:v>
                </c:pt>
                <c:pt idx="59">
                  <c:v>3.40002941826448E-4</c:v>
                </c:pt>
                <c:pt idx="60">
                  <c:v>3.4323486173514829E-4</c:v>
                </c:pt>
                <c:pt idx="61">
                  <c:v>3.4646678164384852E-4</c:v>
                </c:pt>
                <c:pt idx="62">
                  <c:v>3.4969870155254876E-4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'3MSynthDepo'!$AK$2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'3MSynthDepo'!$AG$3:$AG$132</c:f>
              <c:numCache>
                <c:formatCode>ddd\,\ dd\-mmm\-yyyy</c:formatCode>
                <c:ptCount val="130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  <c:pt idx="24">
                  <c:v>42831</c:v>
                </c:pt>
                <c:pt idx="25">
                  <c:v>42832</c:v>
                </c:pt>
                <c:pt idx="26">
                  <c:v>42835</c:v>
                </c:pt>
                <c:pt idx="27">
                  <c:v>42836</c:v>
                </c:pt>
                <c:pt idx="28">
                  <c:v>42837</c:v>
                </c:pt>
                <c:pt idx="29">
                  <c:v>42838</c:v>
                </c:pt>
                <c:pt idx="30">
                  <c:v>42843</c:v>
                </c:pt>
                <c:pt idx="31">
                  <c:v>42844</c:v>
                </c:pt>
                <c:pt idx="32">
                  <c:v>42845</c:v>
                </c:pt>
                <c:pt idx="33">
                  <c:v>42846</c:v>
                </c:pt>
                <c:pt idx="34">
                  <c:v>42849</c:v>
                </c:pt>
                <c:pt idx="35">
                  <c:v>42850</c:v>
                </c:pt>
                <c:pt idx="36">
                  <c:v>42851</c:v>
                </c:pt>
                <c:pt idx="37">
                  <c:v>42852</c:v>
                </c:pt>
                <c:pt idx="38">
                  <c:v>42853</c:v>
                </c:pt>
                <c:pt idx="39">
                  <c:v>42857</c:v>
                </c:pt>
                <c:pt idx="40">
                  <c:v>42858</c:v>
                </c:pt>
                <c:pt idx="41">
                  <c:v>42859</c:v>
                </c:pt>
                <c:pt idx="42">
                  <c:v>42860</c:v>
                </c:pt>
                <c:pt idx="43">
                  <c:v>42863</c:v>
                </c:pt>
                <c:pt idx="44">
                  <c:v>42864</c:v>
                </c:pt>
                <c:pt idx="45">
                  <c:v>42865</c:v>
                </c:pt>
                <c:pt idx="46">
                  <c:v>42866</c:v>
                </c:pt>
                <c:pt idx="47">
                  <c:v>42867</c:v>
                </c:pt>
                <c:pt idx="48">
                  <c:v>42870</c:v>
                </c:pt>
                <c:pt idx="49">
                  <c:v>42871</c:v>
                </c:pt>
                <c:pt idx="50">
                  <c:v>42872</c:v>
                </c:pt>
                <c:pt idx="51">
                  <c:v>42873</c:v>
                </c:pt>
                <c:pt idx="52">
                  <c:v>42874</c:v>
                </c:pt>
                <c:pt idx="53">
                  <c:v>42877</c:v>
                </c:pt>
                <c:pt idx="54">
                  <c:v>42878</c:v>
                </c:pt>
                <c:pt idx="55">
                  <c:v>42879</c:v>
                </c:pt>
                <c:pt idx="56">
                  <c:v>42880</c:v>
                </c:pt>
                <c:pt idx="57">
                  <c:v>42881</c:v>
                </c:pt>
                <c:pt idx="58">
                  <c:v>42884</c:v>
                </c:pt>
                <c:pt idx="59">
                  <c:v>42885</c:v>
                </c:pt>
                <c:pt idx="60">
                  <c:v>42886</c:v>
                </c:pt>
                <c:pt idx="61">
                  <c:v>42887</c:v>
                </c:pt>
                <c:pt idx="62">
                  <c:v>42888</c:v>
                </c:pt>
              </c:numCache>
            </c:numRef>
          </c:cat>
          <c:val>
            <c:numRef>
              <c:f>'3MSynthDepo'!$AK$3:$AK$132</c:f>
              <c:numCache>
                <c:formatCode>0.0000%</c:formatCode>
                <c:ptCount val="130"/>
                <c:pt idx="0">
                  <c:v>1.2931115399132404E-7</c:v>
                </c:pt>
                <c:pt idx="1">
                  <c:v>1.8711111870537344E-5</c:v>
                </c:pt>
                <c:pt idx="2">
                  <c:v>2.4785587513119722E-5</c:v>
                </c:pt>
                <c:pt idx="3">
                  <c:v>3.0800334190902277E-5</c:v>
                </c:pt>
                <c:pt idx="4">
                  <c:v>3.6755351903885023E-5</c:v>
                </c:pt>
                <c:pt idx="5">
                  <c:v>4.2650640652067956E-5</c:v>
                </c:pt>
                <c:pt idx="6">
                  <c:v>5.9978133107817839E-5</c:v>
                </c:pt>
                <c:pt idx="7">
                  <c:v>6.5634505996801508E-5</c:v>
                </c:pt>
                <c:pt idx="8">
                  <c:v>7.1231149920985345E-5</c:v>
                </c:pt>
                <c:pt idx="9">
                  <c:v>7.6768064880369382E-5</c:v>
                </c:pt>
                <c:pt idx="10">
                  <c:v>8.224525087495362E-5</c:v>
                </c:pt>
                <c:pt idx="11">
                  <c:v>9.8318435069907363E-5</c:v>
                </c:pt>
                <c:pt idx="12">
                  <c:v>1.0355670520529232E-4</c:v>
                </c:pt>
                <c:pt idx="13">
                  <c:v>1.0873524637587746E-4</c:v>
                </c:pt>
                <c:pt idx="14">
                  <c:v>1.1385405858166278E-4</c:v>
                </c:pt>
                <c:pt idx="15">
                  <c:v>1.189131418226483E-4</c:v>
                </c:pt>
                <c:pt idx="16">
                  <c:v>1.3373201775680591E-4</c:v>
                </c:pt>
                <c:pt idx="17">
                  <c:v>1.3855218513859216E-4</c:v>
                </c:pt>
                <c:pt idx="18">
                  <c:v>1.4331262355557858E-4</c:v>
                </c:pt>
                <c:pt idx="19">
                  <c:v>1.480133330077652E-4</c:v>
                </c:pt>
                <c:pt idx="20">
                  <c:v>1.5265431349515202E-4</c:v>
                </c:pt>
                <c:pt idx="21">
                  <c:v>1.6621888116851349E-4</c:v>
                </c:pt>
                <c:pt idx="22">
                  <c:v>1.7062094579670104E-4</c:v>
                </c:pt>
                <c:pt idx="23">
                  <c:v>1.7496328146008875E-4</c:v>
                </c:pt>
                <c:pt idx="24">
                  <c:v>1.7924588815867667E-4</c:v>
                </c:pt>
                <c:pt idx="25">
                  <c:v>1.8346876589246476E-4</c:v>
                </c:pt>
                <c:pt idx="26">
                  <c:v>1.9577902530503011E-4</c:v>
                </c:pt>
                <c:pt idx="27">
                  <c:v>1.9976298717961892E-4</c:v>
                </c:pt>
                <c:pt idx="28">
                  <c:v>2.0368722008940794E-4</c:v>
                </c:pt>
                <c:pt idx="29">
                  <c:v>2.0755172403439715E-4</c:v>
                </c:pt>
                <c:pt idx="30">
                  <c:v>2.2597830928734584E-4</c:v>
                </c:pt>
                <c:pt idx="31">
                  <c:v>2.2948443944353618E-4</c:v>
                </c:pt>
                <c:pt idx="32">
                  <c:v>2.3293084063492664E-4</c:v>
                </c:pt>
                <c:pt idx="33">
                  <c:v>2.3631751286151733E-4</c:v>
                </c:pt>
                <c:pt idx="34">
                  <c:v>2.4611915575249043E-4</c:v>
                </c:pt>
                <c:pt idx="35">
                  <c:v>2.4926691211988179E-4</c:v>
                </c:pt>
                <c:pt idx="36">
                  <c:v>2.5235493952247343E-4</c:v>
                </c:pt>
                <c:pt idx="37">
                  <c:v>2.5538323796026518E-4</c:v>
                </c:pt>
                <c:pt idx="38">
                  <c:v>2.5835180743325717E-4</c:v>
                </c:pt>
                <c:pt idx="39">
                  <c:v>2.696287956772268E-4</c:v>
                </c:pt>
                <c:pt idx="40">
                  <c:v>2.7229872032621971E-4</c:v>
                </c:pt>
                <c:pt idx="41">
                  <c:v>2.7490891601041274E-4</c:v>
                </c:pt>
                <c:pt idx="42">
                  <c:v>2.7745938272980605E-4</c:v>
                </c:pt>
                <c:pt idx="43">
                  <c:v>2.8475240909918686E-4</c:v>
                </c:pt>
                <c:pt idx="44">
                  <c:v>2.8706395995938081E-4</c:v>
                </c:pt>
                <c:pt idx="45">
                  <c:v>2.8931578185477499E-4</c:v>
                </c:pt>
                <c:pt idx="46">
                  <c:v>2.9150787478536935E-4</c:v>
                </c:pt>
                <c:pt idx="47">
                  <c:v>2.9364023875116393E-4</c:v>
                </c:pt>
                <c:pt idx="48">
                  <c:v>2.9967895685974861E-4</c:v>
                </c:pt>
                <c:pt idx="49">
                  <c:v>3.0157240496634383E-4</c:v>
                </c:pt>
                <c:pt idx="50">
                  <c:v>3.0340612410813934E-4</c:v>
                </c:pt>
                <c:pt idx="51">
                  <c:v>3.0518011428513501E-4</c:v>
                </c:pt>
                <c:pt idx="52">
                  <c:v>3.0689437549733076E-4</c:v>
                </c:pt>
                <c:pt idx="53">
                  <c:v>3.1167878534511936E-4</c:v>
                </c:pt>
                <c:pt idx="54">
                  <c:v>3.1315413069811591E-4</c:v>
                </c:pt>
                <c:pt idx="55">
                  <c:v>3.1456974708631274E-4</c:v>
                </c:pt>
                <c:pt idx="56">
                  <c:v>3.1592563450970963E-4</c:v>
                </c:pt>
                <c:pt idx="57">
                  <c:v>3.1722179296830676E-4</c:v>
                </c:pt>
                <c:pt idx="58">
                  <c:v>3.2075189455529917E-4</c:v>
                </c:pt>
                <c:pt idx="59">
                  <c:v>3.2180913715469705E-4</c:v>
                </c:pt>
                <c:pt idx="60">
                  <c:v>3.2280665078929509E-4</c:v>
                </c:pt>
                <c:pt idx="61">
                  <c:v>3.2374443545909331E-4</c:v>
                </c:pt>
                <c:pt idx="62">
                  <c:v>3.2462249116409176E-4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204864"/>
        <c:axId val="629206400"/>
      </c:lineChart>
      <c:dateAx>
        <c:axId val="6292048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9206400"/>
        <c:crosses val="autoZero"/>
        <c:auto val="1"/>
        <c:lblOffset val="100"/>
        <c:baseTimeUnit val="days"/>
      </c:dateAx>
      <c:valAx>
        <c:axId val="6292064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9204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'6MSynthDepo'!$AI$2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'6MSynthDepo'!$AG$3:$AG$132</c:f>
              <c:numCache>
                <c:formatCode>ddd\,\ dd\-mmm\-yyyy</c:formatCode>
                <c:ptCount val="130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  <c:pt idx="24">
                  <c:v>42831</c:v>
                </c:pt>
                <c:pt idx="25">
                  <c:v>42832</c:v>
                </c:pt>
                <c:pt idx="26">
                  <c:v>42835</c:v>
                </c:pt>
                <c:pt idx="27">
                  <c:v>42836</c:v>
                </c:pt>
                <c:pt idx="28">
                  <c:v>42837</c:v>
                </c:pt>
                <c:pt idx="29">
                  <c:v>42838</c:v>
                </c:pt>
                <c:pt idx="30">
                  <c:v>42843</c:v>
                </c:pt>
                <c:pt idx="31">
                  <c:v>42844</c:v>
                </c:pt>
                <c:pt idx="32">
                  <c:v>42845</c:v>
                </c:pt>
                <c:pt idx="33">
                  <c:v>42846</c:v>
                </c:pt>
                <c:pt idx="34">
                  <c:v>42849</c:v>
                </c:pt>
                <c:pt idx="35">
                  <c:v>42850</c:v>
                </c:pt>
                <c:pt idx="36">
                  <c:v>42851</c:v>
                </c:pt>
                <c:pt idx="37">
                  <c:v>42852</c:v>
                </c:pt>
                <c:pt idx="38">
                  <c:v>42853</c:v>
                </c:pt>
                <c:pt idx="39">
                  <c:v>42857</c:v>
                </c:pt>
                <c:pt idx="40">
                  <c:v>42858</c:v>
                </c:pt>
                <c:pt idx="41">
                  <c:v>42859</c:v>
                </c:pt>
                <c:pt idx="42">
                  <c:v>42860</c:v>
                </c:pt>
                <c:pt idx="43">
                  <c:v>42863</c:v>
                </c:pt>
                <c:pt idx="44">
                  <c:v>42864</c:v>
                </c:pt>
                <c:pt idx="45">
                  <c:v>42865</c:v>
                </c:pt>
                <c:pt idx="46">
                  <c:v>42866</c:v>
                </c:pt>
                <c:pt idx="47">
                  <c:v>42867</c:v>
                </c:pt>
                <c:pt idx="48">
                  <c:v>42870</c:v>
                </c:pt>
                <c:pt idx="49">
                  <c:v>42871</c:v>
                </c:pt>
                <c:pt idx="50">
                  <c:v>42872</c:v>
                </c:pt>
                <c:pt idx="51">
                  <c:v>42873</c:v>
                </c:pt>
                <c:pt idx="52">
                  <c:v>42874</c:v>
                </c:pt>
                <c:pt idx="53">
                  <c:v>42877</c:v>
                </c:pt>
                <c:pt idx="54">
                  <c:v>42878</c:v>
                </c:pt>
                <c:pt idx="55">
                  <c:v>42879</c:v>
                </c:pt>
                <c:pt idx="56">
                  <c:v>42880</c:v>
                </c:pt>
                <c:pt idx="57">
                  <c:v>42881</c:v>
                </c:pt>
                <c:pt idx="58">
                  <c:v>42884</c:v>
                </c:pt>
                <c:pt idx="59">
                  <c:v>42885</c:v>
                </c:pt>
                <c:pt idx="60">
                  <c:v>42886</c:v>
                </c:pt>
                <c:pt idx="61">
                  <c:v>42887</c:v>
                </c:pt>
                <c:pt idx="62">
                  <c:v>42888</c:v>
                </c:pt>
                <c:pt idx="63">
                  <c:v>42891</c:v>
                </c:pt>
                <c:pt idx="64">
                  <c:v>42892</c:v>
                </c:pt>
                <c:pt idx="65">
                  <c:v>42893</c:v>
                </c:pt>
                <c:pt idx="66">
                  <c:v>42894</c:v>
                </c:pt>
                <c:pt idx="67">
                  <c:v>42895</c:v>
                </c:pt>
                <c:pt idx="68">
                  <c:v>42898</c:v>
                </c:pt>
                <c:pt idx="69">
                  <c:v>42899</c:v>
                </c:pt>
                <c:pt idx="70">
                  <c:v>42900</c:v>
                </c:pt>
                <c:pt idx="71">
                  <c:v>42901</c:v>
                </c:pt>
                <c:pt idx="72">
                  <c:v>42902</c:v>
                </c:pt>
                <c:pt idx="73">
                  <c:v>42905</c:v>
                </c:pt>
                <c:pt idx="74">
                  <c:v>42906</c:v>
                </c:pt>
                <c:pt idx="75">
                  <c:v>42907</c:v>
                </c:pt>
                <c:pt idx="76">
                  <c:v>42908</c:v>
                </c:pt>
                <c:pt idx="77">
                  <c:v>42909</c:v>
                </c:pt>
                <c:pt idx="78">
                  <c:v>42912</c:v>
                </c:pt>
                <c:pt idx="79">
                  <c:v>42913</c:v>
                </c:pt>
                <c:pt idx="80">
                  <c:v>42914</c:v>
                </c:pt>
                <c:pt idx="81">
                  <c:v>42915</c:v>
                </c:pt>
                <c:pt idx="82">
                  <c:v>42916</c:v>
                </c:pt>
                <c:pt idx="83">
                  <c:v>42919</c:v>
                </c:pt>
                <c:pt idx="84">
                  <c:v>42920</c:v>
                </c:pt>
                <c:pt idx="85">
                  <c:v>42921</c:v>
                </c:pt>
                <c:pt idx="86">
                  <c:v>42922</c:v>
                </c:pt>
                <c:pt idx="87">
                  <c:v>42923</c:v>
                </c:pt>
                <c:pt idx="88">
                  <c:v>42926</c:v>
                </c:pt>
                <c:pt idx="89">
                  <c:v>42927</c:v>
                </c:pt>
                <c:pt idx="90">
                  <c:v>42928</c:v>
                </c:pt>
                <c:pt idx="91">
                  <c:v>42929</c:v>
                </c:pt>
                <c:pt idx="92">
                  <c:v>42930</c:v>
                </c:pt>
                <c:pt idx="93">
                  <c:v>42933</c:v>
                </c:pt>
                <c:pt idx="94">
                  <c:v>42934</c:v>
                </c:pt>
                <c:pt idx="95">
                  <c:v>42935</c:v>
                </c:pt>
                <c:pt idx="96">
                  <c:v>42936</c:v>
                </c:pt>
                <c:pt idx="97">
                  <c:v>42937</c:v>
                </c:pt>
                <c:pt idx="98">
                  <c:v>42940</c:v>
                </c:pt>
                <c:pt idx="99">
                  <c:v>42941</c:v>
                </c:pt>
                <c:pt idx="100">
                  <c:v>42942</c:v>
                </c:pt>
                <c:pt idx="101">
                  <c:v>42943</c:v>
                </c:pt>
                <c:pt idx="102">
                  <c:v>42944</c:v>
                </c:pt>
                <c:pt idx="103">
                  <c:v>42947</c:v>
                </c:pt>
                <c:pt idx="104">
                  <c:v>42948</c:v>
                </c:pt>
                <c:pt idx="105">
                  <c:v>42949</c:v>
                </c:pt>
                <c:pt idx="106">
                  <c:v>42950</c:v>
                </c:pt>
                <c:pt idx="107">
                  <c:v>42951</c:v>
                </c:pt>
                <c:pt idx="108">
                  <c:v>42954</c:v>
                </c:pt>
                <c:pt idx="109">
                  <c:v>42955</c:v>
                </c:pt>
                <c:pt idx="110">
                  <c:v>42956</c:v>
                </c:pt>
                <c:pt idx="111">
                  <c:v>42957</c:v>
                </c:pt>
                <c:pt idx="112">
                  <c:v>42958</c:v>
                </c:pt>
                <c:pt idx="113">
                  <c:v>42961</c:v>
                </c:pt>
                <c:pt idx="114">
                  <c:v>42962</c:v>
                </c:pt>
                <c:pt idx="115">
                  <c:v>42963</c:v>
                </c:pt>
                <c:pt idx="116">
                  <c:v>42964</c:v>
                </c:pt>
                <c:pt idx="117">
                  <c:v>42965</c:v>
                </c:pt>
                <c:pt idx="118">
                  <c:v>42968</c:v>
                </c:pt>
                <c:pt idx="119">
                  <c:v>42969</c:v>
                </c:pt>
                <c:pt idx="120">
                  <c:v>42970</c:v>
                </c:pt>
                <c:pt idx="121">
                  <c:v>42971</c:v>
                </c:pt>
                <c:pt idx="122">
                  <c:v>42972</c:v>
                </c:pt>
                <c:pt idx="123">
                  <c:v>42975</c:v>
                </c:pt>
                <c:pt idx="124">
                  <c:v>42976</c:v>
                </c:pt>
                <c:pt idx="125">
                  <c:v>42977</c:v>
                </c:pt>
                <c:pt idx="126">
                  <c:v>42978</c:v>
                </c:pt>
                <c:pt idx="127">
                  <c:v>42979</c:v>
                </c:pt>
                <c:pt idx="128">
                  <c:v>42982</c:v>
                </c:pt>
                <c:pt idx="129">
                  <c:v>42983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1.1527496835053426E-3</c:v>
                </c:pt>
                <c:pt idx="1">
                  <c:v>1.1527496835053426E-3</c:v>
                </c:pt>
                <c:pt idx="2">
                  <c:v>1.1527496835053426E-3</c:v>
                </c:pt>
                <c:pt idx="3">
                  <c:v>1.1527496835053426E-3</c:v>
                </c:pt>
                <c:pt idx="4">
                  <c:v>1.1527496835053426E-3</c:v>
                </c:pt>
                <c:pt idx="5">
                  <c:v>1.1527496835053426E-3</c:v>
                </c:pt>
                <c:pt idx="6">
                  <c:v>1.1527496835053426E-3</c:v>
                </c:pt>
                <c:pt idx="7">
                  <c:v>1.1527496835053426E-3</c:v>
                </c:pt>
                <c:pt idx="8">
                  <c:v>1.1527496835053426E-3</c:v>
                </c:pt>
                <c:pt idx="9">
                  <c:v>1.1527496835053426E-3</c:v>
                </c:pt>
                <c:pt idx="10">
                  <c:v>1.1527496835053426E-3</c:v>
                </c:pt>
                <c:pt idx="11">
                  <c:v>1.1527496835053426E-3</c:v>
                </c:pt>
                <c:pt idx="12">
                  <c:v>1.1527496835053426E-3</c:v>
                </c:pt>
                <c:pt idx="13">
                  <c:v>1.1527496835053426E-3</c:v>
                </c:pt>
                <c:pt idx="14">
                  <c:v>1.1527496835053426E-3</c:v>
                </c:pt>
                <c:pt idx="15">
                  <c:v>1.1527496835053426E-3</c:v>
                </c:pt>
                <c:pt idx="16">
                  <c:v>1.1527496835053426E-3</c:v>
                </c:pt>
                <c:pt idx="17">
                  <c:v>1.1527496835053426E-3</c:v>
                </c:pt>
                <c:pt idx="18">
                  <c:v>1.1527496835053426E-3</c:v>
                </c:pt>
                <c:pt idx="19">
                  <c:v>1.1527496835053426E-3</c:v>
                </c:pt>
                <c:pt idx="20">
                  <c:v>1.1527496835053426E-3</c:v>
                </c:pt>
                <c:pt idx="21">
                  <c:v>1.1527496835053426E-3</c:v>
                </c:pt>
                <c:pt idx="22">
                  <c:v>1.1527496835053426E-3</c:v>
                </c:pt>
                <c:pt idx="23">
                  <c:v>1.1527496835053426E-3</c:v>
                </c:pt>
                <c:pt idx="24">
                  <c:v>1.1527496835053426E-3</c:v>
                </c:pt>
                <c:pt idx="25">
                  <c:v>1.1527496835053426E-3</c:v>
                </c:pt>
                <c:pt idx="26">
                  <c:v>1.1527496835053426E-3</c:v>
                </c:pt>
                <c:pt idx="27">
                  <c:v>1.1527496835053426E-3</c:v>
                </c:pt>
                <c:pt idx="28">
                  <c:v>1.1527496835053426E-3</c:v>
                </c:pt>
                <c:pt idx="29">
                  <c:v>1.1527496835053426E-3</c:v>
                </c:pt>
                <c:pt idx="30">
                  <c:v>1.1527496835053426E-3</c:v>
                </c:pt>
                <c:pt idx="31">
                  <c:v>1.1527496835053426E-3</c:v>
                </c:pt>
                <c:pt idx="32">
                  <c:v>1.1527496835053426E-3</c:v>
                </c:pt>
                <c:pt idx="33">
                  <c:v>1.1527496835053426E-3</c:v>
                </c:pt>
                <c:pt idx="34">
                  <c:v>1.1527496835053426E-3</c:v>
                </c:pt>
                <c:pt idx="35">
                  <c:v>1.1527496835053426E-3</c:v>
                </c:pt>
                <c:pt idx="36">
                  <c:v>1.1527496835053426E-3</c:v>
                </c:pt>
                <c:pt idx="37">
                  <c:v>1.1527496835053426E-3</c:v>
                </c:pt>
                <c:pt idx="38">
                  <c:v>1.1527496835053426E-3</c:v>
                </c:pt>
                <c:pt idx="39">
                  <c:v>1.1527496835053426E-3</c:v>
                </c:pt>
                <c:pt idx="40">
                  <c:v>1.1527496835053426E-3</c:v>
                </c:pt>
                <c:pt idx="41">
                  <c:v>1.1527496835053426E-3</c:v>
                </c:pt>
                <c:pt idx="42">
                  <c:v>1.1527496835053426E-3</c:v>
                </c:pt>
                <c:pt idx="43">
                  <c:v>1.1527496835053426E-3</c:v>
                </c:pt>
                <c:pt idx="44">
                  <c:v>1.1527496835053426E-3</c:v>
                </c:pt>
                <c:pt idx="45">
                  <c:v>1.1527496835053426E-3</c:v>
                </c:pt>
                <c:pt idx="46">
                  <c:v>1.1527496835053426E-3</c:v>
                </c:pt>
                <c:pt idx="47">
                  <c:v>1.1527496835053426E-3</c:v>
                </c:pt>
                <c:pt idx="48">
                  <c:v>1.1527496835053426E-3</c:v>
                </c:pt>
                <c:pt idx="49">
                  <c:v>1.1527496835053426E-3</c:v>
                </c:pt>
                <c:pt idx="50">
                  <c:v>1.1527496835053426E-3</c:v>
                </c:pt>
                <c:pt idx="51">
                  <c:v>1.1527496835053426E-3</c:v>
                </c:pt>
                <c:pt idx="52">
                  <c:v>1.1527496835053426E-3</c:v>
                </c:pt>
                <c:pt idx="53">
                  <c:v>1.1527496835053426E-3</c:v>
                </c:pt>
                <c:pt idx="54">
                  <c:v>1.1527496835053426E-3</c:v>
                </c:pt>
                <c:pt idx="55">
                  <c:v>1.1527496835053426E-3</c:v>
                </c:pt>
                <c:pt idx="56">
                  <c:v>1.1527496835053426E-3</c:v>
                </c:pt>
                <c:pt idx="57">
                  <c:v>1.1527496835053426E-3</c:v>
                </c:pt>
                <c:pt idx="58">
                  <c:v>1.1527496835053426E-3</c:v>
                </c:pt>
                <c:pt idx="59">
                  <c:v>1.1527496835053426E-3</c:v>
                </c:pt>
                <c:pt idx="60">
                  <c:v>1.1527496835053426E-3</c:v>
                </c:pt>
                <c:pt idx="61">
                  <c:v>1.1527496835053426E-3</c:v>
                </c:pt>
                <c:pt idx="62">
                  <c:v>1.1527496835053426E-3</c:v>
                </c:pt>
                <c:pt idx="63">
                  <c:v>1.1527496835053426E-3</c:v>
                </c:pt>
                <c:pt idx="64">
                  <c:v>1.1527496835053426E-3</c:v>
                </c:pt>
                <c:pt idx="65">
                  <c:v>1.1527496835053426E-3</c:v>
                </c:pt>
                <c:pt idx="66">
                  <c:v>1.1527496835053426E-3</c:v>
                </c:pt>
                <c:pt idx="67">
                  <c:v>1.1527496835053426E-3</c:v>
                </c:pt>
                <c:pt idx="68">
                  <c:v>1.1527496835053426E-3</c:v>
                </c:pt>
                <c:pt idx="69">
                  <c:v>1.1527496835053426E-3</c:v>
                </c:pt>
                <c:pt idx="70">
                  <c:v>1.1527496835053426E-3</c:v>
                </c:pt>
                <c:pt idx="71">
                  <c:v>1.1527496835053426E-3</c:v>
                </c:pt>
                <c:pt idx="72">
                  <c:v>1.1527496835053426E-3</c:v>
                </c:pt>
                <c:pt idx="73">
                  <c:v>1.1527496835053426E-3</c:v>
                </c:pt>
                <c:pt idx="74">
                  <c:v>1.1527496835053426E-3</c:v>
                </c:pt>
                <c:pt idx="75">
                  <c:v>1.1527496835053426E-3</c:v>
                </c:pt>
                <c:pt idx="76">
                  <c:v>1.1527496835053426E-3</c:v>
                </c:pt>
                <c:pt idx="77">
                  <c:v>1.1527496835053426E-3</c:v>
                </c:pt>
                <c:pt idx="78">
                  <c:v>1.1527496835053426E-3</c:v>
                </c:pt>
                <c:pt idx="79">
                  <c:v>1.1527496835053426E-3</c:v>
                </c:pt>
                <c:pt idx="80">
                  <c:v>1.1527496835053426E-3</c:v>
                </c:pt>
                <c:pt idx="81">
                  <c:v>1.1527496835053426E-3</c:v>
                </c:pt>
                <c:pt idx="82">
                  <c:v>1.1527496835053426E-3</c:v>
                </c:pt>
                <c:pt idx="83">
                  <c:v>1.1527496835053426E-3</c:v>
                </c:pt>
                <c:pt idx="84">
                  <c:v>1.1527496835053426E-3</c:v>
                </c:pt>
                <c:pt idx="85">
                  <c:v>1.1527496835053426E-3</c:v>
                </c:pt>
                <c:pt idx="86">
                  <c:v>1.1527496835053426E-3</c:v>
                </c:pt>
                <c:pt idx="87">
                  <c:v>1.1527496835053426E-3</c:v>
                </c:pt>
                <c:pt idx="88">
                  <c:v>1.1527496835053426E-3</c:v>
                </c:pt>
                <c:pt idx="89">
                  <c:v>1.1527496835053426E-3</c:v>
                </c:pt>
                <c:pt idx="90">
                  <c:v>1.1527496835053426E-3</c:v>
                </c:pt>
                <c:pt idx="91">
                  <c:v>1.1527496835053426E-3</c:v>
                </c:pt>
                <c:pt idx="92">
                  <c:v>1.1527496835053426E-3</c:v>
                </c:pt>
                <c:pt idx="93">
                  <c:v>1.1527496835053426E-3</c:v>
                </c:pt>
                <c:pt idx="94">
                  <c:v>1.1527496835053426E-3</c:v>
                </c:pt>
                <c:pt idx="95">
                  <c:v>1.1527496835053426E-3</c:v>
                </c:pt>
                <c:pt idx="96">
                  <c:v>1.1527496835053426E-3</c:v>
                </c:pt>
                <c:pt idx="97">
                  <c:v>1.1527496835053426E-3</c:v>
                </c:pt>
                <c:pt idx="98">
                  <c:v>1.1527496835053426E-3</c:v>
                </c:pt>
                <c:pt idx="99">
                  <c:v>1.1527496835053426E-3</c:v>
                </c:pt>
                <c:pt idx="100">
                  <c:v>1.1527496835053426E-3</c:v>
                </c:pt>
                <c:pt idx="101">
                  <c:v>1.1527496835053426E-3</c:v>
                </c:pt>
                <c:pt idx="102">
                  <c:v>1.1527496835053426E-3</c:v>
                </c:pt>
                <c:pt idx="103">
                  <c:v>1.1527496835053426E-3</c:v>
                </c:pt>
                <c:pt idx="104">
                  <c:v>1.1527496835053426E-3</c:v>
                </c:pt>
                <c:pt idx="105">
                  <c:v>1.1527496835053426E-3</c:v>
                </c:pt>
                <c:pt idx="106">
                  <c:v>1.1527496835053426E-3</c:v>
                </c:pt>
                <c:pt idx="107">
                  <c:v>1.1527496835053426E-3</c:v>
                </c:pt>
                <c:pt idx="108">
                  <c:v>1.1527496835053426E-3</c:v>
                </c:pt>
                <c:pt idx="109">
                  <c:v>1.1527496835053426E-3</c:v>
                </c:pt>
                <c:pt idx="110">
                  <c:v>1.1527496835053426E-3</c:v>
                </c:pt>
                <c:pt idx="111">
                  <c:v>1.1527496835053426E-3</c:v>
                </c:pt>
                <c:pt idx="112">
                  <c:v>1.1527496835053426E-3</c:v>
                </c:pt>
                <c:pt idx="113">
                  <c:v>1.1527496835053426E-3</c:v>
                </c:pt>
                <c:pt idx="114">
                  <c:v>1.1527496835053426E-3</c:v>
                </c:pt>
                <c:pt idx="115">
                  <c:v>1.1527496835053426E-3</c:v>
                </c:pt>
                <c:pt idx="116">
                  <c:v>1.1527496835053426E-3</c:v>
                </c:pt>
                <c:pt idx="117">
                  <c:v>1.1527496835053426E-3</c:v>
                </c:pt>
                <c:pt idx="118">
                  <c:v>1.1527496835053426E-3</c:v>
                </c:pt>
                <c:pt idx="119">
                  <c:v>1.1527496835053426E-3</c:v>
                </c:pt>
                <c:pt idx="120">
                  <c:v>1.1527496835053426E-3</c:v>
                </c:pt>
                <c:pt idx="121">
                  <c:v>1.1527496835053426E-3</c:v>
                </c:pt>
                <c:pt idx="122">
                  <c:v>1.1527496835053426E-3</c:v>
                </c:pt>
                <c:pt idx="123">
                  <c:v>1.1527496835053426E-3</c:v>
                </c:pt>
                <c:pt idx="124">
                  <c:v>1.1527496835053426E-3</c:v>
                </c:pt>
                <c:pt idx="125">
                  <c:v>1.1527496835053426E-3</c:v>
                </c:pt>
                <c:pt idx="126">
                  <c:v>1.1527496835053426E-3</c:v>
                </c:pt>
                <c:pt idx="127">
                  <c:v>1.1527496835053426E-3</c:v>
                </c:pt>
                <c:pt idx="128">
                  <c:v>1.1527496835053426E-3</c:v>
                </c:pt>
                <c:pt idx="129">
                  <c:v>1.1527496835053426E-3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'6MSynthDepo'!$AJ$2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'6MSynthDepo'!$AG$3:$AG$132</c:f>
              <c:numCache>
                <c:formatCode>ddd\,\ dd\-mmm\-yyyy</c:formatCode>
                <c:ptCount val="130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  <c:pt idx="24">
                  <c:v>42831</c:v>
                </c:pt>
                <c:pt idx="25">
                  <c:v>42832</c:v>
                </c:pt>
                <c:pt idx="26">
                  <c:v>42835</c:v>
                </c:pt>
                <c:pt idx="27">
                  <c:v>42836</c:v>
                </c:pt>
                <c:pt idx="28">
                  <c:v>42837</c:v>
                </c:pt>
                <c:pt idx="29">
                  <c:v>42838</c:v>
                </c:pt>
                <c:pt idx="30">
                  <c:v>42843</c:v>
                </c:pt>
                <c:pt idx="31">
                  <c:v>42844</c:v>
                </c:pt>
                <c:pt idx="32">
                  <c:v>42845</c:v>
                </c:pt>
                <c:pt idx="33">
                  <c:v>42846</c:v>
                </c:pt>
                <c:pt idx="34">
                  <c:v>42849</c:v>
                </c:pt>
                <c:pt idx="35">
                  <c:v>42850</c:v>
                </c:pt>
                <c:pt idx="36">
                  <c:v>42851</c:v>
                </c:pt>
                <c:pt idx="37">
                  <c:v>42852</c:v>
                </c:pt>
                <c:pt idx="38">
                  <c:v>42853</c:v>
                </c:pt>
                <c:pt idx="39">
                  <c:v>42857</c:v>
                </c:pt>
                <c:pt idx="40">
                  <c:v>42858</c:v>
                </c:pt>
                <c:pt idx="41">
                  <c:v>42859</c:v>
                </c:pt>
                <c:pt idx="42">
                  <c:v>42860</c:v>
                </c:pt>
                <c:pt idx="43">
                  <c:v>42863</c:v>
                </c:pt>
                <c:pt idx="44">
                  <c:v>42864</c:v>
                </c:pt>
                <c:pt idx="45">
                  <c:v>42865</c:v>
                </c:pt>
                <c:pt idx="46">
                  <c:v>42866</c:v>
                </c:pt>
                <c:pt idx="47">
                  <c:v>42867</c:v>
                </c:pt>
                <c:pt idx="48">
                  <c:v>42870</c:v>
                </c:pt>
                <c:pt idx="49">
                  <c:v>42871</c:v>
                </c:pt>
                <c:pt idx="50">
                  <c:v>42872</c:v>
                </c:pt>
                <c:pt idx="51">
                  <c:v>42873</c:v>
                </c:pt>
                <c:pt idx="52">
                  <c:v>42874</c:v>
                </c:pt>
                <c:pt idx="53">
                  <c:v>42877</c:v>
                </c:pt>
                <c:pt idx="54">
                  <c:v>42878</c:v>
                </c:pt>
                <c:pt idx="55">
                  <c:v>42879</c:v>
                </c:pt>
                <c:pt idx="56">
                  <c:v>42880</c:v>
                </c:pt>
                <c:pt idx="57">
                  <c:v>42881</c:v>
                </c:pt>
                <c:pt idx="58">
                  <c:v>42884</c:v>
                </c:pt>
                <c:pt idx="59">
                  <c:v>42885</c:v>
                </c:pt>
                <c:pt idx="60">
                  <c:v>42886</c:v>
                </c:pt>
                <c:pt idx="61">
                  <c:v>42887</c:v>
                </c:pt>
                <c:pt idx="62">
                  <c:v>42888</c:v>
                </c:pt>
                <c:pt idx="63">
                  <c:v>42891</c:v>
                </c:pt>
                <c:pt idx="64">
                  <c:v>42892</c:v>
                </c:pt>
                <c:pt idx="65">
                  <c:v>42893</c:v>
                </c:pt>
                <c:pt idx="66">
                  <c:v>42894</c:v>
                </c:pt>
                <c:pt idx="67">
                  <c:v>42895</c:v>
                </c:pt>
                <c:pt idx="68">
                  <c:v>42898</c:v>
                </c:pt>
                <c:pt idx="69">
                  <c:v>42899</c:v>
                </c:pt>
                <c:pt idx="70">
                  <c:v>42900</c:v>
                </c:pt>
                <c:pt idx="71">
                  <c:v>42901</c:v>
                </c:pt>
                <c:pt idx="72">
                  <c:v>42902</c:v>
                </c:pt>
                <c:pt idx="73">
                  <c:v>42905</c:v>
                </c:pt>
                <c:pt idx="74">
                  <c:v>42906</c:v>
                </c:pt>
                <c:pt idx="75">
                  <c:v>42907</c:v>
                </c:pt>
                <c:pt idx="76">
                  <c:v>42908</c:v>
                </c:pt>
                <c:pt idx="77">
                  <c:v>42909</c:v>
                </c:pt>
                <c:pt idx="78">
                  <c:v>42912</c:v>
                </c:pt>
                <c:pt idx="79">
                  <c:v>42913</c:v>
                </c:pt>
                <c:pt idx="80">
                  <c:v>42914</c:v>
                </c:pt>
                <c:pt idx="81">
                  <c:v>42915</c:v>
                </c:pt>
                <c:pt idx="82">
                  <c:v>42916</c:v>
                </c:pt>
                <c:pt idx="83">
                  <c:v>42919</c:v>
                </c:pt>
                <c:pt idx="84">
                  <c:v>42920</c:v>
                </c:pt>
                <c:pt idx="85">
                  <c:v>42921</c:v>
                </c:pt>
                <c:pt idx="86">
                  <c:v>42922</c:v>
                </c:pt>
                <c:pt idx="87">
                  <c:v>42923</c:v>
                </c:pt>
                <c:pt idx="88">
                  <c:v>42926</c:v>
                </c:pt>
                <c:pt idx="89">
                  <c:v>42927</c:v>
                </c:pt>
                <c:pt idx="90">
                  <c:v>42928</c:v>
                </c:pt>
                <c:pt idx="91">
                  <c:v>42929</c:v>
                </c:pt>
                <c:pt idx="92">
                  <c:v>42930</c:v>
                </c:pt>
                <c:pt idx="93">
                  <c:v>42933</c:v>
                </c:pt>
                <c:pt idx="94">
                  <c:v>42934</c:v>
                </c:pt>
                <c:pt idx="95">
                  <c:v>42935</c:v>
                </c:pt>
                <c:pt idx="96">
                  <c:v>42936</c:v>
                </c:pt>
                <c:pt idx="97">
                  <c:v>42937</c:v>
                </c:pt>
                <c:pt idx="98">
                  <c:v>42940</c:v>
                </c:pt>
                <c:pt idx="99">
                  <c:v>42941</c:v>
                </c:pt>
                <c:pt idx="100">
                  <c:v>42942</c:v>
                </c:pt>
                <c:pt idx="101">
                  <c:v>42943</c:v>
                </c:pt>
                <c:pt idx="102">
                  <c:v>42944</c:v>
                </c:pt>
                <c:pt idx="103">
                  <c:v>42947</c:v>
                </c:pt>
                <c:pt idx="104">
                  <c:v>42948</c:v>
                </c:pt>
                <c:pt idx="105">
                  <c:v>42949</c:v>
                </c:pt>
                <c:pt idx="106">
                  <c:v>42950</c:v>
                </c:pt>
                <c:pt idx="107">
                  <c:v>42951</c:v>
                </c:pt>
                <c:pt idx="108">
                  <c:v>42954</c:v>
                </c:pt>
                <c:pt idx="109">
                  <c:v>42955</c:v>
                </c:pt>
                <c:pt idx="110">
                  <c:v>42956</c:v>
                </c:pt>
                <c:pt idx="111">
                  <c:v>42957</c:v>
                </c:pt>
                <c:pt idx="112">
                  <c:v>42958</c:v>
                </c:pt>
                <c:pt idx="113">
                  <c:v>42961</c:v>
                </c:pt>
                <c:pt idx="114">
                  <c:v>42962</c:v>
                </c:pt>
                <c:pt idx="115">
                  <c:v>42963</c:v>
                </c:pt>
                <c:pt idx="116">
                  <c:v>42964</c:v>
                </c:pt>
                <c:pt idx="117">
                  <c:v>42965</c:v>
                </c:pt>
                <c:pt idx="118">
                  <c:v>42968</c:v>
                </c:pt>
                <c:pt idx="119">
                  <c:v>42969</c:v>
                </c:pt>
                <c:pt idx="120">
                  <c:v>42970</c:v>
                </c:pt>
                <c:pt idx="121">
                  <c:v>42971</c:v>
                </c:pt>
                <c:pt idx="122">
                  <c:v>42972</c:v>
                </c:pt>
                <c:pt idx="123">
                  <c:v>42975</c:v>
                </c:pt>
                <c:pt idx="124">
                  <c:v>42976</c:v>
                </c:pt>
                <c:pt idx="125">
                  <c:v>42977</c:v>
                </c:pt>
                <c:pt idx="126">
                  <c:v>42978</c:v>
                </c:pt>
                <c:pt idx="127">
                  <c:v>42979</c:v>
                </c:pt>
                <c:pt idx="128">
                  <c:v>42982</c:v>
                </c:pt>
                <c:pt idx="129">
                  <c:v>42983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9.1101949516902547E-4</c:v>
                </c:pt>
                <c:pt idx="1">
                  <c:v>9.1885939316912221E-4</c:v>
                </c:pt>
                <c:pt idx="2">
                  <c:v>9.2147269250248787E-4</c:v>
                </c:pt>
                <c:pt idx="3">
                  <c:v>9.2408599183585341E-4</c:v>
                </c:pt>
                <c:pt idx="4">
                  <c:v>9.2669929116921896E-4</c:v>
                </c:pt>
                <c:pt idx="5">
                  <c:v>9.2931259050258461E-4</c:v>
                </c:pt>
                <c:pt idx="6">
                  <c:v>9.3715248850268136E-4</c:v>
                </c:pt>
                <c:pt idx="7">
                  <c:v>9.397657878360469E-4</c:v>
                </c:pt>
                <c:pt idx="8">
                  <c:v>9.4237908716941245E-4</c:v>
                </c:pt>
                <c:pt idx="9">
                  <c:v>9.449923865027781E-4</c:v>
                </c:pt>
                <c:pt idx="10">
                  <c:v>9.4760568583614365E-4</c:v>
                </c:pt>
                <c:pt idx="11">
                  <c:v>9.5544558383624039E-4</c:v>
                </c:pt>
                <c:pt idx="12">
                  <c:v>9.5805888316960605E-4</c:v>
                </c:pt>
                <c:pt idx="13">
                  <c:v>9.6067218250297159E-4</c:v>
                </c:pt>
                <c:pt idx="14">
                  <c:v>9.6328548183633724E-4</c:v>
                </c:pt>
                <c:pt idx="15">
                  <c:v>9.6589878116970279E-4</c:v>
                </c:pt>
                <c:pt idx="16">
                  <c:v>9.7373867916979954E-4</c:v>
                </c:pt>
                <c:pt idx="17">
                  <c:v>9.7635197850316508E-4</c:v>
                </c:pt>
                <c:pt idx="18">
                  <c:v>9.7896527783653074E-4</c:v>
                </c:pt>
                <c:pt idx="19">
                  <c:v>9.8157857716989639E-4</c:v>
                </c:pt>
                <c:pt idx="20">
                  <c:v>9.8419187650326183E-4</c:v>
                </c:pt>
                <c:pt idx="21">
                  <c:v>9.9203177450335857E-4</c:v>
                </c:pt>
                <c:pt idx="22">
                  <c:v>9.9464507383672423E-4</c:v>
                </c:pt>
                <c:pt idx="23">
                  <c:v>9.9725837317008988E-4</c:v>
                </c:pt>
                <c:pt idx="24">
                  <c:v>9.9987167250345532E-4</c:v>
                </c:pt>
                <c:pt idx="25">
                  <c:v>1.002484971836821E-3</c:v>
                </c:pt>
                <c:pt idx="26">
                  <c:v>1.0103248698369177E-3</c:v>
                </c:pt>
                <c:pt idx="27">
                  <c:v>1.0129381691702834E-3</c:v>
                </c:pt>
                <c:pt idx="28">
                  <c:v>1.015551468503649E-3</c:v>
                </c:pt>
                <c:pt idx="29">
                  <c:v>1.0181647678370145E-3</c:v>
                </c:pt>
                <c:pt idx="30">
                  <c:v>1.0312312645038425E-3</c:v>
                </c:pt>
                <c:pt idx="31">
                  <c:v>1.033844563837208E-3</c:v>
                </c:pt>
                <c:pt idx="32">
                  <c:v>1.0364578631705736E-3</c:v>
                </c:pt>
                <c:pt idx="33">
                  <c:v>1.0390711625039393E-3</c:v>
                </c:pt>
                <c:pt idx="34">
                  <c:v>1.046911060504036E-3</c:v>
                </c:pt>
                <c:pt idx="35">
                  <c:v>1.0495243598374017E-3</c:v>
                </c:pt>
                <c:pt idx="36">
                  <c:v>1.0521376591707671E-3</c:v>
                </c:pt>
                <c:pt idx="37">
                  <c:v>1.0547509585041328E-3</c:v>
                </c:pt>
                <c:pt idx="38">
                  <c:v>1.0573642578374984E-3</c:v>
                </c:pt>
                <c:pt idx="39">
                  <c:v>1.0678174551709606E-3</c:v>
                </c:pt>
                <c:pt idx="40">
                  <c:v>1.0704307545043262E-3</c:v>
                </c:pt>
                <c:pt idx="41">
                  <c:v>1.0730440538376919E-3</c:v>
                </c:pt>
                <c:pt idx="42">
                  <c:v>1.0756573531710573E-3</c:v>
                </c:pt>
                <c:pt idx="43">
                  <c:v>1.0834972511711541E-3</c:v>
                </c:pt>
                <c:pt idx="44">
                  <c:v>1.0861105505045197E-3</c:v>
                </c:pt>
                <c:pt idx="45">
                  <c:v>1.0887238498378854E-3</c:v>
                </c:pt>
                <c:pt idx="46">
                  <c:v>1.091337149171251E-3</c:v>
                </c:pt>
                <c:pt idx="47">
                  <c:v>1.0939504485046165E-3</c:v>
                </c:pt>
                <c:pt idx="48">
                  <c:v>1.1017903465047132E-3</c:v>
                </c:pt>
                <c:pt idx="49">
                  <c:v>1.1044036458380789E-3</c:v>
                </c:pt>
                <c:pt idx="50">
                  <c:v>1.1070169451714445E-3</c:v>
                </c:pt>
                <c:pt idx="51">
                  <c:v>1.10963024450481E-3</c:v>
                </c:pt>
                <c:pt idx="52">
                  <c:v>1.1122435438381756E-3</c:v>
                </c:pt>
                <c:pt idx="53">
                  <c:v>1.1200834418382724E-3</c:v>
                </c:pt>
                <c:pt idx="54">
                  <c:v>1.122696741171638E-3</c:v>
                </c:pt>
                <c:pt idx="55">
                  <c:v>1.1253100405050035E-3</c:v>
                </c:pt>
                <c:pt idx="56">
                  <c:v>1.1279233398383691E-3</c:v>
                </c:pt>
                <c:pt idx="57">
                  <c:v>1.1305366391717348E-3</c:v>
                </c:pt>
                <c:pt idx="58">
                  <c:v>1.1383765371718315E-3</c:v>
                </c:pt>
                <c:pt idx="59">
                  <c:v>1.1409898365051972E-3</c:v>
                </c:pt>
                <c:pt idx="60">
                  <c:v>1.1436031358385626E-3</c:v>
                </c:pt>
                <c:pt idx="61">
                  <c:v>1.1462164351719283E-3</c:v>
                </c:pt>
                <c:pt idx="62">
                  <c:v>1.1488297345052939E-3</c:v>
                </c:pt>
                <c:pt idx="63">
                  <c:v>1.1566696325053907E-3</c:v>
                </c:pt>
                <c:pt idx="64">
                  <c:v>1.1592829318387561E-3</c:v>
                </c:pt>
                <c:pt idx="65">
                  <c:v>1.1618962311721217E-3</c:v>
                </c:pt>
                <c:pt idx="66">
                  <c:v>1.1645095305054874E-3</c:v>
                </c:pt>
                <c:pt idx="67">
                  <c:v>1.1671228298388531E-3</c:v>
                </c:pt>
                <c:pt idx="68">
                  <c:v>1.1749627278389496E-3</c:v>
                </c:pt>
                <c:pt idx="69">
                  <c:v>1.1775760271723152E-3</c:v>
                </c:pt>
                <c:pt idx="70">
                  <c:v>1.1801893265056809E-3</c:v>
                </c:pt>
                <c:pt idx="71">
                  <c:v>1.1828026258390465E-3</c:v>
                </c:pt>
                <c:pt idx="72">
                  <c:v>1.1854159251724122E-3</c:v>
                </c:pt>
                <c:pt idx="73">
                  <c:v>1.1932558231725087E-3</c:v>
                </c:pt>
                <c:pt idx="74">
                  <c:v>1.1958691225058744E-3</c:v>
                </c:pt>
                <c:pt idx="75">
                  <c:v>1.19848242183924E-3</c:v>
                </c:pt>
                <c:pt idx="76">
                  <c:v>1.2010957211726057E-3</c:v>
                </c:pt>
                <c:pt idx="77">
                  <c:v>1.2037090205059711E-3</c:v>
                </c:pt>
                <c:pt idx="78">
                  <c:v>1.2115489185060679E-3</c:v>
                </c:pt>
                <c:pt idx="79">
                  <c:v>1.2141622178394335E-3</c:v>
                </c:pt>
                <c:pt idx="80">
                  <c:v>1.2167755171727992E-3</c:v>
                </c:pt>
                <c:pt idx="81">
                  <c:v>1.2193888165061646E-3</c:v>
                </c:pt>
                <c:pt idx="82">
                  <c:v>1.2220021158395303E-3</c:v>
                </c:pt>
                <c:pt idx="83">
                  <c:v>1.229842013839627E-3</c:v>
                </c:pt>
                <c:pt idx="84">
                  <c:v>1.2324553131729927E-3</c:v>
                </c:pt>
                <c:pt idx="85">
                  <c:v>1.2350686125063583E-3</c:v>
                </c:pt>
                <c:pt idx="86">
                  <c:v>1.2376819118397238E-3</c:v>
                </c:pt>
                <c:pt idx="87">
                  <c:v>1.2402952111730894E-3</c:v>
                </c:pt>
                <c:pt idx="88">
                  <c:v>1.2481351091731862E-3</c:v>
                </c:pt>
                <c:pt idx="89">
                  <c:v>1.2507484085065518E-3</c:v>
                </c:pt>
                <c:pt idx="90">
                  <c:v>1.2533617078399173E-3</c:v>
                </c:pt>
                <c:pt idx="91">
                  <c:v>1.2559750071732829E-3</c:v>
                </c:pt>
                <c:pt idx="92">
                  <c:v>1.2585883065066486E-3</c:v>
                </c:pt>
                <c:pt idx="93">
                  <c:v>1.2664282045067453E-3</c:v>
                </c:pt>
                <c:pt idx="94">
                  <c:v>1.2690415038401107E-3</c:v>
                </c:pt>
                <c:pt idx="95">
                  <c:v>1.2716548031734764E-3</c:v>
                </c:pt>
                <c:pt idx="96">
                  <c:v>1.274268102506842E-3</c:v>
                </c:pt>
                <c:pt idx="97">
                  <c:v>1.2768814018402075E-3</c:v>
                </c:pt>
                <c:pt idx="98">
                  <c:v>1.2847212998403044E-3</c:v>
                </c:pt>
                <c:pt idx="99">
                  <c:v>1.2873345991736699E-3</c:v>
                </c:pt>
                <c:pt idx="100">
                  <c:v>1.2899478985070355E-3</c:v>
                </c:pt>
                <c:pt idx="101">
                  <c:v>1.292561197840401E-3</c:v>
                </c:pt>
                <c:pt idx="102">
                  <c:v>1.2951744971737666E-3</c:v>
                </c:pt>
                <c:pt idx="103">
                  <c:v>1.3030143951738636E-3</c:v>
                </c:pt>
                <c:pt idx="104">
                  <c:v>1.305627694507229E-3</c:v>
                </c:pt>
                <c:pt idx="105">
                  <c:v>1.3082409938405947E-3</c:v>
                </c:pt>
                <c:pt idx="106">
                  <c:v>1.3108542931739601E-3</c:v>
                </c:pt>
                <c:pt idx="107">
                  <c:v>1.3134675925073258E-3</c:v>
                </c:pt>
                <c:pt idx="108">
                  <c:v>1.3213074905074225E-3</c:v>
                </c:pt>
                <c:pt idx="109">
                  <c:v>1.3239207898407882E-3</c:v>
                </c:pt>
                <c:pt idx="110">
                  <c:v>1.3265340891741536E-3</c:v>
                </c:pt>
                <c:pt idx="111">
                  <c:v>1.3291473885075193E-3</c:v>
                </c:pt>
                <c:pt idx="112">
                  <c:v>1.3317606878408849E-3</c:v>
                </c:pt>
                <c:pt idx="113">
                  <c:v>1.3396005858409817E-3</c:v>
                </c:pt>
                <c:pt idx="114">
                  <c:v>1.3422138851743471E-3</c:v>
                </c:pt>
                <c:pt idx="115">
                  <c:v>1.3448271845077128E-3</c:v>
                </c:pt>
                <c:pt idx="116">
                  <c:v>1.3474404838410784E-3</c:v>
                </c:pt>
                <c:pt idx="117">
                  <c:v>1.3500537831744441E-3</c:v>
                </c:pt>
                <c:pt idx="118">
                  <c:v>1.3578936811745408E-3</c:v>
                </c:pt>
                <c:pt idx="119">
                  <c:v>1.3605069805079062E-3</c:v>
                </c:pt>
                <c:pt idx="120">
                  <c:v>1.3631202798412719E-3</c:v>
                </c:pt>
                <c:pt idx="121">
                  <c:v>1.3657335791746376E-3</c:v>
                </c:pt>
                <c:pt idx="122">
                  <c:v>1.3683468785080032E-3</c:v>
                </c:pt>
                <c:pt idx="123">
                  <c:v>1.3761867765081E-3</c:v>
                </c:pt>
                <c:pt idx="124">
                  <c:v>1.3788000758414654E-3</c:v>
                </c:pt>
                <c:pt idx="125">
                  <c:v>1.381413375174831E-3</c:v>
                </c:pt>
                <c:pt idx="126">
                  <c:v>1.3840266745081967E-3</c:v>
                </c:pt>
                <c:pt idx="127">
                  <c:v>1.3866399738415621E-3</c:v>
                </c:pt>
                <c:pt idx="128">
                  <c:v>1.3944798718416589E-3</c:v>
                </c:pt>
                <c:pt idx="129">
                  <c:v>1.3970931711750245E-3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'6MSynthDepo'!$AK$2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'6MSynthDepo'!$AG$3:$AG$132</c:f>
              <c:numCache>
                <c:formatCode>ddd\,\ dd\-mmm\-yyyy</c:formatCode>
                <c:ptCount val="130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  <c:pt idx="24">
                  <c:v>42831</c:v>
                </c:pt>
                <c:pt idx="25">
                  <c:v>42832</c:v>
                </c:pt>
                <c:pt idx="26">
                  <c:v>42835</c:v>
                </c:pt>
                <c:pt idx="27">
                  <c:v>42836</c:v>
                </c:pt>
                <c:pt idx="28">
                  <c:v>42837</c:v>
                </c:pt>
                <c:pt idx="29">
                  <c:v>42838</c:v>
                </c:pt>
                <c:pt idx="30">
                  <c:v>42843</c:v>
                </c:pt>
                <c:pt idx="31">
                  <c:v>42844</c:v>
                </c:pt>
                <c:pt idx="32">
                  <c:v>42845</c:v>
                </c:pt>
                <c:pt idx="33">
                  <c:v>42846</c:v>
                </c:pt>
                <c:pt idx="34">
                  <c:v>42849</c:v>
                </c:pt>
                <c:pt idx="35">
                  <c:v>42850</c:v>
                </c:pt>
                <c:pt idx="36">
                  <c:v>42851</c:v>
                </c:pt>
                <c:pt idx="37">
                  <c:v>42852</c:v>
                </c:pt>
                <c:pt idx="38">
                  <c:v>42853</c:v>
                </c:pt>
                <c:pt idx="39">
                  <c:v>42857</c:v>
                </c:pt>
                <c:pt idx="40">
                  <c:v>42858</c:v>
                </c:pt>
                <c:pt idx="41">
                  <c:v>42859</c:v>
                </c:pt>
                <c:pt idx="42">
                  <c:v>42860</c:v>
                </c:pt>
                <c:pt idx="43">
                  <c:v>42863</c:v>
                </c:pt>
                <c:pt idx="44">
                  <c:v>42864</c:v>
                </c:pt>
                <c:pt idx="45">
                  <c:v>42865</c:v>
                </c:pt>
                <c:pt idx="46">
                  <c:v>42866</c:v>
                </c:pt>
                <c:pt idx="47">
                  <c:v>42867</c:v>
                </c:pt>
                <c:pt idx="48">
                  <c:v>42870</c:v>
                </c:pt>
                <c:pt idx="49">
                  <c:v>42871</c:v>
                </c:pt>
                <c:pt idx="50">
                  <c:v>42872</c:v>
                </c:pt>
                <c:pt idx="51">
                  <c:v>42873</c:v>
                </c:pt>
                <c:pt idx="52">
                  <c:v>42874</c:v>
                </c:pt>
                <c:pt idx="53">
                  <c:v>42877</c:v>
                </c:pt>
                <c:pt idx="54">
                  <c:v>42878</c:v>
                </c:pt>
                <c:pt idx="55">
                  <c:v>42879</c:v>
                </c:pt>
                <c:pt idx="56">
                  <c:v>42880</c:v>
                </c:pt>
                <c:pt idx="57">
                  <c:v>42881</c:v>
                </c:pt>
                <c:pt idx="58">
                  <c:v>42884</c:v>
                </c:pt>
                <c:pt idx="59">
                  <c:v>42885</c:v>
                </c:pt>
                <c:pt idx="60">
                  <c:v>42886</c:v>
                </c:pt>
                <c:pt idx="61">
                  <c:v>42887</c:v>
                </c:pt>
                <c:pt idx="62">
                  <c:v>42888</c:v>
                </c:pt>
                <c:pt idx="63">
                  <c:v>42891</c:v>
                </c:pt>
                <c:pt idx="64">
                  <c:v>42892</c:v>
                </c:pt>
                <c:pt idx="65">
                  <c:v>42893</c:v>
                </c:pt>
                <c:pt idx="66">
                  <c:v>42894</c:v>
                </c:pt>
                <c:pt idx="67">
                  <c:v>42895</c:v>
                </c:pt>
                <c:pt idx="68">
                  <c:v>42898</c:v>
                </c:pt>
                <c:pt idx="69">
                  <c:v>42899</c:v>
                </c:pt>
                <c:pt idx="70">
                  <c:v>42900</c:v>
                </c:pt>
                <c:pt idx="71">
                  <c:v>42901</c:v>
                </c:pt>
                <c:pt idx="72">
                  <c:v>42902</c:v>
                </c:pt>
                <c:pt idx="73">
                  <c:v>42905</c:v>
                </c:pt>
                <c:pt idx="74">
                  <c:v>42906</c:v>
                </c:pt>
                <c:pt idx="75">
                  <c:v>42907</c:v>
                </c:pt>
                <c:pt idx="76">
                  <c:v>42908</c:v>
                </c:pt>
                <c:pt idx="77">
                  <c:v>42909</c:v>
                </c:pt>
                <c:pt idx="78">
                  <c:v>42912</c:v>
                </c:pt>
                <c:pt idx="79">
                  <c:v>42913</c:v>
                </c:pt>
                <c:pt idx="80">
                  <c:v>42914</c:v>
                </c:pt>
                <c:pt idx="81">
                  <c:v>42915</c:v>
                </c:pt>
                <c:pt idx="82">
                  <c:v>42916</c:v>
                </c:pt>
                <c:pt idx="83">
                  <c:v>42919</c:v>
                </c:pt>
                <c:pt idx="84">
                  <c:v>42920</c:v>
                </c:pt>
                <c:pt idx="85">
                  <c:v>42921</c:v>
                </c:pt>
                <c:pt idx="86">
                  <c:v>42922</c:v>
                </c:pt>
                <c:pt idx="87">
                  <c:v>42923</c:v>
                </c:pt>
                <c:pt idx="88">
                  <c:v>42926</c:v>
                </c:pt>
                <c:pt idx="89">
                  <c:v>42927</c:v>
                </c:pt>
                <c:pt idx="90">
                  <c:v>42928</c:v>
                </c:pt>
                <c:pt idx="91">
                  <c:v>42929</c:v>
                </c:pt>
                <c:pt idx="92">
                  <c:v>42930</c:v>
                </c:pt>
                <c:pt idx="93">
                  <c:v>42933</c:v>
                </c:pt>
                <c:pt idx="94">
                  <c:v>42934</c:v>
                </c:pt>
                <c:pt idx="95">
                  <c:v>42935</c:v>
                </c:pt>
                <c:pt idx="96">
                  <c:v>42936</c:v>
                </c:pt>
                <c:pt idx="97">
                  <c:v>42937</c:v>
                </c:pt>
                <c:pt idx="98">
                  <c:v>42940</c:v>
                </c:pt>
                <c:pt idx="99">
                  <c:v>42941</c:v>
                </c:pt>
                <c:pt idx="100">
                  <c:v>42942</c:v>
                </c:pt>
                <c:pt idx="101">
                  <c:v>42943</c:v>
                </c:pt>
                <c:pt idx="102">
                  <c:v>42944</c:v>
                </c:pt>
                <c:pt idx="103">
                  <c:v>42947</c:v>
                </c:pt>
                <c:pt idx="104">
                  <c:v>42948</c:v>
                </c:pt>
                <c:pt idx="105">
                  <c:v>42949</c:v>
                </c:pt>
                <c:pt idx="106">
                  <c:v>42950</c:v>
                </c:pt>
                <c:pt idx="107">
                  <c:v>42951</c:v>
                </c:pt>
                <c:pt idx="108">
                  <c:v>42954</c:v>
                </c:pt>
                <c:pt idx="109">
                  <c:v>42955</c:v>
                </c:pt>
                <c:pt idx="110">
                  <c:v>42956</c:v>
                </c:pt>
                <c:pt idx="111">
                  <c:v>42957</c:v>
                </c:pt>
                <c:pt idx="112">
                  <c:v>42958</c:v>
                </c:pt>
                <c:pt idx="113">
                  <c:v>42961</c:v>
                </c:pt>
                <c:pt idx="114">
                  <c:v>42962</c:v>
                </c:pt>
                <c:pt idx="115">
                  <c:v>42963</c:v>
                </c:pt>
                <c:pt idx="116">
                  <c:v>42964</c:v>
                </c:pt>
                <c:pt idx="117">
                  <c:v>42965</c:v>
                </c:pt>
                <c:pt idx="118">
                  <c:v>42968</c:v>
                </c:pt>
                <c:pt idx="119">
                  <c:v>42969</c:v>
                </c:pt>
                <c:pt idx="120">
                  <c:v>42970</c:v>
                </c:pt>
                <c:pt idx="121">
                  <c:v>42971</c:v>
                </c:pt>
                <c:pt idx="122">
                  <c:v>42972</c:v>
                </c:pt>
                <c:pt idx="123">
                  <c:v>42975</c:v>
                </c:pt>
                <c:pt idx="124">
                  <c:v>42976</c:v>
                </c:pt>
                <c:pt idx="125">
                  <c:v>42977</c:v>
                </c:pt>
                <c:pt idx="126">
                  <c:v>42978</c:v>
                </c:pt>
                <c:pt idx="127">
                  <c:v>42979</c:v>
                </c:pt>
                <c:pt idx="128">
                  <c:v>42982</c:v>
                </c:pt>
                <c:pt idx="129">
                  <c:v>42983</c:v>
                </c:pt>
              </c:numCache>
            </c:numRef>
          </c:cat>
          <c:val>
            <c:numRef>
              <c:f>'6MSynthDepo'!$AK$3:$AK$132</c:f>
              <c:numCache>
                <c:formatCode>0.0000%</c:formatCode>
                <c:ptCount val="130"/>
                <c:pt idx="0">
                  <c:v>8.9151186500617281E-4</c:v>
                </c:pt>
                <c:pt idx="1">
                  <c:v>9.0083392508623393E-4</c:v>
                </c:pt>
                <c:pt idx="2">
                  <c:v>9.0393186590129258E-4</c:v>
                </c:pt>
                <c:pt idx="3">
                  <c:v>9.0702510044387045E-4</c:v>
                </c:pt>
                <c:pt idx="4">
                  <c:v>9.1011362871396744E-4</c:v>
                </c:pt>
                <c:pt idx="5">
                  <c:v>9.1319745071158365E-4</c:v>
                </c:pt>
                <c:pt idx="6">
                  <c:v>9.2242067906954709E-4</c:v>
                </c:pt>
                <c:pt idx="7">
                  <c:v>9.2548567597723998E-4</c:v>
                </c:pt>
                <c:pt idx="8">
                  <c:v>9.2854596661245199E-4</c:v>
                </c:pt>
                <c:pt idx="9">
                  <c:v>9.3160155097518312E-4</c:v>
                </c:pt>
                <c:pt idx="10">
                  <c:v>9.3465242906543347E-4</c:v>
                </c:pt>
                <c:pt idx="11">
                  <c:v>9.4377682570129945E-4</c:v>
                </c:pt>
                <c:pt idx="12">
                  <c:v>9.4680887870162648E-4</c:v>
                </c:pt>
                <c:pt idx="13">
                  <c:v>9.4983622542947263E-4</c:v>
                </c:pt>
                <c:pt idx="14">
                  <c:v>9.5285886588483801E-4</c:v>
                </c:pt>
                <c:pt idx="15">
                  <c:v>9.558768000677225E-4</c:v>
                </c:pt>
                <c:pt idx="16">
                  <c:v>9.649023649814909E-4</c:v>
                </c:pt>
                <c:pt idx="17">
                  <c:v>9.6790147407445207E-4</c:v>
                </c:pt>
                <c:pt idx="18">
                  <c:v>9.7089587689493237E-4</c:v>
                </c:pt>
                <c:pt idx="19">
                  <c:v>9.7388557344293188E-4</c:v>
                </c:pt>
                <c:pt idx="20">
                  <c:v>9.7687056371845052E-4</c:v>
                </c:pt>
                <c:pt idx="21">
                  <c:v>9.8579729691012133E-4</c:v>
                </c:pt>
                <c:pt idx="22">
                  <c:v>9.8876346209571687E-4</c:v>
                </c:pt>
                <c:pt idx="23">
                  <c:v>9.9172492100883108E-4</c:v>
                </c:pt>
                <c:pt idx="24">
                  <c:v>9.9468167364946463E-4</c:v>
                </c:pt>
                <c:pt idx="25">
                  <c:v>9.9763372001761752E-4</c:v>
                </c:pt>
                <c:pt idx="26">
                  <c:v>1.0064616214871909E-3</c:v>
                </c:pt>
                <c:pt idx="27">
                  <c:v>1.0093948427654204E-3</c:v>
                </c:pt>
                <c:pt idx="28">
                  <c:v>1.0123233577711689E-3</c:v>
                </c:pt>
                <c:pt idx="29">
                  <c:v>1.0152471665044367E-3</c:v>
                </c:pt>
                <c:pt idx="30">
                  <c:v>1.0297956160835631E-3</c:v>
                </c:pt>
                <c:pt idx="31">
                  <c:v>1.0326911871819458E-3</c:v>
                </c:pt>
                <c:pt idx="32">
                  <c:v>1.0355820520078476E-3</c:v>
                </c:pt>
                <c:pt idx="33">
                  <c:v>1.038468210561269E-3</c:v>
                </c:pt>
                <c:pt idx="34">
                  <c:v>1.0470984485866472E-3</c:v>
                </c:pt>
                <c:pt idx="35">
                  <c:v>1.0499657820501448E-3</c:v>
                </c:pt>
                <c:pt idx="36">
                  <c:v>1.0528284092411618E-3</c:v>
                </c:pt>
                <c:pt idx="37">
                  <c:v>1.0556863301596979E-3</c:v>
                </c:pt>
                <c:pt idx="38">
                  <c:v>1.0585395448057533E-3</c:v>
                </c:pt>
                <c:pt idx="39">
                  <c:v>1.0699053406651657E-3</c:v>
                </c:pt>
                <c:pt idx="40">
                  <c:v>1.0727350239488169E-3</c:v>
                </c:pt>
                <c:pt idx="41">
                  <c:v>1.075560000959987E-3</c:v>
                </c:pt>
                <c:pt idx="42">
                  <c:v>1.0783802716986767E-3</c:v>
                </c:pt>
                <c:pt idx="43">
                  <c:v>1.0868128462798597E-3</c:v>
                </c:pt>
                <c:pt idx="44">
                  <c:v>1.0896142919286256E-3</c:v>
                </c:pt>
                <c:pt idx="45">
                  <c:v>1.0924110313049111E-3</c:v>
                </c:pt>
                <c:pt idx="46">
                  <c:v>1.0952030644087152E-3</c:v>
                </c:pt>
                <c:pt idx="47">
                  <c:v>1.0979903912400389E-3</c:v>
                </c:pt>
                <c:pt idx="48">
                  <c:v>1.1063241340991245E-3</c:v>
                </c:pt>
                <c:pt idx="49">
                  <c:v>1.1090926358405247E-3</c:v>
                </c:pt>
                <c:pt idx="50">
                  <c:v>1.1118564313094441E-3</c:v>
                </c:pt>
                <c:pt idx="51">
                  <c:v>1.1146155205058825E-3</c:v>
                </c:pt>
                <c:pt idx="52">
                  <c:v>1.1173699034298405E-3</c:v>
                </c:pt>
                <c:pt idx="53">
                  <c:v>1.1256048145668286E-3</c:v>
                </c:pt>
                <c:pt idx="54">
                  <c:v>1.1283403724008628E-3</c:v>
                </c:pt>
                <c:pt idx="55">
                  <c:v>1.1310712239624161E-3</c:v>
                </c:pt>
                <c:pt idx="56">
                  <c:v>1.133797369251489E-3</c:v>
                </c:pt>
                <c:pt idx="57">
                  <c:v>1.1365188082680809E-3</c:v>
                </c:pt>
                <c:pt idx="58">
                  <c:v>1.1446548876829716E-3</c:v>
                </c:pt>
                <c:pt idx="59">
                  <c:v>1.14735750160964E-3</c:v>
                </c:pt>
                <c:pt idx="60">
                  <c:v>1.1500554092638278E-3</c:v>
                </c:pt>
                <c:pt idx="61">
                  <c:v>1.1527486106455345E-3</c:v>
                </c:pt>
                <c:pt idx="62">
                  <c:v>1.1554371057547605E-3</c:v>
                </c:pt>
                <c:pt idx="63">
                  <c:v>1.1634743534475536E-3</c:v>
                </c:pt>
                <c:pt idx="64">
                  <c:v>1.1661440234668561E-3</c:v>
                </c:pt>
                <c:pt idx="65">
                  <c:v>1.1688089872136779E-3</c:v>
                </c:pt>
                <c:pt idx="66">
                  <c:v>1.171469244688019E-3</c:v>
                </c:pt>
                <c:pt idx="67">
                  <c:v>1.1741247958898791E-3</c:v>
                </c:pt>
                <c:pt idx="68">
                  <c:v>1.1820632118605746E-3</c:v>
                </c:pt>
                <c:pt idx="69">
                  <c:v>1.1846999379725113E-3</c:v>
                </c:pt>
                <c:pt idx="70">
                  <c:v>1.1873319578119673E-3</c:v>
                </c:pt>
                <c:pt idx="71">
                  <c:v>1.1899592713789425E-3</c:v>
                </c:pt>
                <c:pt idx="72">
                  <c:v>1.192581878673437E-3</c:v>
                </c:pt>
                <c:pt idx="73">
                  <c:v>1.2004214629220348E-3</c:v>
                </c:pt>
                <c:pt idx="74">
                  <c:v>1.2030252451266058E-3</c:v>
                </c:pt>
                <c:pt idx="75">
                  <c:v>1.2056243210586957E-3</c:v>
                </c:pt>
                <c:pt idx="76">
                  <c:v>1.2082186907183051E-3</c:v>
                </c:pt>
                <c:pt idx="77">
                  <c:v>1.2108083541054336E-3</c:v>
                </c:pt>
                <c:pt idx="78">
                  <c:v>1.2185491066319342E-3</c:v>
                </c:pt>
                <c:pt idx="79">
                  <c:v>1.2211199449291392E-3</c:v>
                </c:pt>
                <c:pt idx="80">
                  <c:v>1.2236860769538633E-3</c:v>
                </c:pt>
                <c:pt idx="81">
                  <c:v>1.226247502706107E-3</c:v>
                </c:pt>
                <c:pt idx="82">
                  <c:v>1.2288042221858693E-3</c:v>
                </c:pt>
                <c:pt idx="83">
                  <c:v>1.2364461429902724E-3</c:v>
                </c:pt>
                <c:pt idx="84">
                  <c:v>1.2389840373801116E-3</c:v>
                </c:pt>
                <c:pt idx="85">
                  <c:v>1.24151722549747E-3</c:v>
                </c:pt>
                <c:pt idx="86">
                  <c:v>1.2440457073423477E-3</c:v>
                </c:pt>
                <c:pt idx="87">
                  <c:v>1.2465694829147443E-3</c:v>
                </c:pt>
                <c:pt idx="88">
                  <c:v>1.2541125719970497E-3</c:v>
                </c:pt>
                <c:pt idx="89">
                  <c:v>1.2566175224795232E-3</c:v>
                </c:pt>
                <c:pt idx="90">
                  <c:v>1.2591177666895156E-3</c:v>
                </c:pt>
                <c:pt idx="91">
                  <c:v>1.2616133046270276E-3</c:v>
                </c:pt>
                <c:pt idx="92">
                  <c:v>1.2641041362920584E-3</c:v>
                </c:pt>
                <c:pt idx="93">
                  <c:v>1.2715483936522661E-3</c:v>
                </c:pt>
                <c:pt idx="94">
                  <c:v>1.2740204002273737E-3</c:v>
                </c:pt>
                <c:pt idx="95">
                  <c:v>1.2764877005300003E-3</c:v>
                </c:pt>
                <c:pt idx="96">
                  <c:v>1.2789502945601463E-3</c:v>
                </c:pt>
                <c:pt idx="97">
                  <c:v>1.2814081823178114E-3</c:v>
                </c:pt>
                <c:pt idx="98">
                  <c:v>1.2887536079559216E-3</c:v>
                </c:pt>
                <c:pt idx="99">
                  <c:v>1.2911926706236634E-3</c:v>
                </c:pt>
                <c:pt idx="100">
                  <c:v>1.2936270270189241E-3</c:v>
                </c:pt>
                <c:pt idx="101">
                  <c:v>1.2960566771417043E-3</c:v>
                </c:pt>
                <c:pt idx="102">
                  <c:v>1.2984816209920035E-3</c:v>
                </c:pt>
                <c:pt idx="103">
                  <c:v>1.3057282149080162E-3</c:v>
                </c:pt>
                <c:pt idx="104">
                  <c:v>1.308134333668392E-3</c:v>
                </c:pt>
                <c:pt idx="105">
                  <c:v>1.310535746156287E-3</c:v>
                </c:pt>
                <c:pt idx="106">
                  <c:v>1.3129324523717015E-3</c:v>
                </c:pt>
                <c:pt idx="107">
                  <c:v>1.3153244523146346E-3</c:v>
                </c:pt>
                <c:pt idx="108">
                  <c:v>1.3224722145085499E-3</c:v>
                </c:pt>
                <c:pt idx="109">
                  <c:v>1.3248453893615598E-3</c:v>
                </c:pt>
                <c:pt idx="110">
                  <c:v>1.3272138579420889E-3</c:v>
                </c:pt>
                <c:pt idx="111">
                  <c:v>1.3295776202501375E-3</c:v>
                </c:pt>
                <c:pt idx="112">
                  <c:v>1.3319366762857049E-3</c:v>
                </c:pt>
                <c:pt idx="113">
                  <c:v>1.3389856067575225E-3</c:v>
                </c:pt>
                <c:pt idx="114">
                  <c:v>1.3413258377031666E-3</c:v>
                </c:pt>
                <c:pt idx="115">
                  <c:v>1.34366136237633E-3</c:v>
                </c:pt>
                <c:pt idx="116">
                  <c:v>1.3459921807770126E-3</c:v>
                </c:pt>
                <c:pt idx="117">
                  <c:v>1.3483182929052142E-3</c:v>
                </c:pt>
                <c:pt idx="118">
                  <c:v>1.3552683916549341E-3</c:v>
                </c:pt>
                <c:pt idx="119">
                  <c:v>1.3575756786932125E-3</c:v>
                </c:pt>
                <c:pt idx="120">
                  <c:v>1.35987825945901E-3</c:v>
                </c:pt>
                <c:pt idx="121">
                  <c:v>1.362176133952327E-3</c:v>
                </c:pt>
                <c:pt idx="122">
                  <c:v>1.3644693021731627E-3</c:v>
                </c:pt>
                <c:pt idx="123">
                  <c:v>1.3713205692007853E-3</c:v>
                </c:pt>
                <c:pt idx="124">
                  <c:v>1.3735949123316975E-3</c:v>
                </c:pt>
                <c:pt idx="125">
                  <c:v>1.3758645491901292E-3</c:v>
                </c:pt>
                <c:pt idx="126">
                  <c:v>1.3781294797760803E-3</c:v>
                </c:pt>
                <c:pt idx="127">
                  <c:v>1.3803897040895498E-3</c:v>
                </c:pt>
                <c:pt idx="128">
                  <c:v>1.387142139395075E-3</c:v>
                </c:pt>
                <c:pt idx="129">
                  <c:v>1.3893835386186216E-3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281728"/>
        <c:axId val="630283264"/>
      </c:lineChart>
      <c:dateAx>
        <c:axId val="6302817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0283264"/>
        <c:crosses val="autoZero"/>
        <c:auto val="1"/>
        <c:lblOffset val="100"/>
        <c:baseTimeUnit val="days"/>
      </c:dateAx>
      <c:valAx>
        <c:axId val="6302832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0281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'12MSynthDepo'!$AI$2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'12MSynthDepo'!$AG$3:$AG$259</c:f>
              <c:numCache>
                <c:formatCode>ddd\,\ dd\-mmm\-yyyy</c:formatCode>
                <c:ptCount val="257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  <c:pt idx="24">
                  <c:v>42831</c:v>
                </c:pt>
                <c:pt idx="25">
                  <c:v>42832</c:v>
                </c:pt>
                <c:pt idx="26">
                  <c:v>42835</c:v>
                </c:pt>
                <c:pt idx="27">
                  <c:v>42836</c:v>
                </c:pt>
                <c:pt idx="28">
                  <c:v>42837</c:v>
                </c:pt>
                <c:pt idx="29">
                  <c:v>42838</c:v>
                </c:pt>
                <c:pt idx="30">
                  <c:v>42843</c:v>
                </c:pt>
                <c:pt idx="31">
                  <c:v>42844</c:v>
                </c:pt>
                <c:pt idx="32">
                  <c:v>42845</c:v>
                </c:pt>
                <c:pt idx="33">
                  <c:v>42846</c:v>
                </c:pt>
                <c:pt idx="34">
                  <c:v>42849</c:v>
                </c:pt>
                <c:pt idx="35">
                  <c:v>42850</c:v>
                </c:pt>
                <c:pt idx="36">
                  <c:v>42851</c:v>
                </c:pt>
                <c:pt idx="37">
                  <c:v>42852</c:v>
                </c:pt>
                <c:pt idx="38">
                  <c:v>42853</c:v>
                </c:pt>
                <c:pt idx="39">
                  <c:v>42857</c:v>
                </c:pt>
                <c:pt idx="40">
                  <c:v>42858</c:v>
                </c:pt>
                <c:pt idx="41">
                  <c:v>42859</c:v>
                </c:pt>
                <c:pt idx="42">
                  <c:v>42860</c:v>
                </c:pt>
                <c:pt idx="43">
                  <c:v>42863</c:v>
                </c:pt>
                <c:pt idx="44">
                  <c:v>42864</c:v>
                </c:pt>
                <c:pt idx="45">
                  <c:v>42865</c:v>
                </c:pt>
                <c:pt idx="46">
                  <c:v>42866</c:v>
                </c:pt>
                <c:pt idx="47">
                  <c:v>42867</c:v>
                </c:pt>
                <c:pt idx="48">
                  <c:v>42870</c:v>
                </c:pt>
                <c:pt idx="49">
                  <c:v>42871</c:v>
                </c:pt>
                <c:pt idx="50">
                  <c:v>42872</c:v>
                </c:pt>
                <c:pt idx="51">
                  <c:v>42873</c:v>
                </c:pt>
                <c:pt idx="52">
                  <c:v>42874</c:v>
                </c:pt>
                <c:pt idx="53">
                  <c:v>42877</c:v>
                </c:pt>
                <c:pt idx="54">
                  <c:v>42878</c:v>
                </c:pt>
                <c:pt idx="55">
                  <c:v>42879</c:v>
                </c:pt>
                <c:pt idx="56">
                  <c:v>42880</c:v>
                </c:pt>
                <c:pt idx="57">
                  <c:v>42881</c:v>
                </c:pt>
                <c:pt idx="58">
                  <c:v>42884</c:v>
                </c:pt>
                <c:pt idx="59">
                  <c:v>42885</c:v>
                </c:pt>
                <c:pt idx="60">
                  <c:v>42886</c:v>
                </c:pt>
                <c:pt idx="61">
                  <c:v>42887</c:v>
                </c:pt>
                <c:pt idx="62">
                  <c:v>42888</c:v>
                </c:pt>
                <c:pt idx="63">
                  <c:v>42891</c:v>
                </c:pt>
                <c:pt idx="64">
                  <c:v>42892</c:v>
                </c:pt>
                <c:pt idx="65">
                  <c:v>42893</c:v>
                </c:pt>
                <c:pt idx="66">
                  <c:v>42894</c:v>
                </c:pt>
                <c:pt idx="67">
                  <c:v>42895</c:v>
                </c:pt>
                <c:pt idx="68">
                  <c:v>42898</c:v>
                </c:pt>
                <c:pt idx="69">
                  <c:v>42899</c:v>
                </c:pt>
                <c:pt idx="70">
                  <c:v>42900</c:v>
                </c:pt>
                <c:pt idx="71">
                  <c:v>42901</c:v>
                </c:pt>
                <c:pt idx="72">
                  <c:v>42902</c:v>
                </c:pt>
                <c:pt idx="73">
                  <c:v>42905</c:v>
                </c:pt>
                <c:pt idx="74">
                  <c:v>42906</c:v>
                </c:pt>
                <c:pt idx="75">
                  <c:v>42907</c:v>
                </c:pt>
                <c:pt idx="76">
                  <c:v>42908</c:v>
                </c:pt>
                <c:pt idx="77">
                  <c:v>42909</c:v>
                </c:pt>
                <c:pt idx="78">
                  <c:v>42912</c:v>
                </c:pt>
                <c:pt idx="79">
                  <c:v>42913</c:v>
                </c:pt>
                <c:pt idx="80">
                  <c:v>42914</c:v>
                </c:pt>
                <c:pt idx="81">
                  <c:v>42915</c:v>
                </c:pt>
                <c:pt idx="82">
                  <c:v>42916</c:v>
                </c:pt>
                <c:pt idx="83">
                  <c:v>42919</c:v>
                </c:pt>
                <c:pt idx="84">
                  <c:v>42920</c:v>
                </c:pt>
                <c:pt idx="85">
                  <c:v>42921</c:v>
                </c:pt>
                <c:pt idx="86">
                  <c:v>42922</c:v>
                </c:pt>
                <c:pt idx="87">
                  <c:v>42923</c:v>
                </c:pt>
                <c:pt idx="88">
                  <c:v>42926</c:v>
                </c:pt>
                <c:pt idx="89">
                  <c:v>42927</c:v>
                </c:pt>
                <c:pt idx="90">
                  <c:v>42928</c:v>
                </c:pt>
                <c:pt idx="91">
                  <c:v>42929</c:v>
                </c:pt>
                <c:pt idx="92">
                  <c:v>42930</c:v>
                </c:pt>
                <c:pt idx="93">
                  <c:v>42933</c:v>
                </c:pt>
                <c:pt idx="94">
                  <c:v>42934</c:v>
                </c:pt>
                <c:pt idx="95">
                  <c:v>42935</c:v>
                </c:pt>
                <c:pt idx="96">
                  <c:v>42936</c:v>
                </c:pt>
                <c:pt idx="97">
                  <c:v>42937</c:v>
                </c:pt>
                <c:pt idx="98">
                  <c:v>42940</c:v>
                </c:pt>
                <c:pt idx="99">
                  <c:v>42941</c:v>
                </c:pt>
                <c:pt idx="100">
                  <c:v>42942</c:v>
                </c:pt>
                <c:pt idx="101">
                  <c:v>42943</c:v>
                </c:pt>
                <c:pt idx="102">
                  <c:v>42944</c:v>
                </c:pt>
                <c:pt idx="103">
                  <c:v>42947</c:v>
                </c:pt>
                <c:pt idx="104">
                  <c:v>42948</c:v>
                </c:pt>
                <c:pt idx="105">
                  <c:v>42949</c:v>
                </c:pt>
                <c:pt idx="106">
                  <c:v>42950</c:v>
                </c:pt>
                <c:pt idx="107">
                  <c:v>42951</c:v>
                </c:pt>
                <c:pt idx="108">
                  <c:v>42954</c:v>
                </c:pt>
                <c:pt idx="109">
                  <c:v>42955</c:v>
                </c:pt>
                <c:pt idx="110">
                  <c:v>42956</c:v>
                </c:pt>
                <c:pt idx="111">
                  <c:v>42957</c:v>
                </c:pt>
                <c:pt idx="112">
                  <c:v>42958</c:v>
                </c:pt>
                <c:pt idx="113">
                  <c:v>42961</c:v>
                </c:pt>
                <c:pt idx="114">
                  <c:v>42962</c:v>
                </c:pt>
                <c:pt idx="115">
                  <c:v>42963</c:v>
                </c:pt>
                <c:pt idx="116">
                  <c:v>42964</c:v>
                </c:pt>
                <c:pt idx="117">
                  <c:v>42965</c:v>
                </c:pt>
                <c:pt idx="118">
                  <c:v>42968</c:v>
                </c:pt>
                <c:pt idx="119">
                  <c:v>42969</c:v>
                </c:pt>
                <c:pt idx="120">
                  <c:v>42970</c:v>
                </c:pt>
                <c:pt idx="121">
                  <c:v>42971</c:v>
                </c:pt>
                <c:pt idx="122">
                  <c:v>42972</c:v>
                </c:pt>
                <c:pt idx="123">
                  <c:v>42975</c:v>
                </c:pt>
                <c:pt idx="124">
                  <c:v>42976</c:v>
                </c:pt>
                <c:pt idx="125">
                  <c:v>42977</c:v>
                </c:pt>
                <c:pt idx="126">
                  <c:v>42978</c:v>
                </c:pt>
                <c:pt idx="127">
                  <c:v>42979</c:v>
                </c:pt>
                <c:pt idx="128">
                  <c:v>42982</c:v>
                </c:pt>
                <c:pt idx="129">
                  <c:v>42983</c:v>
                </c:pt>
                <c:pt idx="130">
                  <c:v>42984</c:v>
                </c:pt>
                <c:pt idx="131">
                  <c:v>42985</c:v>
                </c:pt>
                <c:pt idx="132">
                  <c:v>42986</c:v>
                </c:pt>
                <c:pt idx="133">
                  <c:v>42989</c:v>
                </c:pt>
                <c:pt idx="134">
                  <c:v>42990</c:v>
                </c:pt>
                <c:pt idx="135">
                  <c:v>42991</c:v>
                </c:pt>
                <c:pt idx="136">
                  <c:v>42992</c:v>
                </c:pt>
                <c:pt idx="137">
                  <c:v>42993</c:v>
                </c:pt>
                <c:pt idx="138">
                  <c:v>42996</c:v>
                </c:pt>
                <c:pt idx="139">
                  <c:v>42997</c:v>
                </c:pt>
                <c:pt idx="140">
                  <c:v>42998</c:v>
                </c:pt>
                <c:pt idx="141">
                  <c:v>42999</c:v>
                </c:pt>
                <c:pt idx="142">
                  <c:v>43000</c:v>
                </c:pt>
                <c:pt idx="143">
                  <c:v>43003</c:v>
                </c:pt>
                <c:pt idx="144">
                  <c:v>43004</c:v>
                </c:pt>
                <c:pt idx="145">
                  <c:v>43005</c:v>
                </c:pt>
                <c:pt idx="146">
                  <c:v>43006</c:v>
                </c:pt>
                <c:pt idx="147">
                  <c:v>43007</c:v>
                </c:pt>
                <c:pt idx="148">
                  <c:v>43010</c:v>
                </c:pt>
                <c:pt idx="149">
                  <c:v>43011</c:v>
                </c:pt>
                <c:pt idx="150">
                  <c:v>43012</c:v>
                </c:pt>
                <c:pt idx="151">
                  <c:v>43013</c:v>
                </c:pt>
                <c:pt idx="152">
                  <c:v>43014</c:v>
                </c:pt>
                <c:pt idx="153">
                  <c:v>43017</c:v>
                </c:pt>
                <c:pt idx="154">
                  <c:v>43018</c:v>
                </c:pt>
                <c:pt idx="155">
                  <c:v>43019</c:v>
                </c:pt>
                <c:pt idx="156">
                  <c:v>43020</c:v>
                </c:pt>
                <c:pt idx="157">
                  <c:v>43021</c:v>
                </c:pt>
                <c:pt idx="158">
                  <c:v>43024</c:v>
                </c:pt>
                <c:pt idx="159">
                  <c:v>43025</c:v>
                </c:pt>
                <c:pt idx="160">
                  <c:v>43026</c:v>
                </c:pt>
                <c:pt idx="161">
                  <c:v>43027</c:v>
                </c:pt>
                <c:pt idx="162">
                  <c:v>43028</c:v>
                </c:pt>
                <c:pt idx="163">
                  <c:v>43031</c:v>
                </c:pt>
                <c:pt idx="164">
                  <c:v>43032</c:v>
                </c:pt>
                <c:pt idx="165">
                  <c:v>43033</c:v>
                </c:pt>
                <c:pt idx="166">
                  <c:v>43034</c:v>
                </c:pt>
                <c:pt idx="167">
                  <c:v>43035</c:v>
                </c:pt>
                <c:pt idx="168">
                  <c:v>43038</c:v>
                </c:pt>
                <c:pt idx="169">
                  <c:v>43039</c:v>
                </c:pt>
                <c:pt idx="170">
                  <c:v>43040</c:v>
                </c:pt>
                <c:pt idx="171">
                  <c:v>43041</c:v>
                </c:pt>
                <c:pt idx="172">
                  <c:v>43042</c:v>
                </c:pt>
                <c:pt idx="173">
                  <c:v>43045</c:v>
                </c:pt>
                <c:pt idx="174">
                  <c:v>43046</c:v>
                </c:pt>
                <c:pt idx="175">
                  <c:v>43047</c:v>
                </c:pt>
                <c:pt idx="176">
                  <c:v>43048</c:v>
                </c:pt>
                <c:pt idx="177">
                  <c:v>43049</c:v>
                </c:pt>
                <c:pt idx="178">
                  <c:v>43052</c:v>
                </c:pt>
                <c:pt idx="179">
                  <c:v>43053</c:v>
                </c:pt>
                <c:pt idx="180">
                  <c:v>43054</c:v>
                </c:pt>
                <c:pt idx="181">
                  <c:v>43055</c:v>
                </c:pt>
                <c:pt idx="182">
                  <c:v>43056</c:v>
                </c:pt>
                <c:pt idx="183">
                  <c:v>43059</c:v>
                </c:pt>
                <c:pt idx="184">
                  <c:v>43060</c:v>
                </c:pt>
                <c:pt idx="185">
                  <c:v>43061</c:v>
                </c:pt>
                <c:pt idx="186">
                  <c:v>43062</c:v>
                </c:pt>
                <c:pt idx="187">
                  <c:v>43063</c:v>
                </c:pt>
                <c:pt idx="188">
                  <c:v>43066</c:v>
                </c:pt>
                <c:pt idx="189">
                  <c:v>43067</c:v>
                </c:pt>
                <c:pt idx="190">
                  <c:v>43068</c:v>
                </c:pt>
                <c:pt idx="191">
                  <c:v>43069</c:v>
                </c:pt>
                <c:pt idx="192">
                  <c:v>43070</c:v>
                </c:pt>
                <c:pt idx="193">
                  <c:v>43073</c:v>
                </c:pt>
                <c:pt idx="194">
                  <c:v>43074</c:v>
                </c:pt>
                <c:pt idx="195">
                  <c:v>43075</c:v>
                </c:pt>
                <c:pt idx="196">
                  <c:v>43076</c:v>
                </c:pt>
                <c:pt idx="197">
                  <c:v>43077</c:v>
                </c:pt>
                <c:pt idx="198">
                  <c:v>43080</c:v>
                </c:pt>
                <c:pt idx="199">
                  <c:v>43081</c:v>
                </c:pt>
                <c:pt idx="200">
                  <c:v>43082</c:v>
                </c:pt>
                <c:pt idx="201">
                  <c:v>43083</c:v>
                </c:pt>
                <c:pt idx="202">
                  <c:v>43084</c:v>
                </c:pt>
                <c:pt idx="203">
                  <c:v>43087</c:v>
                </c:pt>
                <c:pt idx="204">
                  <c:v>43088</c:v>
                </c:pt>
                <c:pt idx="205">
                  <c:v>43089</c:v>
                </c:pt>
                <c:pt idx="206">
                  <c:v>43090</c:v>
                </c:pt>
                <c:pt idx="207">
                  <c:v>43091</c:v>
                </c:pt>
                <c:pt idx="208">
                  <c:v>43096</c:v>
                </c:pt>
                <c:pt idx="209">
                  <c:v>43097</c:v>
                </c:pt>
                <c:pt idx="210">
                  <c:v>43098</c:v>
                </c:pt>
                <c:pt idx="211">
                  <c:v>43102</c:v>
                </c:pt>
                <c:pt idx="212">
                  <c:v>43103</c:v>
                </c:pt>
                <c:pt idx="213">
                  <c:v>43104</c:v>
                </c:pt>
                <c:pt idx="214">
                  <c:v>43105</c:v>
                </c:pt>
                <c:pt idx="215">
                  <c:v>43108</c:v>
                </c:pt>
                <c:pt idx="216">
                  <c:v>43109</c:v>
                </c:pt>
                <c:pt idx="217">
                  <c:v>43110</c:v>
                </c:pt>
                <c:pt idx="218">
                  <c:v>43111</c:v>
                </c:pt>
                <c:pt idx="219">
                  <c:v>43112</c:v>
                </c:pt>
                <c:pt idx="220">
                  <c:v>43115</c:v>
                </c:pt>
                <c:pt idx="221">
                  <c:v>43116</c:v>
                </c:pt>
                <c:pt idx="222">
                  <c:v>43117</c:v>
                </c:pt>
                <c:pt idx="223">
                  <c:v>43118</c:v>
                </c:pt>
                <c:pt idx="224">
                  <c:v>43119</c:v>
                </c:pt>
                <c:pt idx="225">
                  <c:v>43122</c:v>
                </c:pt>
                <c:pt idx="226">
                  <c:v>43123</c:v>
                </c:pt>
                <c:pt idx="227">
                  <c:v>43124</c:v>
                </c:pt>
                <c:pt idx="228">
                  <c:v>43125</c:v>
                </c:pt>
                <c:pt idx="229">
                  <c:v>43126</c:v>
                </c:pt>
                <c:pt idx="230">
                  <c:v>43129</c:v>
                </c:pt>
                <c:pt idx="231">
                  <c:v>43130</c:v>
                </c:pt>
                <c:pt idx="232">
                  <c:v>43131</c:v>
                </c:pt>
                <c:pt idx="233">
                  <c:v>43132</c:v>
                </c:pt>
                <c:pt idx="234">
                  <c:v>43133</c:v>
                </c:pt>
                <c:pt idx="235">
                  <c:v>43136</c:v>
                </c:pt>
                <c:pt idx="236">
                  <c:v>43137</c:v>
                </c:pt>
                <c:pt idx="237">
                  <c:v>43138</c:v>
                </c:pt>
                <c:pt idx="238">
                  <c:v>43139</c:v>
                </c:pt>
                <c:pt idx="239">
                  <c:v>43140</c:v>
                </c:pt>
                <c:pt idx="240">
                  <c:v>43143</c:v>
                </c:pt>
                <c:pt idx="241">
                  <c:v>43144</c:v>
                </c:pt>
                <c:pt idx="242">
                  <c:v>43145</c:v>
                </c:pt>
                <c:pt idx="243">
                  <c:v>43146</c:v>
                </c:pt>
                <c:pt idx="244">
                  <c:v>43147</c:v>
                </c:pt>
                <c:pt idx="245">
                  <c:v>43150</c:v>
                </c:pt>
                <c:pt idx="246">
                  <c:v>43151</c:v>
                </c:pt>
                <c:pt idx="247">
                  <c:v>43152</c:v>
                </c:pt>
                <c:pt idx="248">
                  <c:v>43153</c:v>
                </c:pt>
                <c:pt idx="249">
                  <c:v>43154</c:v>
                </c:pt>
                <c:pt idx="250">
                  <c:v>43157</c:v>
                </c:pt>
                <c:pt idx="251">
                  <c:v>43158</c:v>
                </c:pt>
                <c:pt idx="252">
                  <c:v>43159</c:v>
                </c:pt>
                <c:pt idx="253">
                  <c:v>43160</c:v>
                </c:pt>
                <c:pt idx="254">
                  <c:v>43161</c:v>
                </c:pt>
                <c:pt idx="255">
                  <c:v>43164</c:v>
                </c:pt>
                <c:pt idx="256">
                  <c:v>43165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2.355512784479325E-3</c:v>
                </c:pt>
                <c:pt idx="1">
                  <c:v>2.355512784479325E-3</c:v>
                </c:pt>
                <c:pt idx="2">
                  <c:v>2.355512784479325E-3</c:v>
                </c:pt>
                <c:pt idx="3">
                  <c:v>2.355512784479325E-3</c:v>
                </c:pt>
                <c:pt idx="4">
                  <c:v>2.355512784479325E-3</c:v>
                </c:pt>
                <c:pt idx="5">
                  <c:v>2.355512784479325E-3</c:v>
                </c:pt>
                <c:pt idx="6">
                  <c:v>2.355512784479325E-3</c:v>
                </c:pt>
                <c:pt idx="7">
                  <c:v>2.355512784479325E-3</c:v>
                </c:pt>
                <c:pt idx="8">
                  <c:v>2.355512784479325E-3</c:v>
                </c:pt>
                <c:pt idx="9">
                  <c:v>2.355512784479325E-3</c:v>
                </c:pt>
                <c:pt idx="10">
                  <c:v>2.355512784479325E-3</c:v>
                </c:pt>
                <c:pt idx="11">
                  <c:v>2.355512784479325E-3</c:v>
                </c:pt>
                <c:pt idx="12">
                  <c:v>2.355512784479325E-3</c:v>
                </c:pt>
                <c:pt idx="13">
                  <c:v>2.355512784479325E-3</c:v>
                </c:pt>
                <c:pt idx="14">
                  <c:v>2.355512784479325E-3</c:v>
                </c:pt>
                <c:pt idx="15">
                  <c:v>2.355512784479325E-3</c:v>
                </c:pt>
                <c:pt idx="16">
                  <c:v>2.355512784479325E-3</c:v>
                </c:pt>
                <c:pt idx="17">
                  <c:v>2.355512784479325E-3</c:v>
                </c:pt>
                <c:pt idx="18">
                  <c:v>2.355512784479325E-3</c:v>
                </c:pt>
                <c:pt idx="19">
                  <c:v>2.355512784479325E-3</c:v>
                </c:pt>
                <c:pt idx="20">
                  <c:v>2.355512784479325E-3</c:v>
                </c:pt>
                <c:pt idx="21">
                  <c:v>2.355512784479325E-3</c:v>
                </c:pt>
                <c:pt idx="22">
                  <c:v>2.355512784479325E-3</c:v>
                </c:pt>
                <c:pt idx="23">
                  <c:v>2.355512784479325E-3</c:v>
                </c:pt>
                <c:pt idx="24">
                  <c:v>2.355512784479325E-3</c:v>
                </c:pt>
                <c:pt idx="25">
                  <c:v>2.355512784479325E-3</c:v>
                </c:pt>
                <c:pt idx="26">
                  <c:v>2.355512784479325E-3</c:v>
                </c:pt>
                <c:pt idx="27">
                  <c:v>2.355512784479325E-3</c:v>
                </c:pt>
                <c:pt idx="28">
                  <c:v>2.355512784479325E-3</c:v>
                </c:pt>
                <c:pt idx="29">
                  <c:v>2.355512784479325E-3</c:v>
                </c:pt>
                <c:pt idx="30">
                  <c:v>2.355512784479325E-3</c:v>
                </c:pt>
                <c:pt idx="31">
                  <c:v>2.355512784479325E-3</c:v>
                </c:pt>
                <c:pt idx="32">
                  <c:v>2.355512784479325E-3</c:v>
                </c:pt>
                <c:pt idx="33">
                  <c:v>2.355512784479325E-3</c:v>
                </c:pt>
                <c:pt idx="34">
                  <c:v>2.355512784479325E-3</c:v>
                </c:pt>
                <c:pt idx="35">
                  <c:v>2.355512784479325E-3</c:v>
                </c:pt>
                <c:pt idx="36">
                  <c:v>2.355512784479325E-3</c:v>
                </c:pt>
                <c:pt idx="37">
                  <c:v>2.355512784479325E-3</c:v>
                </c:pt>
                <c:pt idx="38">
                  <c:v>2.355512784479325E-3</c:v>
                </c:pt>
                <c:pt idx="39">
                  <c:v>2.355512784479325E-3</c:v>
                </c:pt>
                <c:pt idx="40">
                  <c:v>2.355512784479325E-3</c:v>
                </c:pt>
                <c:pt idx="41">
                  <c:v>2.355512784479325E-3</c:v>
                </c:pt>
                <c:pt idx="42">
                  <c:v>2.355512784479325E-3</c:v>
                </c:pt>
                <c:pt idx="43">
                  <c:v>2.355512784479325E-3</c:v>
                </c:pt>
                <c:pt idx="44">
                  <c:v>2.355512784479325E-3</c:v>
                </c:pt>
                <c:pt idx="45">
                  <c:v>2.355512784479325E-3</c:v>
                </c:pt>
                <c:pt idx="46">
                  <c:v>2.355512784479325E-3</c:v>
                </c:pt>
                <c:pt idx="47">
                  <c:v>2.355512784479325E-3</c:v>
                </c:pt>
                <c:pt idx="48">
                  <c:v>2.355512784479325E-3</c:v>
                </c:pt>
                <c:pt idx="49">
                  <c:v>2.355512784479325E-3</c:v>
                </c:pt>
                <c:pt idx="50">
                  <c:v>2.355512784479325E-3</c:v>
                </c:pt>
                <c:pt idx="51">
                  <c:v>2.355512784479325E-3</c:v>
                </c:pt>
                <c:pt idx="52">
                  <c:v>2.355512784479325E-3</c:v>
                </c:pt>
                <c:pt idx="53">
                  <c:v>2.355512784479325E-3</c:v>
                </c:pt>
                <c:pt idx="54">
                  <c:v>2.355512784479325E-3</c:v>
                </c:pt>
                <c:pt idx="55">
                  <c:v>2.355512784479325E-3</c:v>
                </c:pt>
                <c:pt idx="56">
                  <c:v>2.355512784479325E-3</c:v>
                </c:pt>
                <c:pt idx="57">
                  <c:v>2.355512784479325E-3</c:v>
                </c:pt>
                <c:pt idx="58">
                  <c:v>2.355512784479325E-3</c:v>
                </c:pt>
                <c:pt idx="59">
                  <c:v>2.355512784479325E-3</c:v>
                </c:pt>
                <c:pt idx="60">
                  <c:v>2.355512784479325E-3</c:v>
                </c:pt>
                <c:pt idx="61">
                  <c:v>2.355512784479325E-3</c:v>
                </c:pt>
                <c:pt idx="62">
                  <c:v>2.355512784479325E-3</c:v>
                </c:pt>
                <c:pt idx="63">
                  <c:v>2.355512784479325E-3</c:v>
                </c:pt>
                <c:pt idx="64">
                  <c:v>2.355512784479325E-3</c:v>
                </c:pt>
                <c:pt idx="65">
                  <c:v>2.355512784479325E-3</c:v>
                </c:pt>
                <c:pt idx="66">
                  <c:v>2.355512784479325E-3</c:v>
                </c:pt>
                <c:pt idx="67">
                  <c:v>2.355512784479325E-3</c:v>
                </c:pt>
                <c:pt idx="68">
                  <c:v>2.355512784479325E-3</c:v>
                </c:pt>
                <c:pt idx="69">
                  <c:v>2.355512784479325E-3</c:v>
                </c:pt>
                <c:pt idx="70">
                  <c:v>2.355512784479325E-3</c:v>
                </c:pt>
                <c:pt idx="71">
                  <c:v>2.355512784479325E-3</c:v>
                </c:pt>
                <c:pt idx="72">
                  <c:v>2.355512784479325E-3</c:v>
                </c:pt>
                <c:pt idx="73">
                  <c:v>2.355512784479325E-3</c:v>
                </c:pt>
                <c:pt idx="74">
                  <c:v>2.355512784479325E-3</c:v>
                </c:pt>
                <c:pt idx="75">
                  <c:v>2.355512784479325E-3</c:v>
                </c:pt>
                <c:pt idx="76">
                  <c:v>2.355512784479325E-3</c:v>
                </c:pt>
                <c:pt idx="77">
                  <c:v>2.355512784479325E-3</c:v>
                </c:pt>
                <c:pt idx="78">
                  <c:v>2.355512784479325E-3</c:v>
                </c:pt>
                <c:pt idx="79">
                  <c:v>2.355512784479325E-3</c:v>
                </c:pt>
                <c:pt idx="80">
                  <c:v>2.355512784479325E-3</c:v>
                </c:pt>
                <c:pt idx="81">
                  <c:v>2.355512784479325E-3</c:v>
                </c:pt>
                <c:pt idx="82">
                  <c:v>2.355512784479325E-3</c:v>
                </c:pt>
                <c:pt idx="83">
                  <c:v>2.355512784479325E-3</c:v>
                </c:pt>
                <c:pt idx="84">
                  <c:v>2.355512784479325E-3</c:v>
                </c:pt>
                <c:pt idx="85">
                  <c:v>2.355512784479325E-3</c:v>
                </c:pt>
                <c:pt idx="86">
                  <c:v>2.355512784479325E-3</c:v>
                </c:pt>
                <c:pt idx="87">
                  <c:v>2.355512784479325E-3</c:v>
                </c:pt>
                <c:pt idx="88">
                  <c:v>2.355512784479325E-3</c:v>
                </c:pt>
                <c:pt idx="89">
                  <c:v>2.355512784479325E-3</c:v>
                </c:pt>
                <c:pt idx="90">
                  <c:v>2.355512784479325E-3</c:v>
                </c:pt>
                <c:pt idx="91">
                  <c:v>2.355512784479325E-3</c:v>
                </c:pt>
                <c:pt idx="92">
                  <c:v>2.355512784479325E-3</c:v>
                </c:pt>
                <c:pt idx="93">
                  <c:v>2.355512784479325E-3</c:v>
                </c:pt>
                <c:pt idx="94">
                  <c:v>2.355512784479325E-3</c:v>
                </c:pt>
                <c:pt idx="95">
                  <c:v>2.355512784479325E-3</c:v>
                </c:pt>
                <c:pt idx="96">
                  <c:v>2.355512784479325E-3</c:v>
                </c:pt>
                <c:pt idx="97">
                  <c:v>2.355512784479325E-3</c:v>
                </c:pt>
                <c:pt idx="98">
                  <c:v>2.355512784479325E-3</c:v>
                </c:pt>
                <c:pt idx="99">
                  <c:v>2.355512784479325E-3</c:v>
                </c:pt>
                <c:pt idx="100">
                  <c:v>2.355512784479325E-3</c:v>
                </c:pt>
                <c:pt idx="101">
                  <c:v>2.355512784479325E-3</c:v>
                </c:pt>
                <c:pt idx="102">
                  <c:v>2.355512784479325E-3</c:v>
                </c:pt>
                <c:pt idx="103">
                  <c:v>2.355512784479325E-3</c:v>
                </c:pt>
                <c:pt idx="104">
                  <c:v>2.355512784479325E-3</c:v>
                </c:pt>
                <c:pt idx="105">
                  <c:v>2.355512784479325E-3</c:v>
                </c:pt>
                <c:pt idx="106">
                  <c:v>2.355512784479325E-3</c:v>
                </c:pt>
                <c:pt idx="107">
                  <c:v>2.355512784479325E-3</c:v>
                </c:pt>
                <c:pt idx="108">
                  <c:v>2.355512784479325E-3</c:v>
                </c:pt>
                <c:pt idx="109">
                  <c:v>2.355512784479325E-3</c:v>
                </c:pt>
                <c:pt idx="110">
                  <c:v>2.355512784479325E-3</c:v>
                </c:pt>
                <c:pt idx="111">
                  <c:v>2.355512784479325E-3</c:v>
                </c:pt>
                <c:pt idx="112">
                  <c:v>2.355512784479325E-3</c:v>
                </c:pt>
                <c:pt idx="113">
                  <c:v>2.355512784479325E-3</c:v>
                </c:pt>
                <c:pt idx="114">
                  <c:v>2.355512784479325E-3</c:v>
                </c:pt>
                <c:pt idx="115">
                  <c:v>2.355512784479325E-3</c:v>
                </c:pt>
                <c:pt idx="116">
                  <c:v>2.355512784479325E-3</c:v>
                </c:pt>
                <c:pt idx="117">
                  <c:v>2.355512784479325E-3</c:v>
                </c:pt>
                <c:pt idx="118">
                  <c:v>2.355512784479325E-3</c:v>
                </c:pt>
                <c:pt idx="119">
                  <c:v>2.355512784479325E-3</c:v>
                </c:pt>
                <c:pt idx="120">
                  <c:v>2.355512784479325E-3</c:v>
                </c:pt>
                <c:pt idx="121">
                  <c:v>2.355512784479325E-3</c:v>
                </c:pt>
                <c:pt idx="122">
                  <c:v>2.355512784479325E-3</c:v>
                </c:pt>
                <c:pt idx="123">
                  <c:v>2.355512784479325E-3</c:v>
                </c:pt>
                <c:pt idx="124">
                  <c:v>2.355512784479325E-3</c:v>
                </c:pt>
                <c:pt idx="125">
                  <c:v>2.355512784479325E-3</c:v>
                </c:pt>
                <c:pt idx="126">
                  <c:v>2.355512784479325E-3</c:v>
                </c:pt>
                <c:pt idx="127">
                  <c:v>2.355512784479325E-3</c:v>
                </c:pt>
                <c:pt idx="128">
                  <c:v>2.355512784479325E-3</c:v>
                </c:pt>
                <c:pt idx="129">
                  <c:v>2.355512784479325E-3</c:v>
                </c:pt>
                <c:pt idx="130">
                  <c:v>2.355512784479325E-3</c:v>
                </c:pt>
                <c:pt idx="131">
                  <c:v>2.355512784479325E-3</c:v>
                </c:pt>
                <c:pt idx="132">
                  <c:v>2.355512784479325E-3</c:v>
                </c:pt>
                <c:pt idx="133">
                  <c:v>2.355512784479325E-3</c:v>
                </c:pt>
                <c:pt idx="134">
                  <c:v>2.355512784479325E-3</c:v>
                </c:pt>
                <c:pt idx="135">
                  <c:v>2.355512784479325E-3</c:v>
                </c:pt>
                <c:pt idx="136">
                  <c:v>2.355512784479325E-3</c:v>
                </c:pt>
                <c:pt idx="137">
                  <c:v>2.355512784479325E-3</c:v>
                </c:pt>
                <c:pt idx="138">
                  <c:v>2.355512784479325E-3</c:v>
                </c:pt>
                <c:pt idx="139">
                  <c:v>2.355512784479325E-3</c:v>
                </c:pt>
                <c:pt idx="140">
                  <c:v>2.355512784479325E-3</c:v>
                </c:pt>
                <c:pt idx="141">
                  <c:v>2.355512784479325E-3</c:v>
                </c:pt>
                <c:pt idx="142">
                  <c:v>2.355512784479325E-3</c:v>
                </c:pt>
                <c:pt idx="143">
                  <c:v>2.355512784479325E-3</c:v>
                </c:pt>
                <c:pt idx="144">
                  <c:v>2.355512784479325E-3</c:v>
                </c:pt>
                <c:pt idx="145">
                  <c:v>2.355512784479325E-3</c:v>
                </c:pt>
                <c:pt idx="146">
                  <c:v>2.355512784479325E-3</c:v>
                </c:pt>
                <c:pt idx="147">
                  <c:v>2.355512784479325E-3</c:v>
                </c:pt>
                <c:pt idx="148">
                  <c:v>2.355512784479325E-3</c:v>
                </c:pt>
                <c:pt idx="149">
                  <c:v>2.355512784479325E-3</c:v>
                </c:pt>
                <c:pt idx="150">
                  <c:v>2.355512784479325E-3</c:v>
                </c:pt>
                <c:pt idx="151">
                  <c:v>2.355512784479325E-3</c:v>
                </c:pt>
                <c:pt idx="152">
                  <c:v>2.355512784479325E-3</c:v>
                </c:pt>
                <c:pt idx="153">
                  <c:v>2.355512784479325E-3</c:v>
                </c:pt>
                <c:pt idx="154">
                  <c:v>2.355512784479325E-3</c:v>
                </c:pt>
                <c:pt idx="155">
                  <c:v>2.355512784479325E-3</c:v>
                </c:pt>
                <c:pt idx="156">
                  <c:v>2.355512784479325E-3</c:v>
                </c:pt>
                <c:pt idx="157">
                  <c:v>2.355512784479325E-3</c:v>
                </c:pt>
                <c:pt idx="158">
                  <c:v>2.355512784479325E-3</c:v>
                </c:pt>
                <c:pt idx="159">
                  <c:v>2.355512784479325E-3</c:v>
                </c:pt>
                <c:pt idx="160">
                  <c:v>2.355512784479325E-3</c:v>
                </c:pt>
                <c:pt idx="161">
                  <c:v>2.355512784479325E-3</c:v>
                </c:pt>
                <c:pt idx="162">
                  <c:v>2.355512784479325E-3</c:v>
                </c:pt>
                <c:pt idx="163">
                  <c:v>2.355512784479325E-3</c:v>
                </c:pt>
                <c:pt idx="164">
                  <c:v>2.355512784479325E-3</c:v>
                </c:pt>
                <c:pt idx="165">
                  <c:v>2.355512784479325E-3</c:v>
                </c:pt>
                <c:pt idx="166">
                  <c:v>2.355512784479325E-3</c:v>
                </c:pt>
                <c:pt idx="167">
                  <c:v>2.355512784479325E-3</c:v>
                </c:pt>
                <c:pt idx="168">
                  <c:v>2.355512784479325E-3</c:v>
                </c:pt>
                <c:pt idx="169">
                  <c:v>2.355512784479325E-3</c:v>
                </c:pt>
                <c:pt idx="170">
                  <c:v>2.355512784479325E-3</c:v>
                </c:pt>
                <c:pt idx="171">
                  <c:v>2.355512784479325E-3</c:v>
                </c:pt>
                <c:pt idx="172">
                  <c:v>2.355512784479325E-3</c:v>
                </c:pt>
                <c:pt idx="173">
                  <c:v>2.355512784479325E-3</c:v>
                </c:pt>
                <c:pt idx="174">
                  <c:v>2.355512784479325E-3</c:v>
                </c:pt>
                <c:pt idx="175">
                  <c:v>2.355512784479325E-3</c:v>
                </c:pt>
                <c:pt idx="176">
                  <c:v>2.355512784479325E-3</c:v>
                </c:pt>
                <c:pt idx="177">
                  <c:v>2.355512784479325E-3</c:v>
                </c:pt>
                <c:pt idx="178">
                  <c:v>2.355512784479325E-3</c:v>
                </c:pt>
                <c:pt idx="179">
                  <c:v>2.355512784479325E-3</c:v>
                </c:pt>
                <c:pt idx="180">
                  <c:v>2.355512784479325E-3</c:v>
                </c:pt>
                <c:pt idx="181">
                  <c:v>2.355512784479325E-3</c:v>
                </c:pt>
                <c:pt idx="182">
                  <c:v>2.355512784479325E-3</c:v>
                </c:pt>
                <c:pt idx="183">
                  <c:v>2.355512784479325E-3</c:v>
                </c:pt>
                <c:pt idx="184">
                  <c:v>2.355512784479325E-3</c:v>
                </c:pt>
                <c:pt idx="185">
                  <c:v>2.355512784479325E-3</c:v>
                </c:pt>
                <c:pt idx="186">
                  <c:v>2.355512784479325E-3</c:v>
                </c:pt>
                <c:pt idx="187">
                  <c:v>2.355512784479325E-3</c:v>
                </c:pt>
                <c:pt idx="188">
                  <c:v>2.355512784479325E-3</c:v>
                </c:pt>
                <c:pt idx="189">
                  <c:v>2.355512784479325E-3</c:v>
                </c:pt>
                <c:pt idx="190">
                  <c:v>2.355512784479325E-3</c:v>
                </c:pt>
                <c:pt idx="191">
                  <c:v>2.355512784479325E-3</c:v>
                </c:pt>
                <c:pt idx="192">
                  <c:v>2.355512784479325E-3</c:v>
                </c:pt>
                <c:pt idx="193">
                  <c:v>2.355512784479325E-3</c:v>
                </c:pt>
                <c:pt idx="194">
                  <c:v>2.355512784479325E-3</c:v>
                </c:pt>
                <c:pt idx="195">
                  <c:v>2.355512784479325E-3</c:v>
                </c:pt>
                <c:pt idx="196">
                  <c:v>2.355512784479325E-3</c:v>
                </c:pt>
                <c:pt idx="197">
                  <c:v>2.355512784479325E-3</c:v>
                </c:pt>
                <c:pt idx="198">
                  <c:v>2.355512784479325E-3</c:v>
                </c:pt>
                <c:pt idx="199">
                  <c:v>2.355512784479325E-3</c:v>
                </c:pt>
                <c:pt idx="200">
                  <c:v>2.355512784479325E-3</c:v>
                </c:pt>
                <c:pt idx="201">
                  <c:v>2.355512784479325E-3</c:v>
                </c:pt>
                <c:pt idx="202">
                  <c:v>2.355512784479325E-3</c:v>
                </c:pt>
                <c:pt idx="203">
                  <c:v>2.355512784479325E-3</c:v>
                </c:pt>
                <c:pt idx="204">
                  <c:v>2.355512784479325E-3</c:v>
                </c:pt>
                <c:pt idx="205">
                  <c:v>2.355512784479325E-3</c:v>
                </c:pt>
                <c:pt idx="206">
                  <c:v>2.355512784479325E-3</c:v>
                </c:pt>
                <c:pt idx="207">
                  <c:v>2.355512784479325E-3</c:v>
                </c:pt>
                <c:pt idx="208">
                  <c:v>2.355512784479325E-3</c:v>
                </c:pt>
                <c:pt idx="209">
                  <c:v>2.355512784479325E-3</c:v>
                </c:pt>
                <c:pt idx="210">
                  <c:v>2.355512784479325E-3</c:v>
                </c:pt>
                <c:pt idx="211">
                  <c:v>2.355512784479325E-3</c:v>
                </c:pt>
                <c:pt idx="212">
                  <c:v>2.355512784479325E-3</c:v>
                </c:pt>
                <c:pt idx="213">
                  <c:v>2.355512784479325E-3</c:v>
                </c:pt>
                <c:pt idx="214">
                  <c:v>2.355512784479325E-3</c:v>
                </c:pt>
                <c:pt idx="215">
                  <c:v>2.355512784479325E-3</c:v>
                </c:pt>
                <c:pt idx="216">
                  <c:v>2.355512784479325E-3</c:v>
                </c:pt>
                <c:pt idx="217">
                  <c:v>2.355512784479325E-3</c:v>
                </c:pt>
                <c:pt idx="218">
                  <c:v>2.355512784479325E-3</c:v>
                </c:pt>
                <c:pt idx="219">
                  <c:v>2.355512784479325E-3</c:v>
                </c:pt>
                <c:pt idx="220">
                  <c:v>2.355512784479325E-3</c:v>
                </c:pt>
                <c:pt idx="221">
                  <c:v>2.355512784479325E-3</c:v>
                </c:pt>
                <c:pt idx="222">
                  <c:v>2.355512784479325E-3</c:v>
                </c:pt>
                <c:pt idx="223">
                  <c:v>2.355512784479325E-3</c:v>
                </c:pt>
                <c:pt idx="224">
                  <c:v>2.355512784479325E-3</c:v>
                </c:pt>
                <c:pt idx="225">
                  <c:v>2.355512784479325E-3</c:v>
                </c:pt>
                <c:pt idx="226">
                  <c:v>2.355512784479325E-3</c:v>
                </c:pt>
                <c:pt idx="227">
                  <c:v>2.355512784479325E-3</c:v>
                </c:pt>
                <c:pt idx="228">
                  <c:v>2.355512784479325E-3</c:v>
                </c:pt>
                <c:pt idx="229">
                  <c:v>2.355512784479325E-3</c:v>
                </c:pt>
                <c:pt idx="230">
                  <c:v>2.355512784479325E-3</c:v>
                </c:pt>
                <c:pt idx="231">
                  <c:v>2.355512784479325E-3</c:v>
                </c:pt>
                <c:pt idx="232">
                  <c:v>2.355512784479325E-3</c:v>
                </c:pt>
                <c:pt idx="233">
                  <c:v>2.355512784479325E-3</c:v>
                </c:pt>
                <c:pt idx="234">
                  <c:v>2.355512784479325E-3</c:v>
                </c:pt>
                <c:pt idx="235">
                  <c:v>2.355512784479325E-3</c:v>
                </c:pt>
                <c:pt idx="236">
                  <c:v>2.355512784479325E-3</c:v>
                </c:pt>
                <c:pt idx="237">
                  <c:v>2.355512784479325E-3</c:v>
                </c:pt>
                <c:pt idx="238">
                  <c:v>2.355512784479325E-3</c:v>
                </c:pt>
                <c:pt idx="239">
                  <c:v>2.355512784479325E-3</c:v>
                </c:pt>
                <c:pt idx="240">
                  <c:v>2.355512784479325E-3</c:v>
                </c:pt>
                <c:pt idx="241">
                  <c:v>2.355512784479325E-3</c:v>
                </c:pt>
                <c:pt idx="242">
                  <c:v>2.355512784479325E-3</c:v>
                </c:pt>
                <c:pt idx="243">
                  <c:v>2.355512784479325E-3</c:v>
                </c:pt>
                <c:pt idx="244">
                  <c:v>2.355512784479325E-3</c:v>
                </c:pt>
                <c:pt idx="245">
                  <c:v>2.355512784479325E-3</c:v>
                </c:pt>
                <c:pt idx="246">
                  <c:v>2.355512784479325E-3</c:v>
                </c:pt>
                <c:pt idx="247">
                  <c:v>2.355512784479325E-3</c:v>
                </c:pt>
                <c:pt idx="248">
                  <c:v>2.355512784479325E-3</c:v>
                </c:pt>
                <c:pt idx="249">
                  <c:v>2.355512784479325E-3</c:v>
                </c:pt>
                <c:pt idx="250">
                  <c:v>2.355512784479325E-3</c:v>
                </c:pt>
                <c:pt idx="251">
                  <c:v>2.355512784479325E-3</c:v>
                </c:pt>
                <c:pt idx="252">
                  <c:v>2.355512784479325E-3</c:v>
                </c:pt>
                <c:pt idx="253">
                  <c:v>2.355512784479325E-3</c:v>
                </c:pt>
                <c:pt idx="254">
                  <c:v>2.355512784479325E-3</c:v>
                </c:pt>
                <c:pt idx="255">
                  <c:v>2.355512784479325E-3</c:v>
                </c:pt>
                <c:pt idx="256">
                  <c:v>2.355512784479325E-3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'12MSynthDepo'!$AJ$2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'12MSynthDepo'!$AG$3:$AG$259</c:f>
              <c:numCache>
                <c:formatCode>ddd\,\ dd\-mmm\-yyyy</c:formatCode>
                <c:ptCount val="257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  <c:pt idx="24">
                  <c:v>42831</c:v>
                </c:pt>
                <c:pt idx="25">
                  <c:v>42832</c:v>
                </c:pt>
                <c:pt idx="26">
                  <c:v>42835</c:v>
                </c:pt>
                <c:pt idx="27">
                  <c:v>42836</c:v>
                </c:pt>
                <c:pt idx="28">
                  <c:v>42837</c:v>
                </c:pt>
                <c:pt idx="29">
                  <c:v>42838</c:v>
                </c:pt>
                <c:pt idx="30">
                  <c:v>42843</c:v>
                </c:pt>
                <c:pt idx="31">
                  <c:v>42844</c:v>
                </c:pt>
                <c:pt idx="32">
                  <c:v>42845</c:v>
                </c:pt>
                <c:pt idx="33">
                  <c:v>42846</c:v>
                </c:pt>
                <c:pt idx="34">
                  <c:v>42849</c:v>
                </c:pt>
                <c:pt idx="35">
                  <c:v>42850</c:v>
                </c:pt>
                <c:pt idx="36">
                  <c:v>42851</c:v>
                </c:pt>
                <c:pt idx="37">
                  <c:v>42852</c:v>
                </c:pt>
                <c:pt idx="38">
                  <c:v>42853</c:v>
                </c:pt>
                <c:pt idx="39">
                  <c:v>42857</c:v>
                </c:pt>
                <c:pt idx="40">
                  <c:v>42858</c:v>
                </c:pt>
                <c:pt idx="41">
                  <c:v>42859</c:v>
                </c:pt>
                <c:pt idx="42">
                  <c:v>42860</c:v>
                </c:pt>
                <c:pt idx="43">
                  <c:v>42863</c:v>
                </c:pt>
                <c:pt idx="44">
                  <c:v>42864</c:v>
                </c:pt>
                <c:pt idx="45">
                  <c:v>42865</c:v>
                </c:pt>
                <c:pt idx="46">
                  <c:v>42866</c:v>
                </c:pt>
                <c:pt idx="47">
                  <c:v>42867</c:v>
                </c:pt>
                <c:pt idx="48">
                  <c:v>42870</c:v>
                </c:pt>
                <c:pt idx="49">
                  <c:v>42871</c:v>
                </c:pt>
                <c:pt idx="50">
                  <c:v>42872</c:v>
                </c:pt>
                <c:pt idx="51">
                  <c:v>42873</c:v>
                </c:pt>
                <c:pt idx="52">
                  <c:v>42874</c:v>
                </c:pt>
                <c:pt idx="53">
                  <c:v>42877</c:v>
                </c:pt>
                <c:pt idx="54">
                  <c:v>42878</c:v>
                </c:pt>
                <c:pt idx="55">
                  <c:v>42879</c:v>
                </c:pt>
                <c:pt idx="56">
                  <c:v>42880</c:v>
                </c:pt>
                <c:pt idx="57">
                  <c:v>42881</c:v>
                </c:pt>
                <c:pt idx="58">
                  <c:v>42884</c:v>
                </c:pt>
                <c:pt idx="59">
                  <c:v>42885</c:v>
                </c:pt>
                <c:pt idx="60">
                  <c:v>42886</c:v>
                </c:pt>
                <c:pt idx="61">
                  <c:v>42887</c:v>
                </c:pt>
                <c:pt idx="62">
                  <c:v>42888</c:v>
                </c:pt>
                <c:pt idx="63">
                  <c:v>42891</c:v>
                </c:pt>
                <c:pt idx="64">
                  <c:v>42892</c:v>
                </c:pt>
                <c:pt idx="65">
                  <c:v>42893</c:v>
                </c:pt>
                <c:pt idx="66">
                  <c:v>42894</c:v>
                </c:pt>
                <c:pt idx="67">
                  <c:v>42895</c:v>
                </c:pt>
                <c:pt idx="68">
                  <c:v>42898</c:v>
                </c:pt>
                <c:pt idx="69">
                  <c:v>42899</c:v>
                </c:pt>
                <c:pt idx="70">
                  <c:v>42900</c:v>
                </c:pt>
                <c:pt idx="71">
                  <c:v>42901</c:v>
                </c:pt>
                <c:pt idx="72">
                  <c:v>42902</c:v>
                </c:pt>
                <c:pt idx="73">
                  <c:v>42905</c:v>
                </c:pt>
                <c:pt idx="74">
                  <c:v>42906</c:v>
                </c:pt>
                <c:pt idx="75">
                  <c:v>42907</c:v>
                </c:pt>
                <c:pt idx="76">
                  <c:v>42908</c:v>
                </c:pt>
                <c:pt idx="77">
                  <c:v>42909</c:v>
                </c:pt>
                <c:pt idx="78">
                  <c:v>42912</c:v>
                </c:pt>
                <c:pt idx="79">
                  <c:v>42913</c:v>
                </c:pt>
                <c:pt idx="80">
                  <c:v>42914</c:v>
                </c:pt>
                <c:pt idx="81">
                  <c:v>42915</c:v>
                </c:pt>
                <c:pt idx="82">
                  <c:v>42916</c:v>
                </c:pt>
                <c:pt idx="83">
                  <c:v>42919</c:v>
                </c:pt>
                <c:pt idx="84">
                  <c:v>42920</c:v>
                </c:pt>
                <c:pt idx="85">
                  <c:v>42921</c:v>
                </c:pt>
                <c:pt idx="86">
                  <c:v>42922</c:v>
                </c:pt>
                <c:pt idx="87">
                  <c:v>42923</c:v>
                </c:pt>
                <c:pt idx="88">
                  <c:v>42926</c:v>
                </c:pt>
                <c:pt idx="89">
                  <c:v>42927</c:v>
                </c:pt>
                <c:pt idx="90">
                  <c:v>42928</c:v>
                </c:pt>
                <c:pt idx="91">
                  <c:v>42929</c:v>
                </c:pt>
                <c:pt idx="92">
                  <c:v>42930</c:v>
                </c:pt>
                <c:pt idx="93">
                  <c:v>42933</c:v>
                </c:pt>
                <c:pt idx="94">
                  <c:v>42934</c:v>
                </c:pt>
                <c:pt idx="95">
                  <c:v>42935</c:v>
                </c:pt>
                <c:pt idx="96">
                  <c:v>42936</c:v>
                </c:pt>
                <c:pt idx="97">
                  <c:v>42937</c:v>
                </c:pt>
                <c:pt idx="98">
                  <c:v>42940</c:v>
                </c:pt>
                <c:pt idx="99">
                  <c:v>42941</c:v>
                </c:pt>
                <c:pt idx="100">
                  <c:v>42942</c:v>
                </c:pt>
                <c:pt idx="101">
                  <c:v>42943</c:v>
                </c:pt>
                <c:pt idx="102">
                  <c:v>42944</c:v>
                </c:pt>
                <c:pt idx="103">
                  <c:v>42947</c:v>
                </c:pt>
                <c:pt idx="104">
                  <c:v>42948</c:v>
                </c:pt>
                <c:pt idx="105">
                  <c:v>42949</c:v>
                </c:pt>
                <c:pt idx="106">
                  <c:v>42950</c:v>
                </c:pt>
                <c:pt idx="107">
                  <c:v>42951</c:v>
                </c:pt>
                <c:pt idx="108">
                  <c:v>42954</c:v>
                </c:pt>
                <c:pt idx="109">
                  <c:v>42955</c:v>
                </c:pt>
                <c:pt idx="110">
                  <c:v>42956</c:v>
                </c:pt>
                <c:pt idx="111">
                  <c:v>42957</c:v>
                </c:pt>
                <c:pt idx="112">
                  <c:v>42958</c:v>
                </c:pt>
                <c:pt idx="113">
                  <c:v>42961</c:v>
                </c:pt>
                <c:pt idx="114">
                  <c:v>42962</c:v>
                </c:pt>
                <c:pt idx="115">
                  <c:v>42963</c:v>
                </c:pt>
                <c:pt idx="116">
                  <c:v>42964</c:v>
                </c:pt>
                <c:pt idx="117">
                  <c:v>42965</c:v>
                </c:pt>
                <c:pt idx="118">
                  <c:v>42968</c:v>
                </c:pt>
                <c:pt idx="119">
                  <c:v>42969</c:v>
                </c:pt>
                <c:pt idx="120">
                  <c:v>42970</c:v>
                </c:pt>
                <c:pt idx="121">
                  <c:v>42971</c:v>
                </c:pt>
                <c:pt idx="122">
                  <c:v>42972</c:v>
                </c:pt>
                <c:pt idx="123">
                  <c:v>42975</c:v>
                </c:pt>
                <c:pt idx="124">
                  <c:v>42976</c:v>
                </c:pt>
                <c:pt idx="125">
                  <c:v>42977</c:v>
                </c:pt>
                <c:pt idx="126">
                  <c:v>42978</c:v>
                </c:pt>
                <c:pt idx="127">
                  <c:v>42979</c:v>
                </c:pt>
                <c:pt idx="128">
                  <c:v>42982</c:v>
                </c:pt>
                <c:pt idx="129">
                  <c:v>42983</c:v>
                </c:pt>
                <c:pt idx="130">
                  <c:v>42984</c:v>
                </c:pt>
                <c:pt idx="131">
                  <c:v>42985</c:v>
                </c:pt>
                <c:pt idx="132">
                  <c:v>42986</c:v>
                </c:pt>
                <c:pt idx="133">
                  <c:v>42989</c:v>
                </c:pt>
                <c:pt idx="134">
                  <c:v>42990</c:v>
                </c:pt>
                <c:pt idx="135">
                  <c:v>42991</c:v>
                </c:pt>
                <c:pt idx="136">
                  <c:v>42992</c:v>
                </c:pt>
                <c:pt idx="137">
                  <c:v>42993</c:v>
                </c:pt>
                <c:pt idx="138">
                  <c:v>42996</c:v>
                </c:pt>
                <c:pt idx="139">
                  <c:v>42997</c:v>
                </c:pt>
                <c:pt idx="140">
                  <c:v>42998</c:v>
                </c:pt>
                <c:pt idx="141">
                  <c:v>42999</c:v>
                </c:pt>
                <c:pt idx="142">
                  <c:v>43000</c:v>
                </c:pt>
                <c:pt idx="143">
                  <c:v>43003</c:v>
                </c:pt>
                <c:pt idx="144">
                  <c:v>43004</c:v>
                </c:pt>
                <c:pt idx="145">
                  <c:v>43005</c:v>
                </c:pt>
                <c:pt idx="146">
                  <c:v>43006</c:v>
                </c:pt>
                <c:pt idx="147">
                  <c:v>43007</c:v>
                </c:pt>
                <c:pt idx="148">
                  <c:v>43010</c:v>
                </c:pt>
                <c:pt idx="149">
                  <c:v>43011</c:v>
                </c:pt>
                <c:pt idx="150">
                  <c:v>43012</c:v>
                </c:pt>
                <c:pt idx="151">
                  <c:v>43013</c:v>
                </c:pt>
                <c:pt idx="152">
                  <c:v>43014</c:v>
                </c:pt>
                <c:pt idx="153">
                  <c:v>43017</c:v>
                </c:pt>
                <c:pt idx="154">
                  <c:v>43018</c:v>
                </c:pt>
                <c:pt idx="155">
                  <c:v>43019</c:v>
                </c:pt>
                <c:pt idx="156">
                  <c:v>43020</c:v>
                </c:pt>
                <c:pt idx="157">
                  <c:v>43021</c:v>
                </c:pt>
                <c:pt idx="158">
                  <c:v>43024</c:v>
                </c:pt>
                <c:pt idx="159">
                  <c:v>43025</c:v>
                </c:pt>
                <c:pt idx="160">
                  <c:v>43026</c:v>
                </c:pt>
                <c:pt idx="161">
                  <c:v>43027</c:v>
                </c:pt>
                <c:pt idx="162">
                  <c:v>43028</c:v>
                </c:pt>
                <c:pt idx="163">
                  <c:v>43031</c:v>
                </c:pt>
                <c:pt idx="164">
                  <c:v>43032</c:v>
                </c:pt>
                <c:pt idx="165">
                  <c:v>43033</c:v>
                </c:pt>
                <c:pt idx="166">
                  <c:v>43034</c:v>
                </c:pt>
                <c:pt idx="167">
                  <c:v>43035</c:v>
                </c:pt>
                <c:pt idx="168">
                  <c:v>43038</c:v>
                </c:pt>
                <c:pt idx="169">
                  <c:v>43039</c:v>
                </c:pt>
                <c:pt idx="170">
                  <c:v>43040</c:v>
                </c:pt>
                <c:pt idx="171">
                  <c:v>43041</c:v>
                </c:pt>
                <c:pt idx="172">
                  <c:v>43042</c:v>
                </c:pt>
                <c:pt idx="173">
                  <c:v>43045</c:v>
                </c:pt>
                <c:pt idx="174">
                  <c:v>43046</c:v>
                </c:pt>
                <c:pt idx="175">
                  <c:v>43047</c:v>
                </c:pt>
                <c:pt idx="176">
                  <c:v>43048</c:v>
                </c:pt>
                <c:pt idx="177">
                  <c:v>43049</c:v>
                </c:pt>
                <c:pt idx="178">
                  <c:v>43052</c:v>
                </c:pt>
                <c:pt idx="179">
                  <c:v>43053</c:v>
                </c:pt>
                <c:pt idx="180">
                  <c:v>43054</c:v>
                </c:pt>
                <c:pt idx="181">
                  <c:v>43055</c:v>
                </c:pt>
                <c:pt idx="182">
                  <c:v>43056</c:v>
                </c:pt>
                <c:pt idx="183">
                  <c:v>43059</c:v>
                </c:pt>
                <c:pt idx="184">
                  <c:v>43060</c:v>
                </c:pt>
                <c:pt idx="185">
                  <c:v>43061</c:v>
                </c:pt>
                <c:pt idx="186">
                  <c:v>43062</c:v>
                </c:pt>
                <c:pt idx="187">
                  <c:v>43063</c:v>
                </c:pt>
                <c:pt idx="188">
                  <c:v>43066</c:v>
                </c:pt>
                <c:pt idx="189">
                  <c:v>43067</c:v>
                </c:pt>
                <c:pt idx="190">
                  <c:v>43068</c:v>
                </c:pt>
                <c:pt idx="191">
                  <c:v>43069</c:v>
                </c:pt>
                <c:pt idx="192">
                  <c:v>43070</c:v>
                </c:pt>
                <c:pt idx="193">
                  <c:v>43073</c:v>
                </c:pt>
                <c:pt idx="194">
                  <c:v>43074</c:v>
                </c:pt>
                <c:pt idx="195">
                  <c:v>43075</c:v>
                </c:pt>
                <c:pt idx="196">
                  <c:v>43076</c:v>
                </c:pt>
                <c:pt idx="197">
                  <c:v>43077</c:v>
                </c:pt>
                <c:pt idx="198">
                  <c:v>43080</c:v>
                </c:pt>
                <c:pt idx="199">
                  <c:v>43081</c:v>
                </c:pt>
                <c:pt idx="200">
                  <c:v>43082</c:v>
                </c:pt>
                <c:pt idx="201">
                  <c:v>43083</c:v>
                </c:pt>
                <c:pt idx="202">
                  <c:v>43084</c:v>
                </c:pt>
                <c:pt idx="203">
                  <c:v>43087</c:v>
                </c:pt>
                <c:pt idx="204">
                  <c:v>43088</c:v>
                </c:pt>
                <c:pt idx="205">
                  <c:v>43089</c:v>
                </c:pt>
                <c:pt idx="206">
                  <c:v>43090</c:v>
                </c:pt>
                <c:pt idx="207">
                  <c:v>43091</c:v>
                </c:pt>
                <c:pt idx="208">
                  <c:v>43096</c:v>
                </c:pt>
                <c:pt idx="209">
                  <c:v>43097</c:v>
                </c:pt>
                <c:pt idx="210">
                  <c:v>43098</c:v>
                </c:pt>
                <c:pt idx="211">
                  <c:v>43102</c:v>
                </c:pt>
                <c:pt idx="212">
                  <c:v>43103</c:v>
                </c:pt>
                <c:pt idx="213">
                  <c:v>43104</c:v>
                </c:pt>
                <c:pt idx="214">
                  <c:v>43105</c:v>
                </c:pt>
                <c:pt idx="215">
                  <c:v>43108</c:v>
                </c:pt>
                <c:pt idx="216">
                  <c:v>43109</c:v>
                </c:pt>
                <c:pt idx="217">
                  <c:v>43110</c:v>
                </c:pt>
                <c:pt idx="218">
                  <c:v>43111</c:v>
                </c:pt>
                <c:pt idx="219">
                  <c:v>43112</c:v>
                </c:pt>
                <c:pt idx="220">
                  <c:v>43115</c:v>
                </c:pt>
                <c:pt idx="221">
                  <c:v>43116</c:v>
                </c:pt>
                <c:pt idx="222">
                  <c:v>43117</c:v>
                </c:pt>
                <c:pt idx="223">
                  <c:v>43118</c:v>
                </c:pt>
                <c:pt idx="224">
                  <c:v>43119</c:v>
                </c:pt>
                <c:pt idx="225">
                  <c:v>43122</c:v>
                </c:pt>
                <c:pt idx="226">
                  <c:v>43123</c:v>
                </c:pt>
                <c:pt idx="227">
                  <c:v>43124</c:v>
                </c:pt>
                <c:pt idx="228">
                  <c:v>43125</c:v>
                </c:pt>
                <c:pt idx="229">
                  <c:v>43126</c:v>
                </c:pt>
                <c:pt idx="230">
                  <c:v>43129</c:v>
                </c:pt>
                <c:pt idx="231">
                  <c:v>43130</c:v>
                </c:pt>
                <c:pt idx="232">
                  <c:v>43131</c:v>
                </c:pt>
                <c:pt idx="233">
                  <c:v>43132</c:v>
                </c:pt>
                <c:pt idx="234">
                  <c:v>43133</c:v>
                </c:pt>
                <c:pt idx="235">
                  <c:v>43136</c:v>
                </c:pt>
                <c:pt idx="236">
                  <c:v>43137</c:v>
                </c:pt>
                <c:pt idx="237">
                  <c:v>43138</c:v>
                </c:pt>
                <c:pt idx="238">
                  <c:v>43139</c:v>
                </c:pt>
                <c:pt idx="239">
                  <c:v>43140</c:v>
                </c:pt>
                <c:pt idx="240">
                  <c:v>43143</c:v>
                </c:pt>
                <c:pt idx="241">
                  <c:v>43144</c:v>
                </c:pt>
                <c:pt idx="242">
                  <c:v>43145</c:v>
                </c:pt>
                <c:pt idx="243">
                  <c:v>43146</c:v>
                </c:pt>
                <c:pt idx="244">
                  <c:v>43147</c:v>
                </c:pt>
                <c:pt idx="245">
                  <c:v>43150</c:v>
                </c:pt>
                <c:pt idx="246">
                  <c:v>43151</c:v>
                </c:pt>
                <c:pt idx="247">
                  <c:v>43152</c:v>
                </c:pt>
                <c:pt idx="248">
                  <c:v>43153</c:v>
                </c:pt>
                <c:pt idx="249">
                  <c:v>43154</c:v>
                </c:pt>
                <c:pt idx="250">
                  <c:v>43157</c:v>
                </c:pt>
                <c:pt idx="251">
                  <c:v>43158</c:v>
                </c:pt>
                <c:pt idx="252">
                  <c:v>43159</c:v>
                </c:pt>
                <c:pt idx="253">
                  <c:v>43160</c:v>
                </c:pt>
                <c:pt idx="254">
                  <c:v>43161</c:v>
                </c:pt>
                <c:pt idx="255">
                  <c:v>43164</c:v>
                </c:pt>
                <c:pt idx="256">
                  <c:v>43165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1.8337383750397715E-3</c:v>
                </c:pt>
                <c:pt idx="1">
                  <c:v>1.842268746856222E-3</c:v>
                </c:pt>
                <c:pt idx="2">
                  <c:v>1.8451122041283721E-3</c:v>
                </c:pt>
                <c:pt idx="3">
                  <c:v>1.8479556614005223E-3</c:v>
                </c:pt>
                <c:pt idx="4">
                  <c:v>1.8507991186726726E-3</c:v>
                </c:pt>
                <c:pt idx="5">
                  <c:v>1.8536425759448226E-3</c:v>
                </c:pt>
                <c:pt idx="6">
                  <c:v>1.8621729477612732E-3</c:v>
                </c:pt>
                <c:pt idx="7">
                  <c:v>1.8650164050334234E-3</c:v>
                </c:pt>
                <c:pt idx="8">
                  <c:v>1.8678598623055734E-3</c:v>
                </c:pt>
                <c:pt idx="9">
                  <c:v>1.8707033195777237E-3</c:v>
                </c:pt>
                <c:pt idx="10">
                  <c:v>1.8735467768498739E-3</c:v>
                </c:pt>
                <c:pt idx="11">
                  <c:v>1.8820771486663245E-3</c:v>
                </c:pt>
                <c:pt idx="12">
                  <c:v>1.8849206059384745E-3</c:v>
                </c:pt>
                <c:pt idx="13">
                  <c:v>1.8877640632106248E-3</c:v>
                </c:pt>
                <c:pt idx="14">
                  <c:v>1.8906075204827748E-3</c:v>
                </c:pt>
                <c:pt idx="15">
                  <c:v>1.8934509777549251E-3</c:v>
                </c:pt>
                <c:pt idx="16">
                  <c:v>1.9019813495713756E-3</c:v>
                </c:pt>
                <c:pt idx="17">
                  <c:v>1.9048248068435259E-3</c:v>
                </c:pt>
                <c:pt idx="18">
                  <c:v>1.9076682641156759E-3</c:v>
                </c:pt>
                <c:pt idx="19">
                  <c:v>1.9105117213878261E-3</c:v>
                </c:pt>
                <c:pt idx="20">
                  <c:v>1.9133551786599762E-3</c:v>
                </c:pt>
                <c:pt idx="21">
                  <c:v>1.9218855504764267E-3</c:v>
                </c:pt>
                <c:pt idx="22">
                  <c:v>1.924729007748577E-3</c:v>
                </c:pt>
                <c:pt idx="23">
                  <c:v>1.927572465020727E-3</c:v>
                </c:pt>
                <c:pt idx="24">
                  <c:v>1.9304159222928773E-3</c:v>
                </c:pt>
                <c:pt idx="25">
                  <c:v>1.9332593795650275E-3</c:v>
                </c:pt>
                <c:pt idx="26">
                  <c:v>1.9417897513814781E-3</c:v>
                </c:pt>
                <c:pt idx="27">
                  <c:v>1.9446332086536281E-3</c:v>
                </c:pt>
                <c:pt idx="28">
                  <c:v>1.9474766659257783E-3</c:v>
                </c:pt>
                <c:pt idx="29">
                  <c:v>1.9503201231979286E-3</c:v>
                </c:pt>
                <c:pt idx="30">
                  <c:v>1.9645374095586792E-3</c:v>
                </c:pt>
                <c:pt idx="31">
                  <c:v>1.9673808668308297E-3</c:v>
                </c:pt>
                <c:pt idx="32">
                  <c:v>1.9702243241029797E-3</c:v>
                </c:pt>
                <c:pt idx="33">
                  <c:v>1.9730677813751298E-3</c:v>
                </c:pt>
                <c:pt idx="34">
                  <c:v>1.9815981531915803E-3</c:v>
                </c:pt>
                <c:pt idx="35">
                  <c:v>1.9844416104637308E-3</c:v>
                </c:pt>
                <c:pt idx="36">
                  <c:v>1.9872850677358808E-3</c:v>
                </c:pt>
                <c:pt idx="37">
                  <c:v>1.9901285250080308E-3</c:v>
                </c:pt>
                <c:pt idx="38">
                  <c:v>1.9929719822801809E-3</c:v>
                </c:pt>
                <c:pt idx="39">
                  <c:v>2.0043458113687819E-3</c:v>
                </c:pt>
                <c:pt idx="40">
                  <c:v>2.0071892686409319E-3</c:v>
                </c:pt>
                <c:pt idx="41">
                  <c:v>2.010032725913082E-3</c:v>
                </c:pt>
                <c:pt idx="42">
                  <c:v>2.0128761831852324E-3</c:v>
                </c:pt>
                <c:pt idx="43">
                  <c:v>2.0214065550016825E-3</c:v>
                </c:pt>
                <c:pt idx="44">
                  <c:v>2.024250012273833E-3</c:v>
                </c:pt>
                <c:pt idx="45">
                  <c:v>2.027093469545983E-3</c:v>
                </c:pt>
                <c:pt idx="46">
                  <c:v>2.0299369268181331E-3</c:v>
                </c:pt>
                <c:pt idx="47">
                  <c:v>2.0327803840902835E-3</c:v>
                </c:pt>
                <c:pt idx="48">
                  <c:v>2.0413107559067341E-3</c:v>
                </c:pt>
                <c:pt idx="49">
                  <c:v>2.0441542131788841E-3</c:v>
                </c:pt>
                <c:pt idx="50">
                  <c:v>2.0469976704510342E-3</c:v>
                </c:pt>
                <c:pt idx="51">
                  <c:v>2.0498411277231846E-3</c:v>
                </c:pt>
                <c:pt idx="52">
                  <c:v>2.0526845849953347E-3</c:v>
                </c:pt>
                <c:pt idx="53">
                  <c:v>2.0612149568117852E-3</c:v>
                </c:pt>
                <c:pt idx="54">
                  <c:v>2.0640584140839352E-3</c:v>
                </c:pt>
                <c:pt idx="55">
                  <c:v>2.0669018713560857E-3</c:v>
                </c:pt>
                <c:pt idx="56">
                  <c:v>2.0697453286282357E-3</c:v>
                </c:pt>
                <c:pt idx="57">
                  <c:v>2.0725887859003858E-3</c:v>
                </c:pt>
                <c:pt idx="58">
                  <c:v>2.0811191577168363E-3</c:v>
                </c:pt>
                <c:pt idx="59">
                  <c:v>2.0839626149889864E-3</c:v>
                </c:pt>
                <c:pt idx="60">
                  <c:v>2.0868060722611368E-3</c:v>
                </c:pt>
                <c:pt idx="61">
                  <c:v>2.0896495295332869E-3</c:v>
                </c:pt>
                <c:pt idx="62">
                  <c:v>2.0924929868054369E-3</c:v>
                </c:pt>
                <c:pt idx="63">
                  <c:v>2.1010233586218874E-3</c:v>
                </c:pt>
                <c:pt idx="64">
                  <c:v>2.1038668158940379E-3</c:v>
                </c:pt>
                <c:pt idx="65">
                  <c:v>2.1067102731661879E-3</c:v>
                </c:pt>
                <c:pt idx="66">
                  <c:v>2.109553730438338E-3</c:v>
                </c:pt>
                <c:pt idx="67">
                  <c:v>2.112397187710488E-3</c:v>
                </c:pt>
                <c:pt idx="68">
                  <c:v>2.1209275595269386E-3</c:v>
                </c:pt>
                <c:pt idx="69">
                  <c:v>2.123771016799089E-3</c:v>
                </c:pt>
                <c:pt idx="70">
                  <c:v>2.1266144740712391E-3</c:v>
                </c:pt>
                <c:pt idx="71">
                  <c:v>2.1294579313433891E-3</c:v>
                </c:pt>
                <c:pt idx="72">
                  <c:v>2.1323013886155396E-3</c:v>
                </c:pt>
                <c:pt idx="73">
                  <c:v>2.1408317604319901E-3</c:v>
                </c:pt>
                <c:pt idx="74">
                  <c:v>2.1436752177041401E-3</c:v>
                </c:pt>
                <c:pt idx="75">
                  <c:v>2.1465186749762902E-3</c:v>
                </c:pt>
                <c:pt idx="76">
                  <c:v>2.1493621322484406E-3</c:v>
                </c:pt>
                <c:pt idx="77">
                  <c:v>2.1522055895205907E-3</c:v>
                </c:pt>
                <c:pt idx="78">
                  <c:v>2.1607359613370412E-3</c:v>
                </c:pt>
                <c:pt idx="79">
                  <c:v>2.1635794186091913E-3</c:v>
                </c:pt>
                <c:pt idx="80">
                  <c:v>2.1664228758813413E-3</c:v>
                </c:pt>
                <c:pt idx="81">
                  <c:v>2.1692663331534918E-3</c:v>
                </c:pt>
                <c:pt idx="82">
                  <c:v>2.1721097904256418E-3</c:v>
                </c:pt>
                <c:pt idx="83">
                  <c:v>2.1806401622420923E-3</c:v>
                </c:pt>
                <c:pt idx="84">
                  <c:v>2.1834836195142424E-3</c:v>
                </c:pt>
                <c:pt idx="85">
                  <c:v>2.1863270767863928E-3</c:v>
                </c:pt>
                <c:pt idx="86">
                  <c:v>2.1891705340585429E-3</c:v>
                </c:pt>
                <c:pt idx="87">
                  <c:v>2.1920139913306929E-3</c:v>
                </c:pt>
                <c:pt idx="88">
                  <c:v>2.2005443631471435E-3</c:v>
                </c:pt>
                <c:pt idx="89">
                  <c:v>2.2033878204192935E-3</c:v>
                </c:pt>
                <c:pt idx="90">
                  <c:v>2.206231277691444E-3</c:v>
                </c:pt>
                <c:pt idx="91">
                  <c:v>2.209074734963594E-3</c:v>
                </c:pt>
                <c:pt idx="92">
                  <c:v>2.211918192235744E-3</c:v>
                </c:pt>
                <c:pt idx="93">
                  <c:v>2.2204485640521946E-3</c:v>
                </c:pt>
                <c:pt idx="94">
                  <c:v>2.223292021324345E-3</c:v>
                </c:pt>
                <c:pt idx="95">
                  <c:v>2.2261354785964951E-3</c:v>
                </c:pt>
                <c:pt idx="96">
                  <c:v>2.2289789358686451E-3</c:v>
                </c:pt>
                <c:pt idx="97">
                  <c:v>2.2318223931407956E-3</c:v>
                </c:pt>
                <c:pt idx="98">
                  <c:v>2.2403527649572457E-3</c:v>
                </c:pt>
                <c:pt idx="99">
                  <c:v>2.2431962222293962E-3</c:v>
                </c:pt>
                <c:pt idx="100">
                  <c:v>2.2460396795015462E-3</c:v>
                </c:pt>
                <c:pt idx="101">
                  <c:v>2.2488831367736962E-3</c:v>
                </c:pt>
                <c:pt idx="102">
                  <c:v>2.2517265940458467E-3</c:v>
                </c:pt>
                <c:pt idx="103">
                  <c:v>2.2602569658622972E-3</c:v>
                </c:pt>
                <c:pt idx="104">
                  <c:v>2.2631004231344473E-3</c:v>
                </c:pt>
                <c:pt idx="105">
                  <c:v>2.2659438804065973E-3</c:v>
                </c:pt>
                <c:pt idx="106">
                  <c:v>2.2687873376787478E-3</c:v>
                </c:pt>
                <c:pt idx="107">
                  <c:v>2.2716307949508978E-3</c:v>
                </c:pt>
                <c:pt idx="108">
                  <c:v>2.2801611667673484E-3</c:v>
                </c:pt>
                <c:pt idx="109">
                  <c:v>2.2830046240394984E-3</c:v>
                </c:pt>
                <c:pt idx="110">
                  <c:v>2.2858480813116484E-3</c:v>
                </c:pt>
                <c:pt idx="111">
                  <c:v>2.2886915385837989E-3</c:v>
                </c:pt>
                <c:pt idx="112">
                  <c:v>2.2915349958559489E-3</c:v>
                </c:pt>
                <c:pt idx="113">
                  <c:v>2.3000653676723995E-3</c:v>
                </c:pt>
                <c:pt idx="114">
                  <c:v>2.3029088249445495E-3</c:v>
                </c:pt>
                <c:pt idx="115">
                  <c:v>2.3057522822167E-3</c:v>
                </c:pt>
                <c:pt idx="116">
                  <c:v>2.30859573948885E-3</c:v>
                </c:pt>
                <c:pt idx="117">
                  <c:v>2.3114391967610001E-3</c:v>
                </c:pt>
                <c:pt idx="118">
                  <c:v>2.3199695685774506E-3</c:v>
                </c:pt>
                <c:pt idx="119">
                  <c:v>2.3228130258496011E-3</c:v>
                </c:pt>
                <c:pt idx="120">
                  <c:v>2.3256564831217511E-3</c:v>
                </c:pt>
                <c:pt idx="121">
                  <c:v>2.3284999403939011E-3</c:v>
                </c:pt>
                <c:pt idx="122">
                  <c:v>2.3313433976660516E-3</c:v>
                </c:pt>
                <c:pt idx="123">
                  <c:v>2.3398737694825021E-3</c:v>
                </c:pt>
                <c:pt idx="124">
                  <c:v>2.3427172267546522E-3</c:v>
                </c:pt>
                <c:pt idx="125">
                  <c:v>2.3455606840268022E-3</c:v>
                </c:pt>
                <c:pt idx="126">
                  <c:v>2.3484041412989523E-3</c:v>
                </c:pt>
                <c:pt idx="127">
                  <c:v>2.3512475985711023E-3</c:v>
                </c:pt>
                <c:pt idx="128">
                  <c:v>2.3597779703875528E-3</c:v>
                </c:pt>
                <c:pt idx="129">
                  <c:v>2.3626214276597033E-3</c:v>
                </c:pt>
                <c:pt idx="130">
                  <c:v>2.3654648849318533E-3</c:v>
                </c:pt>
                <c:pt idx="131">
                  <c:v>2.3683083422040034E-3</c:v>
                </c:pt>
                <c:pt idx="132">
                  <c:v>2.3711517994761538E-3</c:v>
                </c:pt>
                <c:pt idx="133">
                  <c:v>2.3796821712926044E-3</c:v>
                </c:pt>
                <c:pt idx="134">
                  <c:v>2.3825256285647544E-3</c:v>
                </c:pt>
                <c:pt idx="135">
                  <c:v>2.3853690858369045E-3</c:v>
                </c:pt>
                <c:pt idx="136">
                  <c:v>2.3882125431090549E-3</c:v>
                </c:pt>
                <c:pt idx="137">
                  <c:v>2.391056000381205E-3</c:v>
                </c:pt>
                <c:pt idx="138">
                  <c:v>2.3995863721976555E-3</c:v>
                </c:pt>
                <c:pt idx="139">
                  <c:v>2.4024298294698055E-3</c:v>
                </c:pt>
                <c:pt idx="140">
                  <c:v>2.405273286741956E-3</c:v>
                </c:pt>
                <c:pt idx="141">
                  <c:v>2.408116744014106E-3</c:v>
                </c:pt>
                <c:pt idx="142">
                  <c:v>2.4109602012862561E-3</c:v>
                </c:pt>
                <c:pt idx="143">
                  <c:v>2.4194905731027066E-3</c:v>
                </c:pt>
                <c:pt idx="144">
                  <c:v>2.4223340303748567E-3</c:v>
                </c:pt>
                <c:pt idx="145">
                  <c:v>2.4251774876470067E-3</c:v>
                </c:pt>
                <c:pt idx="146">
                  <c:v>2.4280209449191572E-3</c:v>
                </c:pt>
                <c:pt idx="147">
                  <c:v>2.4308644021913076E-3</c:v>
                </c:pt>
                <c:pt idx="148">
                  <c:v>2.4393947740077577E-3</c:v>
                </c:pt>
                <c:pt idx="149">
                  <c:v>2.4422382312799078E-3</c:v>
                </c:pt>
                <c:pt idx="150">
                  <c:v>2.4450816885520582E-3</c:v>
                </c:pt>
                <c:pt idx="151">
                  <c:v>2.4479251458242083E-3</c:v>
                </c:pt>
                <c:pt idx="152">
                  <c:v>2.4507686030963583E-3</c:v>
                </c:pt>
                <c:pt idx="153">
                  <c:v>2.4592989749128089E-3</c:v>
                </c:pt>
                <c:pt idx="154">
                  <c:v>2.4621424321849593E-3</c:v>
                </c:pt>
                <c:pt idx="155">
                  <c:v>2.4649858894571094E-3</c:v>
                </c:pt>
                <c:pt idx="156">
                  <c:v>2.4678293467292594E-3</c:v>
                </c:pt>
                <c:pt idx="157">
                  <c:v>2.4706728040014099E-3</c:v>
                </c:pt>
                <c:pt idx="158">
                  <c:v>2.4792031758178604E-3</c:v>
                </c:pt>
                <c:pt idx="159">
                  <c:v>2.4820466330900104E-3</c:v>
                </c:pt>
                <c:pt idx="160">
                  <c:v>2.4848900903621605E-3</c:v>
                </c:pt>
                <c:pt idx="161">
                  <c:v>2.4877335476343109E-3</c:v>
                </c:pt>
                <c:pt idx="162">
                  <c:v>2.490577004906461E-3</c:v>
                </c:pt>
                <c:pt idx="163">
                  <c:v>2.4991073767229115E-3</c:v>
                </c:pt>
                <c:pt idx="164">
                  <c:v>2.5019508339950616E-3</c:v>
                </c:pt>
                <c:pt idx="165">
                  <c:v>2.504794291267212E-3</c:v>
                </c:pt>
                <c:pt idx="166">
                  <c:v>2.5076377485393621E-3</c:v>
                </c:pt>
                <c:pt idx="167">
                  <c:v>2.5104812058115121E-3</c:v>
                </c:pt>
                <c:pt idx="168">
                  <c:v>2.5190115776279626E-3</c:v>
                </c:pt>
                <c:pt idx="169">
                  <c:v>2.5218550349001131E-3</c:v>
                </c:pt>
                <c:pt idx="170">
                  <c:v>2.5246984921722631E-3</c:v>
                </c:pt>
                <c:pt idx="171">
                  <c:v>2.5275419494444132E-3</c:v>
                </c:pt>
                <c:pt idx="172">
                  <c:v>2.5303854067165632E-3</c:v>
                </c:pt>
                <c:pt idx="173">
                  <c:v>2.5389157785330138E-3</c:v>
                </c:pt>
                <c:pt idx="174">
                  <c:v>2.5417592358051638E-3</c:v>
                </c:pt>
                <c:pt idx="175">
                  <c:v>2.5446026930773143E-3</c:v>
                </c:pt>
                <c:pt idx="176">
                  <c:v>2.5474461503494643E-3</c:v>
                </c:pt>
                <c:pt idx="177">
                  <c:v>2.5502896076216143E-3</c:v>
                </c:pt>
                <c:pt idx="178">
                  <c:v>2.5588199794380649E-3</c:v>
                </c:pt>
                <c:pt idx="179">
                  <c:v>2.5616634367102153E-3</c:v>
                </c:pt>
                <c:pt idx="180">
                  <c:v>2.5645068939823654E-3</c:v>
                </c:pt>
                <c:pt idx="181">
                  <c:v>2.5673503512545154E-3</c:v>
                </c:pt>
                <c:pt idx="182">
                  <c:v>2.5701938085266659E-3</c:v>
                </c:pt>
                <c:pt idx="183">
                  <c:v>2.5787241803431164E-3</c:v>
                </c:pt>
                <c:pt idx="184">
                  <c:v>2.5815676376152665E-3</c:v>
                </c:pt>
                <c:pt idx="185">
                  <c:v>2.5844110948874165E-3</c:v>
                </c:pt>
                <c:pt idx="186">
                  <c:v>2.587254552159567E-3</c:v>
                </c:pt>
                <c:pt idx="187">
                  <c:v>2.590098009431717E-3</c:v>
                </c:pt>
                <c:pt idx="188">
                  <c:v>2.5986283812481675E-3</c:v>
                </c:pt>
                <c:pt idx="189">
                  <c:v>2.6014718385203176E-3</c:v>
                </c:pt>
                <c:pt idx="190">
                  <c:v>2.6043152957924676E-3</c:v>
                </c:pt>
                <c:pt idx="191">
                  <c:v>2.6071587530646177E-3</c:v>
                </c:pt>
                <c:pt idx="192">
                  <c:v>2.6100022103367681E-3</c:v>
                </c:pt>
                <c:pt idx="193">
                  <c:v>2.6185325821532187E-3</c:v>
                </c:pt>
                <c:pt idx="194">
                  <c:v>2.6213760394253687E-3</c:v>
                </c:pt>
                <c:pt idx="195">
                  <c:v>2.6242194966975187E-3</c:v>
                </c:pt>
                <c:pt idx="196">
                  <c:v>2.6270629539696692E-3</c:v>
                </c:pt>
                <c:pt idx="197">
                  <c:v>2.6299064112418192E-3</c:v>
                </c:pt>
                <c:pt idx="198">
                  <c:v>2.6384367830582698E-3</c:v>
                </c:pt>
                <c:pt idx="199">
                  <c:v>2.6412802403304198E-3</c:v>
                </c:pt>
                <c:pt idx="200">
                  <c:v>2.6441236976025703E-3</c:v>
                </c:pt>
                <c:pt idx="201">
                  <c:v>2.6469671548747203E-3</c:v>
                </c:pt>
                <c:pt idx="202">
                  <c:v>2.6498106121468704E-3</c:v>
                </c:pt>
                <c:pt idx="203">
                  <c:v>2.6583409839633209E-3</c:v>
                </c:pt>
                <c:pt idx="204">
                  <c:v>2.6611844412354714E-3</c:v>
                </c:pt>
                <c:pt idx="205">
                  <c:v>2.6640278985076214E-3</c:v>
                </c:pt>
                <c:pt idx="206">
                  <c:v>2.6668713557797714E-3</c:v>
                </c:pt>
                <c:pt idx="207">
                  <c:v>2.6697148130519219E-3</c:v>
                </c:pt>
                <c:pt idx="208">
                  <c:v>2.6839320994126725E-3</c:v>
                </c:pt>
                <c:pt idx="209">
                  <c:v>2.686775556684823E-3</c:v>
                </c:pt>
                <c:pt idx="210">
                  <c:v>2.689619013956973E-3</c:v>
                </c:pt>
                <c:pt idx="211">
                  <c:v>2.7009928430455736E-3</c:v>
                </c:pt>
                <c:pt idx="212">
                  <c:v>2.7038363003177236E-3</c:v>
                </c:pt>
                <c:pt idx="213">
                  <c:v>2.7066797575898737E-3</c:v>
                </c:pt>
                <c:pt idx="214">
                  <c:v>2.7095232148620241E-3</c:v>
                </c:pt>
                <c:pt idx="215">
                  <c:v>2.7180535866784747E-3</c:v>
                </c:pt>
                <c:pt idx="216">
                  <c:v>2.7208970439506247E-3</c:v>
                </c:pt>
                <c:pt idx="217">
                  <c:v>2.7237405012227748E-3</c:v>
                </c:pt>
                <c:pt idx="218">
                  <c:v>2.7265839584949252E-3</c:v>
                </c:pt>
                <c:pt idx="219">
                  <c:v>2.7294274157670753E-3</c:v>
                </c:pt>
                <c:pt idx="220">
                  <c:v>2.7379577875835258E-3</c:v>
                </c:pt>
                <c:pt idx="221">
                  <c:v>2.7408012448556758E-3</c:v>
                </c:pt>
                <c:pt idx="222">
                  <c:v>2.7436447021278263E-3</c:v>
                </c:pt>
                <c:pt idx="223">
                  <c:v>2.7464881593999763E-3</c:v>
                </c:pt>
                <c:pt idx="224">
                  <c:v>2.7493316166721264E-3</c:v>
                </c:pt>
                <c:pt idx="225">
                  <c:v>2.7578619884885769E-3</c:v>
                </c:pt>
                <c:pt idx="226">
                  <c:v>2.7607054457607274E-3</c:v>
                </c:pt>
                <c:pt idx="227">
                  <c:v>2.7635489030328774E-3</c:v>
                </c:pt>
                <c:pt idx="228">
                  <c:v>2.7663923603050275E-3</c:v>
                </c:pt>
                <c:pt idx="229">
                  <c:v>2.7692358175771775E-3</c:v>
                </c:pt>
                <c:pt idx="230">
                  <c:v>2.7777661893936285E-3</c:v>
                </c:pt>
                <c:pt idx="231">
                  <c:v>2.7806096466657785E-3</c:v>
                </c:pt>
                <c:pt idx="232">
                  <c:v>2.7834531039379285E-3</c:v>
                </c:pt>
                <c:pt idx="233">
                  <c:v>2.7862965612100786E-3</c:v>
                </c:pt>
                <c:pt idx="234">
                  <c:v>2.7891400184822286E-3</c:v>
                </c:pt>
                <c:pt idx="235">
                  <c:v>2.7976703902986792E-3</c:v>
                </c:pt>
                <c:pt idx="236">
                  <c:v>2.8005138475708296E-3</c:v>
                </c:pt>
                <c:pt idx="237">
                  <c:v>2.8033573048429797E-3</c:v>
                </c:pt>
                <c:pt idx="238">
                  <c:v>2.8062007621151297E-3</c:v>
                </c:pt>
                <c:pt idx="239">
                  <c:v>2.8090442193872802E-3</c:v>
                </c:pt>
                <c:pt idx="240">
                  <c:v>2.8175745912037307E-3</c:v>
                </c:pt>
                <c:pt idx="241">
                  <c:v>2.8204180484758807E-3</c:v>
                </c:pt>
                <c:pt idx="242">
                  <c:v>2.8232615057480308E-3</c:v>
                </c:pt>
                <c:pt idx="243">
                  <c:v>2.8261049630201813E-3</c:v>
                </c:pt>
                <c:pt idx="244">
                  <c:v>2.8289484202923313E-3</c:v>
                </c:pt>
                <c:pt idx="245">
                  <c:v>2.8374787921087814E-3</c:v>
                </c:pt>
                <c:pt idx="246">
                  <c:v>2.8403222493809319E-3</c:v>
                </c:pt>
                <c:pt idx="247">
                  <c:v>2.8431657066530823E-3</c:v>
                </c:pt>
                <c:pt idx="248">
                  <c:v>2.8460091639252324E-3</c:v>
                </c:pt>
                <c:pt idx="249">
                  <c:v>2.8488526211973824E-3</c:v>
                </c:pt>
                <c:pt idx="250">
                  <c:v>2.8573829930138329E-3</c:v>
                </c:pt>
                <c:pt idx="251">
                  <c:v>2.8602264502859834E-3</c:v>
                </c:pt>
                <c:pt idx="252">
                  <c:v>2.863069907558133E-3</c:v>
                </c:pt>
                <c:pt idx="253">
                  <c:v>2.8659133648302835E-3</c:v>
                </c:pt>
                <c:pt idx="254">
                  <c:v>2.8687568221024335E-3</c:v>
                </c:pt>
                <c:pt idx="255">
                  <c:v>2.8772871939188841E-3</c:v>
                </c:pt>
                <c:pt idx="256">
                  <c:v>2.8801306511910341E-3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'12MSynthDepo'!$AK$2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'12MSynthDepo'!$AG$3:$AG$259</c:f>
              <c:numCache>
                <c:formatCode>ddd\,\ dd\-mmm\-yyyy</c:formatCode>
                <c:ptCount val="257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  <c:pt idx="24">
                  <c:v>42831</c:v>
                </c:pt>
                <c:pt idx="25">
                  <c:v>42832</c:v>
                </c:pt>
                <c:pt idx="26">
                  <c:v>42835</c:v>
                </c:pt>
                <c:pt idx="27">
                  <c:v>42836</c:v>
                </c:pt>
                <c:pt idx="28">
                  <c:v>42837</c:v>
                </c:pt>
                <c:pt idx="29">
                  <c:v>42838</c:v>
                </c:pt>
                <c:pt idx="30">
                  <c:v>42843</c:v>
                </c:pt>
                <c:pt idx="31">
                  <c:v>42844</c:v>
                </c:pt>
                <c:pt idx="32">
                  <c:v>42845</c:v>
                </c:pt>
                <c:pt idx="33">
                  <c:v>42846</c:v>
                </c:pt>
                <c:pt idx="34">
                  <c:v>42849</c:v>
                </c:pt>
                <c:pt idx="35">
                  <c:v>42850</c:v>
                </c:pt>
                <c:pt idx="36">
                  <c:v>42851</c:v>
                </c:pt>
                <c:pt idx="37">
                  <c:v>42852</c:v>
                </c:pt>
                <c:pt idx="38">
                  <c:v>42853</c:v>
                </c:pt>
                <c:pt idx="39">
                  <c:v>42857</c:v>
                </c:pt>
                <c:pt idx="40">
                  <c:v>42858</c:v>
                </c:pt>
                <c:pt idx="41">
                  <c:v>42859</c:v>
                </c:pt>
                <c:pt idx="42">
                  <c:v>42860</c:v>
                </c:pt>
                <c:pt idx="43">
                  <c:v>42863</c:v>
                </c:pt>
                <c:pt idx="44">
                  <c:v>42864</c:v>
                </c:pt>
                <c:pt idx="45">
                  <c:v>42865</c:v>
                </c:pt>
                <c:pt idx="46">
                  <c:v>42866</c:v>
                </c:pt>
                <c:pt idx="47">
                  <c:v>42867</c:v>
                </c:pt>
                <c:pt idx="48">
                  <c:v>42870</c:v>
                </c:pt>
                <c:pt idx="49">
                  <c:v>42871</c:v>
                </c:pt>
                <c:pt idx="50">
                  <c:v>42872</c:v>
                </c:pt>
                <c:pt idx="51">
                  <c:v>42873</c:v>
                </c:pt>
                <c:pt idx="52">
                  <c:v>42874</c:v>
                </c:pt>
                <c:pt idx="53">
                  <c:v>42877</c:v>
                </c:pt>
                <c:pt idx="54">
                  <c:v>42878</c:v>
                </c:pt>
                <c:pt idx="55">
                  <c:v>42879</c:v>
                </c:pt>
                <c:pt idx="56">
                  <c:v>42880</c:v>
                </c:pt>
                <c:pt idx="57">
                  <c:v>42881</c:v>
                </c:pt>
                <c:pt idx="58">
                  <c:v>42884</c:v>
                </c:pt>
                <c:pt idx="59">
                  <c:v>42885</c:v>
                </c:pt>
                <c:pt idx="60">
                  <c:v>42886</c:v>
                </c:pt>
                <c:pt idx="61">
                  <c:v>42887</c:v>
                </c:pt>
                <c:pt idx="62">
                  <c:v>42888</c:v>
                </c:pt>
                <c:pt idx="63">
                  <c:v>42891</c:v>
                </c:pt>
                <c:pt idx="64">
                  <c:v>42892</c:v>
                </c:pt>
                <c:pt idx="65">
                  <c:v>42893</c:v>
                </c:pt>
                <c:pt idx="66">
                  <c:v>42894</c:v>
                </c:pt>
                <c:pt idx="67">
                  <c:v>42895</c:v>
                </c:pt>
                <c:pt idx="68">
                  <c:v>42898</c:v>
                </c:pt>
                <c:pt idx="69">
                  <c:v>42899</c:v>
                </c:pt>
                <c:pt idx="70">
                  <c:v>42900</c:v>
                </c:pt>
                <c:pt idx="71">
                  <c:v>42901</c:v>
                </c:pt>
                <c:pt idx="72">
                  <c:v>42902</c:v>
                </c:pt>
                <c:pt idx="73">
                  <c:v>42905</c:v>
                </c:pt>
                <c:pt idx="74">
                  <c:v>42906</c:v>
                </c:pt>
                <c:pt idx="75">
                  <c:v>42907</c:v>
                </c:pt>
                <c:pt idx="76">
                  <c:v>42908</c:v>
                </c:pt>
                <c:pt idx="77">
                  <c:v>42909</c:v>
                </c:pt>
                <c:pt idx="78">
                  <c:v>42912</c:v>
                </c:pt>
                <c:pt idx="79">
                  <c:v>42913</c:v>
                </c:pt>
                <c:pt idx="80">
                  <c:v>42914</c:v>
                </c:pt>
                <c:pt idx="81">
                  <c:v>42915</c:v>
                </c:pt>
                <c:pt idx="82">
                  <c:v>42916</c:v>
                </c:pt>
                <c:pt idx="83">
                  <c:v>42919</c:v>
                </c:pt>
                <c:pt idx="84">
                  <c:v>42920</c:v>
                </c:pt>
                <c:pt idx="85">
                  <c:v>42921</c:v>
                </c:pt>
                <c:pt idx="86">
                  <c:v>42922</c:v>
                </c:pt>
                <c:pt idx="87">
                  <c:v>42923</c:v>
                </c:pt>
                <c:pt idx="88">
                  <c:v>42926</c:v>
                </c:pt>
                <c:pt idx="89">
                  <c:v>42927</c:v>
                </c:pt>
                <c:pt idx="90">
                  <c:v>42928</c:v>
                </c:pt>
                <c:pt idx="91">
                  <c:v>42929</c:v>
                </c:pt>
                <c:pt idx="92">
                  <c:v>42930</c:v>
                </c:pt>
                <c:pt idx="93">
                  <c:v>42933</c:v>
                </c:pt>
                <c:pt idx="94">
                  <c:v>42934</c:v>
                </c:pt>
                <c:pt idx="95">
                  <c:v>42935</c:v>
                </c:pt>
                <c:pt idx="96">
                  <c:v>42936</c:v>
                </c:pt>
                <c:pt idx="97">
                  <c:v>42937</c:v>
                </c:pt>
                <c:pt idx="98">
                  <c:v>42940</c:v>
                </c:pt>
                <c:pt idx="99">
                  <c:v>42941</c:v>
                </c:pt>
                <c:pt idx="100">
                  <c:v>42942</c:v>
                </c:pt>
                <c:pt idx="101">
                  <c:v>42943</c:v>
                </c:pt>
                <c:pt idx="102">
                  <c:v>42944</c:v>
                </c:pt>
                <c:pt idx="103">
                  <c:v>42947</c:v>
                </c:pt>
                <c:pt idx="104">
                  <c:v>42948</c:v>
                </c:pt>
                <c:pt idx="105">
                  <c:v>42949</c:v>
                </c:pt>
                <c:pt idx="106">
                  <c:v>42950</c:v>
                </c:pt>
                <c:pt idx="107">
                  <c:v>42951</c:v>
                </c:pt>
                <c:pt idx="108">
                  <c:v>42954</c:v>
                </c:pt>
                <c:pt idx="109">
                  <c:v>42955</c:v>
                </c:pt>
                <c:pt idx="110">
                  <c:v>42956</c:v>
                </c:pt>
                <c:pt idx="111">
                  <c:v>42957</c:v>
                </c:pt>
                <c:pt idx="112">
                  <c:v>42958</c:v>
                </c:pt>
                <c:pt idx="113">
                  <c:v>42961</c:v>
                </c:pt>
                <c:pt idx="114">
                  <c:v>42962</c:v>
                </c:pt>
                <c:pt idx="115">
                  <c:v>42963</c:v>
                </c:pt>
                <c:pt idx="116">
                  <c:v>42964</c:v>
                </c:pt>
                <c:pt idx="117">
                  <c:v>42965</c:v>
                </c:pt>
                <c:pt idx="118">
                  <c:v>42968</c:v>
                </c:pt>
                <c:pt idx="119">
                  <c:v>42969</c:v>
                </c:pt>
                <c:pt idx="120">
                  <c:v>42970</c:v>
                </c:pt>
                <c:pt idx="121">
                  <c:v>42971</c:v>
                </c:pt>
                <c:pt idx="122">
                  <c:v>42972</c:v>
                </c:pt>
                <c:pt idx="123">
                  <c:v>42975</c:v>
                </c:pt>
                <c:pt idx="124">
                  <c:v>42976</c:v>
                </c:pt>
                <c:pt idx="125">
                  <c:v>42977</c:v>
                </c:pt>
                <c:pt idx="126">
                  <c:v>42978</c:v>
                </c:pt>
                <c:pt idx="127">
                  <c:v>42979</c:v>
                </c:pt>
                <c:pt idx="128">
                  <c:v>42982</c:v>
                </c:pt>
                <c:pt idx="129">
                  <c:v>42983</c:v>
                </c:pt>
                <c:pt idx="130">
                  <c:v>42984</c:v>
                </c:pt>
                <c:pt idx="131">
                  <c:v>42985</c:v>
                </c:pt>
                <c:pt idx="132">
                  <c:v>42986</c:v>
                </c:pt>
                <c:pt idx="133">
                  <c:v>42989</c:v>
                </c:pt>
                <c:pt idx="134">
                  <c:v>42990</c:v>
                </c:pt>
                <c:pt idx="135">
                  <c:v>42991</c:v>
                </c:pt>
                <c:pt idx="136">
                  <c:v>42992</c:v>
                </c:pt>
                <c:pt idx="137">
                  <c:v>42993</c:v>
                </c:pt>
                <c:pt idx="138">
                  <c:v>42996</c:v>
                </c:pt>
                <c:pt idx="139">
                  <c:v>42997</c:v>
                </c:pt>
                <c:pt idx="140">
                  <c:v>42998</c:v>
                </c:pt>
                <c:pt idx="141">
                  <c:v>42999</c:v>
                </c:pt>
                <c:pt idx="142">
                  <c:v>43000</c:v>
                </c:pt>
                <c:pt idx="143">
                  <c:v>43003</c:v>
                </c:pt>
                <c:pt idx="144">
                  <c:v>43004</c:v>
                </c:pt>
                <c:pt idx="145">
                  <c:v>43005</c:v>
                </c:pt>
                <c:pt idx="146">
                  <c:v>43006</c:v>
                </c:pt>
                <c:pt idx="147">
                  <c:v>43007</c:v>
                </c:pt>
                <c:pt idx="148">
                  <c:v>43010</c:v>
                </c:pt>
                <c:pt idx="149">
                  <c:v>43011</c:v>
                </c:pt>
                <c:pt idx="150">
                  <c:v>43012</c:v>
                </c:pt>
                <c:pt idx="151">
                  <c:v>43013</c:v>
                </c:pt>
                <c:pt idx="152">
                  <c:v>43014</c:v>
                </c:pt>
                <c:pt idx="153">
                  <c:v>43017</c:v>
                </c:pt>
                <c:pt idx="154">
                  <c:v>43018</c:v>
                </c:pt>
                <c:pt idx="155">
                  <c:v>43019</c:v>
                </c:pt>
                <c:pt idx="156">
                  <c:v>43020</c:v>
                </c:pt>
                <c:pt idx="157">
                  <c:v>43021</c:v>
                </c:pt>
                <c:pt idx="158">
                  <c:v>43024</c:v>
                </c:pt>
                <c:pt idx="159">
                  <c:v>43025</c:v>
                </c:pt>
                <c:pt idx="160">
                  <c:v>43026</c:v>
                </c:pt>
                <c:pt idx="161">
                  <c:v>43027</c:v>
                </c:pt>
                <c:pt idx="162">
                  <c:v>43028</c:v>
                </c:pt>
                <c:pt idx="163">
                  <c:v>43031</c:v>
                </c:pt>
                <c:pt idx="164">
                  <c:v>43032</c:v>
                </c:pt>
                <c:pt idx="165">
                  <c:v>43033</c:v>
                </c:pt>
                <c:pt idx="166">
                  <c:v>43034</c:v>
                </c:pt>
                <c:pt idx="167">
                  <c:v>43035</c:v>
                </c:pt>
                <c:pt idx="168">
                  <c:v>43038</c:v>
                </c:pt>
                <c:pt idx="169">
                  <c:v>43039</c:v>
                </c:pt>
                <c:pt idx="170">
                  <c:v>43040</c:v>
                </c:pt>
                <c:pt idx="171">
                  <c:v>43041</c:v>
                </c:pt>
                <c:pt idx="172">
                  <c:v>43042</c:v>
                </c:pt>
                <c:pt idx="173">
                  <c:v>43045</c:v>
                </c:pt>
                <c:pt idx="174">
                  <c:v>43046</c:v>
                </c:pt>
                <c:pt idx="175">
                  <c:v>43047</c:v>
                </c:pt>
                <c:pt idx="176">
                  <c:v>43048</c:v>
                </c:pt>
                <c:pt idx="177">
                  <c:v>43049</c:v>
                </c:pt>
                <c:pt idx="178">
                  <c:v>43052</c:v>
                </c:pt>
                <c:pt idx="179">
                  <c:v>43053</c:v>
                </c:pt>
                <c:pt idx="180">
                  <c:v>43054</c:v>
                </c:pt>
                <c:pt idx="181">
                  <c:v>43055</c:v>
                </c:pt>
                <c:pt idx="182">
                  <c:v>43056</c:v>
                </c:pt>
                <c:pt idx="183">
                  <c:v>43059</c:v>
                </c:pt>
                <c:pt idx="184">
                  <c:v>43060</c:v>
                </c:pt>
                <c:pt idx="185">
                  <c:v>43061</c:v>
                </c:pt>
                <c:pt idx="186">
                  <c:v>43062</c:v>
                </c:pt>
                <c:pt idx="187">
                  <c:v>43063</c:v>
                </c:pt>
                <c:pt idx="188">
                  <c:v>43066</c:v>
                </c:pt>
                <c:pt idx="189">
                  <c:v>43067</c:v>
                </c:pt>
                <c:pt idx="190">
                  <c:v>43068</c:v>
                </c:pt>
                <c:pt idx="191">
                  <c:v>43069</c:v>
                </c:pt>
                <c:pt idx="192">
                  <c:v>43070</c:v>
                </c:pt>
                <c:pt idx="193">
                  <c:v>43073</c:v>
                </c:pt>
                <c:pt idx="194">
                  <c:v>43074</c:v>
                </c:pt>
                <c:pt idx="195">
                  <c:v>43075</c:v>
                </c:pt>
                <c:pt idx="196">
                  <c:v>43076</c:v>
                </c:pt>
                <c:pt idx="197">
                  <c:v>43077</c:v>
                </c:pt>
                <c:pt idx="198">
                  <c:v>43080</c:v>
                </c:pt>
                <c:pt idx="199">
                  <c:v>43081</c:v>
                </c:pt>
                <c:pt idx="200">
                  <c:v>43082</c:v>
                </c:pt>
                <c:pt idx="201">
                  <c:v>43083</c:v>
                </c:pt>
                <c:pt idx="202">
                  <c:v>43084</c:v>
                </c:pt>
                <c:pt idx="203">
                  <c:v>43087</c:v>
                </c:pt>
                <c:pt idx="204">
                  <c:v>43088</c:v>
                </c:pt>
                <c:pt idx="205">
                  <c:v>43089</c:v>
                </c:pt>
                <c:pt idx="206">
                  <c:v>43090</c:v>
                </c:pt>
                <c:pt idx="207">
                  <c:v>43091</c:v>
                </c:pt>
                <c:pt idx="208">
                  <c:v>43096</c:v>
                </c:pt>
                <c:pt idx="209">
                  <c:v>43097</c:v>
                </c:pt>
                <c:pt idx="210">
                  <c:v>43098</c:v>
                </c:pt>
                <c:pt idx="211">
                  <c:v>43102</c:v>
                </c:pt>
                <c:pt idx="212">
                  <c:v>43103</c:v>
                </c:pt>
                <c:pt idx="213">
                  <c:v>43104</c:v>
                </c:pt>
                <c:pt idx="214">
                  <c:v>43105</c:v>
                </c:pt>
                <c:pt idx="215">
                  <c:v>43108</c:v>
                </c:pt>
                <c:pt idx="216">
                  <c:v>43109</c:v>
                </c:pt>
                <c:pt idx="217">
                  <c:v>43110</c:v>
                </c:pt>
                <c:pt idx="218">
                  <c:v>43111</c:v>
                </c:pt>
                <c:pt idx="219">
                  <c:v>43112</c:v>
                </c:pt>
                <c:pt idx="220">
                  <c:v>43115</c:v>
                </c:pt>
                <c:pt idx="221">
                  <c:v>43116</c:v>
                </c:pt>
                <c:pt idx="222">
                  <c:v>43117</c:v>
                </c:pt>
                <c:pt idx="223">
                  <c:v>43118</c:v>
                </c:pt>
                <c:pt idx="224">
                  <c:v>43119</c:v>
                </c:pt>
                <c:pt idx="225">
                  <c:v>43122</c:v>
                </c:pt>
                <c:pt idx="226">
                  <c:v>43123</c:v>
                </c:pt>
                <c:pt idx="227">
                  <c:v>43124</c:v>
                </c:pt>
                <c:pt idx="228">
                  <c:v>43125</c:v>
                </c:pt>
                <c:pt idx="229">
                  <c:v>43126</c:v>
                </c:pt>
                <c:pt idx="230">
                  <c:v>43129</c:v>
                </c:pt>
                <c:pt idx="231">
                  <c:v>43130</c:v>
                </c:pt>
                <c:pt idx="232">
                  <c:v>43131</c:v>
                </c:pt>
                <c:pt idx="233">
                  <c:v>43132</c:v>
                </c:pt>
                <c:pt idx="234">
                  <c:v>43133</c:v>
                </c:pt>
                <c:pt idx="235">
                  <c:v>43136</c:v>
                </c:pt>
                <c:pt idx="236">
                  <c:v>43137</c:v>
                </c:pt>
                <c:pt idx="237">
                  <c:v>43138</c:v>
                </c:pt>
                <c:pt idx="238">
                  <c:v>43139</c:v>
                </c:pt>
                <c:pt idx="239">
                  <c:v>43140</c:v>
                </c:pt>
                <c:pt idx="240">
                  <c:v>43143</c:v>
                </c:pt>
                <c:pt idx="241">
                  <c:v>43144</c:v>
                </c:pt>
                <c:pt idx="242">
                  <c:v>43145</c:v>
                </c:pt>
                <c:pt idx="243">
                  <c:v>43146</c:v>
                </c:pt>
                <c:pt idx="244">
                  <c:v>43147</c:v>
                </c:pt>
                <c:pt idx="245">
                  <c:v>43150</c:v>
                </c:pt>
                <c:pt idx="246">
                  <c:v>43151</c:v>
                </c:pt>
                <c:pt idx="247">
                  <c:v>43152</c:v>
                </c:pt>
                <c:pt idx="248">
                  <c:v>43153</c:v>
                </c:pt>
                <c:pt idx="249">
                  <c:v>43154</c:v>
                </c:pt>
                <c:pt idx="250">
                  <c:v>43157</c:v>
                </c:pt>
                <c:pt idx="251">
                  <c:v>43158</c:v>
                </c:pt>
                <c:pt idx="252">
                  <c:v>43159</c:v>
                </c:pt>
                <c:pt idx="253">
                  <c:v>43160</c:v>
                </c:pt>
                <c:pt idx="254">
                  <c:v>43161</c:v>
                </c:pt>
                <c:pt idx="255">
                  <c:v>43164</c:v>
                </c:pt>
                <c:pt idx="256">
                  <c:v>43165</c:v>
                </c:pt>
              </c:numCache>
            </c:numRef>
          </c:cat>
          <c:val>
            <c:numRef>
              <c:f>'12MSynthDepo'!$AK$3:$AK$259</c:f>
              <c:numCache>
                <c:formatCode>0.0000%</c:formatCode>
                <c:ptCount val="257"/>
                <c:pt idx="0">
                  <c:v>1.7933734954970609E-3</c:v>
                </c:pt>
                <c:pt idx="1">
                  <c:v>1.8036394115408059E-3</c:v>
                </c:pt>
                <c:pt idx="2">
                  <c:v>1.8070554490564055E-3</c:v>
                </c:pt>
                <c:pt idx="3">
                  <c:v>1.810468519322514E-3</c:v>
                </c:pt>
                <c:pt idx="4">
                  <c:v>1.8138786223391315E-3</c:v>
                </c:pt>
                <c:pt idx="5">
                  <c:v>1.8172857581062582E-3</c:v>
                </c:pt>
                <c:pt idx="6">
                  <c:v>1.8274893619106916E-3</c:v>
                </c:pt>
                <c:pt idx="7">
                  <c:v>1.8308846286798541E-3</c:v>
                </c:pt>
                <c:pt idx="8">
                  <c:v>1.8342769281995258E-3</c:v>
                </c:pt>
                <c:pt idx="9">
                  <c:v>1.8376662604697061E-3</c:v>
                </c:pt>
                <c:pt idx="10">
                  <c:v>1.8410526254903955E-3</c:v>
                </c:pt>
                <c:pt idx="11">
                  <c:v>1.851193917055518E-3</c:v>
                </c:pt>
                <c:pt idx="12">
                  <c:v>1.8545684130782433E-3</c:v>
                </c:pt>
                <c:pt idx="13">
                  <c:v>1.8579399418514775E-3</c:v>
                </c:pt>
                <c:pt idx="14">
                  <c:v>1.8613085033752209E-3</c:v>
                </c:pt>
                <c:pt idx="15">
                  <c:v>1.8646740976494733E-3</c:v>
                </c:pt>
                <c:pt idx="16">
                  <c:v>1.8747530769752843E-3</c:v>
                </c:pt>
                <c:pt idx="17">
                  <c:v>1.8781068022515727E-3</c:v>
                </c:pt>
                <c:pt idx="18">
                  <c:v>1.8814575602783699E-3</c:v>
                </c:pt>
                <c:pt idx="19">
                  <c:v>1.8848053510556761E-3</c:v>
                </c:pt>
                <c:pt idx="20">
                  <c:v>1.8881501745834914E-3</c:v>
                </c:pt>
                <c:pt idx="21">
                  <c:v>1.8981668416699913E-3</c:v>
                </c:pt>
                <c:pt idx="22">
                  <c:v>1.9014997961998422E-3</c:v>
                </c:pt>
                <c:pt idx="23">
                  <c:v>1.9048297834802024E-3</c:v>
                </c:pt>
                <c:pt idx="24">
                  <c:v>1.9081568035110717E-3</c:v>
                </c:pt>
                <c:pt idx="25">
                  <c:v>1.9114808562924498E-3</c:v>
                </c:pt>
                <c:pt idx="26">
                  <c:v>1.9214352111396381E-3</c:v>
                </c:pt>
                <c:pt idx="27">
                  <c:v>1.9247473949230525E-3</c:v>
                </c:pt>
                <c:pt idx="28">
                  <c:v>1.9280566114569754E-3</c:v>
                </c:pt>
                <c:pt idx="29">
                  <c:v>1.9313628607414075E-3</c:v>
                </c:pt>
                <c:pt idx="30">
                  <c:v>1.9478495984212025E-3</c:v>
                </c:pt>
                <c:pt idx="31">
                  <c:v>1.9511380442086886E-3</c:v>
                </c:pt>
                <c:pt idx="32">
                  <c:v>1.9544235227466835E-3</c:v>
                </c:pt>
                <c:pt idx="33">
                  <c:v>1.9577060340351875E-3</c:v>
                </c:pt>
                <c:pt idx="34">
                  <c:v>1.9675357644037533E-3</c:v>
                </c:pt>
                <c:pt idx="35">
                  <c:v>1.9708064066942931E-3</c:v>
                </c:pt>
                <c:pt idx="36">
                  <c:v>1.9740740817353422E-3</c:v>
                </c:pt>
                <c:pt idx="37">
                  <c:v>1.9773387895268999E-3</c:v>
                </c:pt>
                <c:pt idx="38">
                  <c:v>1.9806005300689669E-3</c:v>
                </c:pt>
                <c:pt idx="39">
                  <c:v>1.9936178197423244E-3</c:v>
                </c:pt>
                <c:pt idx="40">
                  <c:v>1.996864724036936E-3</c:v>
                </c:pt>
                <c:pt idx="41">
                  <c:v>2.0001086610820567E-3</c:v>
                </c:pt>
                <c:pt idx="42">
                  <c:v>2.0033496308776867E-3</c:v>
                </c:pt>
                <c:pt idx="43">
                  <c:v>2.0130547367676293E-3</c:v>
                </c:pt>
                <c:pt idx="44">
                  <c:v>2.0162838375652951E-3</c:v>
                </c:pt>
                <c:pt idx="45">
                  <c:v>2.0195099711134701E-3</c:v>
                </c:pt>
                <c:pt idx="46">
                  <c:v>2.0227331374121538E-3</c:v>
                </c:pt>
                <c:pt idx="47">
                  <c:v>2.0259533364613467E-3</c:v>
                </c:pt>
                <c:pt idx="48">
                  <c:v>2.0355961301119782E-3</c:v>
                </c:pt>
                <c:pt idx="49">
                  <c:v>2.038804460163207E-3</c:v>
                </c:pt>
                <c:pt idx="50">
                  <c:v>2.0420098229649445E-3</c:v>
                </c:pt>
                <c:pt idx="51">
                  <c:v>2.0452122185171907E-3</c:v>
                </c:pt>
                <c:pt idx="52">
                  <c:v>2.048411646819947E-3</c:v>
                </c:pt>
                <c:pt idx="53">
                  <c:v>2.0579921282312674E-3</c:v>
                </c:pt>
                <c:pt idx="54">
                  <c:v>2.0611796875360587E-3</c:v>
                </c:pt>
                <c:pt idx="55">
                  <c:v>2.0643642795913591E-3</c:v>
                </c:pt>
                <c:pt idx="56">
                  <c:v>2.0675459043971688E-3</c:v>
                </c:pt>
                <c:pt idx="57">
                  <c:v>2.0707245619534871E-3</c:v>
                </c:pt>
                <c:pt idx="58">
                  <c:v>2.0802427311254965E-3</c:v>
                </c:pt>
                <c:pt idx="59">
                  <c:v>2.0834095196838511E-3</c:v>
                </c:pt>
                <c:pt idx="60">
                  <c:v>2.0865733409927145E-3</c:v>
                </c:pt>
                <c:pt idx="61">
                  <c:v>2.0897341950520867E-3</c:v>
                </c:pt>
                <c:pt idx="62">
                  <c:v>2.092892081861968E-3</c:v>
                </c:pt>
                <c:pt idx="63">
                  <c:v>2.1023479387946658E-3</c:v>
                </c:pt>
                <c:pt idx="64">
                  <c:v>2.1054939566065834E-3</c:v>
                </c:pt>
                <c:pt idx="65">
                  <c:v>2.1086370071690098E-3</c:v>
                </c:pt>
                <c:pt idx="66">
                  <c:v>2.1117770904819449E-3</c:v>
                </c:pt>
                <c:pt idx="67">
                  <c:v>2.1149142065453892E-3</c:v>
                </c:pt>
                <c:pt idx="68">
                  <c:v>2.1243077512387758E-3</c:v>
                </c:pt>
                <c:pt idx="69">
                  <c:v>2.1274329983042559E-3</c:v>
                </c:pt>
                <c:pt idx="70">
                  <c:v>2.1305552781202453E-3</c:v>
                </c:pt>
                <c:pt idx="71">
                  <c:v>2.1336745906867438E-3</c:v>
                </c:pt>
                <c:pt idx="72">
                  <c:v>2.1367909360037506E-3</c:v>
                </c:pt>
                <c:pt idx="73">
                  <c:v>2.1461221684578261E-3</c:v>
                </c:pt>
                <c:pt idx="74">
                  <c:v>2.1492266447768692E-3</c:v>
                </c:pt>
                <c:pt idx="75">
                  <c:v>2.1523281538464211E-3</c:v>
                </c:pt>
                <c:pt idx="76">
                  <c:v>2.1554266956664821E-3</c:v>
                </c:pt>
                <c:pt idx="77">
                  <c:v>2.1585222702370523E-3</c:v>
                </c:pt>
                <c:pt idx="78">
                  <c:v>2.1677911904518167E-3</c:v>
                </c:pt>
                <c:pt idx="79">
                  <c:v>2.1708748960244228E-3</c:v>
                </c:pt>
                <c:pt idx="80">
                  <c:v>2.1739556343475376E-3</c:v>
                </c:pt>
                <c:pt idx="81">
                  <c:v>2.1770334054211616E-3</c:v>
                </c:pt>
                <c:pt idx="82">
                  <c:v>2.1801082092452943E-3</c:v>
                </c:pt>
                <c:pt idx="83">
                  <c:v>2.1893148172207476E-3</c:v>
                </c:pt>
                <c:pt idx="84">
                  <c:v>2.1923777520469162E-3</c:v>
                </c:pt>
                <c:pt idx="85">
                  <c:v>2.1954377196235944E-3</c:v>
                </c:pt>
                <c:pt idx="86">
                  <c:v>2.1984947199507809E-3</c:v>
                </c:pt>
                <c:pt idx="87">
                  <c:v>2.201548753028477E-3</c:v>
                </c:pt>
                <c:pt idx="88">
                  <c:v>2.2106930487646183E-3</c:v>
                </c:pt>
                <c:pt idx="89">
                  <c:v>2.2137352128443499E-3</c:v>
                </c:pt>
                <c:pt idx="90">
                  <c:v>2.216774409674591E-3</c:v>
                </c:pt>
                <c:pt idx="91">
                  <c:v>2.2198106392553409E-3</c:v>
                </c:pt>
                <c:pt idx="92">
                  <c:v>2.2228439015865996E-3</c:v>
                </c:pt>
                <c:pt idx="93">
                  <c:v>2.2319258850834298E-3</c:v>
                </c:pt>
                <c:pt idx="94">
                  <c:v>2.2349472784167243E-3</c:v>
                </c:pt>
                <c:pt idx="95">
                  <c:v>2.237965704500528E-3</c:v>
                </c:pt>
                <c:pt idx="96">
                  <c:v>2.2409811633348408E-3</c:v>
                </c:pt>
                <c:pt idx="97">
                  <c:v>2.2439936549196629E-3</c:v>
                </c:pt>
                <c:pt idx="98">
                  <c:v>2.2530133261771815E-3</c:v>
                </c:pt>
                <c:pt idx="99">
                  <c:v>2.256013948764039E-3</c:v>
                </c:pt>
                <c:pt idx="100">
                  <c:v>2.2590116041014056E-3</c:v>
                </c:pt>
                <c:pt idx="101">
                  <c:v>2.262006292189281E-3</c:v>
                </c:pt>
                <c:pt idx="102">
                  <c:v>2.2649980130276656E-3</c:v>
                </c:pt>
                <c:pt idx="103">
                  <c:v>2.2739553720458735E-3</c:v>
                </c:pt>
                <c:pt idx="104">
                  <c:v>2.2769352238862939E-3</c:v>
                </c:pt>
                <c:pt idx="105">
                  <c:v>2.2799121084772236E-3</c:v>
                </c:pt>
                <c:pt idx="106">
                  <c:v>2.2828860258186619E-3</c:v>
                </c:pt>
                <c:pt idx="107">
                  <c:v>2.2858569759106094E-3</c:v>
                </c:pt>
                <c:pt idx="108">
                  <c:v>2.2947520226895054E-3</c:v>
                </c:pt>
                <c:pt idx="109">
                  <c:v>2.2977111037834892E-3</c:v>
                </c:pt>
                <c:pt idx="110">
                  <c:v>2.3006672176279813E-3</c:v>
                </c:pt>
                <c:pt idx="111">
                  <c:v>2.3036203642229831E-3</c:v>
                </c:pt>
                <c:pt idx="112">
                  <c:v>2.3065705435684931E-3</c:v>
                </c:pt>
                <c:pt idx="113">
                  <c:v>2.3154032781080784E-3</c:v>
                </c:pt>
                <c:pt idx="114">
                  <c:v>2.3183415884556243E-3</c:v>
                </c:pt>
                <c:pt idx="115">
                  <c:v>2.3212769315536798E-3</c:v>
                </c:pt>
                <c:pt idx="116">
                  <c:v>2.3242093074022445E-3</c:v>
                </c:pt>
                <c:pt idx="117">
                  <c:v>2.3271387160013176E-3</c:v>
                </c:pt>
                <c:pt idx="118">
                  <c:v>2.3359091383015913E-3</c:v>
                </c:pt>
                <c:pt idx="119">
                  <c:v>2.3388266779027006E-3</c:v>
                </c:pt>
                <c:pt idx="120">
                  <c:v>2.3417412502543186E-3</c:v>
                </c:pt>
                <c:pt idx="121">
                  <c:v>2.3446528553564458E-3</c:v>
                </c:pt>
                <c:pt idx="122">
                  <c:v>2.3475614932090818E-3</c:v>
                </c:pt>
                <c:pt idx="123">
                  <c:v>2.3562696032700444E-3</c:v>
                </c:pt>
                <c:pt idx="124">
                  <c:v>2.3591663721247167E-3</c:v>
                </c:pt>
                <c:pt idx="125">
                  <c:v>2.3620601737298977E-3</c:v>
                </c:pt>
                <c:pt idx="126">
                  <c:v>2.3649510080855879E-3</c:v>
                </c:pt>
                <c:pt idx="127">
                  <c:v>2.3678388751917868E-3</c:v>
                </c:pt>
                <c:pt idx="128">
                  <c:v>2.3764846730134383E-3</c:v>
                </c:pt>
                <c:pt idx="129">
                  <c:v>2.3793606711216731E-3</c:v>
                </c:pt>
                <c:pt idx="130">
                  <c:v>2.382233701980417E-3</c:v>
                </c:pt>
                <c:pt idx="131">
                  <c:v>2.3851037655896702E-3</c:v>
                </c:pt>
                <c:pt idx="132">
                  <c:v>2.3879708619494321E-3</c:v>
                </c:pt>
                <c:pt idx="133">
                  <c:v>2.3965543475317715E-3</c:v>
                </c:pt>
                <c:pt idx="134">
                  <c:v>2.3994095748935697E-3</c:v>
                </c:pt>
                <c:pt idx="135">
                  <c:v>2.4022618350058767E-3</c:v>
                </c:pt>
                <c:pt idx="136">
                  <c:v>2.4051111278686923E-3</c:v>
                </c:pt>
                <c:pt idx="137">
                  <c:v>2.4079574534820176E-3</c:v>
                </c:pt>
                <c:pt idx="138">
                  <c:v>2.416478626825046E-3</c:v>
                </c:pt>
                <c:pt idx="139">
                  <c:v>2.4193130834404067E-3</c:v>
                </c:pt>
                <c:pt idx="140">
                  <c:v>2.422144572806277E-3</c:v>
                </c:pt>
                <c:pt idx="141">
                  <c:v>2.4249730949226552E-3</c:v>
                </c:pt>
                <c:pt idx="142">
                  <c:v>2.4277986497895435E-3</c:v>
                </c:pt>
                <c:pt idx="143">
                  <c:v>2.4362575108932603E-3</c:v>
                </c:pt>
                <c:pt idx="144">
                  <c:v>2.4390711967621839E-3</c:v>
                </c:pt>
                <c:pt idx="145">
                  <c:v>2.4418819153816168E-3</c:v>
                </c:pt>
                <c:pt idx="146">
                  <c:v>2.4446896667515584E-3</c:v>
                </c:pt>
                <c:pt idx="147">
                  <c:v>2.4474944508720096E-3</c:v>
                </c:pt>
                <c:pt idx="148">
                  <c:v>2.4558909997364152E-3</c:v>
                </c:pt>
                <c:pt idx="149">
                  <c:v>2.4586839148589019E-3</c:v>
                </c:pt>
                <c:pt idx="150">
                  <c:v>2.4614738627318973E-3</c:v>
                </c:pt>
                <c:pt idx="151">
                  <c:v>2.4642608433554018E-3</c:v>
                </c:pt>
                <c:pt idx="152">
                  <c:v>2.4670448567294155E-3</c:v>
                </c:pt>
                <c:pt idx="153">
                  <c:v>2.4753790933545101E-3</c:v>
                </c:pt>
                <c:pt idx="154">
                  <c:v>2.4781512377305601E-3</c:v>
                </c:pt>
                <c:pt idx="155">
                  <c:v>2.4809204148571185E-3</c:v>
                </c:pt>
                <c:pt idx="156">
                  <c:v>2.483686624734186E-3</c:v>
                </c:pt>
                <c:pt idx="157">
                  <c:v>2.4864498673617622E-3</c:v>
                </c:pt>
                <c:pt idx="158">
                  <c:v>2.4947217917475457E-3</c:v>
                </c:pt>
                <c:pt idx="159">
                  <c:v>2.4974731653771578E-3</c:v>
                </c:pt>
                <c:pt idx="160">
                  <c:v>2.5002215717572791E-3</c:v>
                </c:pt>
                <c:pt idx="161">
                  <c:v>2.50296701088791E-3</c:v>
                </c:pt>
                <c:pt idx="162">
                  <c:v>2.5057094827690492E-3</c:v>
                </c:pt>
                <c:pt idx="163">
                  <c:v>2.5139190949155211E-3</c:v>
                </c:pt>
                <c:pt idx="164">
                  <c:v>2.5166496977986966E-3</c:v>
                </c:pt>
                <c:pt idx="165">
                  <c:v>2.5193773334323808E-3</c:v>
                </c:pt>
                <c:pt idx="166">
                  <c:v>2.5221020018165738E-3</c:v>
                </c:pt>
                <c:pt idx="167">
                  <c:v>2.5248237029512764E-3</c:v>
                </c:pt>
                <c:pt idx="168">
                  <c:v>2.5329710028584372E-3</c:v>
                </c:pt>
                <c:pt idx="169">
                  <c:v>2.5356808349951757E-3</c:v>
                </c:pt>
                <c:pt idx="170">
                  <c:v>2.5383876998824224E-3</c:v>
                </c:pt>
                <c:pt idx="171">
                  <c:v>2.5410915975201788E-3</c:v>
                </c:pt>
                <c:pt idx="172">
                  <c:v>2.543792527908444E-3</c:v>
                </c:pt>
                <c:pt idx="173">
                  <c:v>2.5518775155762936E-3</c:v>
                </c:pt>
                <c:pt idx="174">
                  <c:v>2.5545665769665942E-3</c:v>
                </c:pt>
                <c:pt idx="175">
                  <c:v>2.5572526711074048E-3</c:v>
                </c:pt>
                <c:pt idx="176">
                  <c:v>2.5599357979987237E-3</c:v>
                </c:pt>
                <c:pt idx="177">
                  <c:v>2.5626159576405518E-3</c:v>
                </c:pt>
                <c:pt idx="178">
                  <c:v>2.5706386330690903E-3</c:v>
                </c:pt>
                <c:pt idx="179">
                  <c:v>2.5733069237129538E-3</c:v>
                </c:pt>
                <c:pt idx="180">
                  <c:v>2.5759722471073274E-3</c:v>
                </c:pt>
                <c:pt idx="181">
                  <c:v>2.5786346032522093E-3</c:v>
                </c:pt>
                <c:pt idx="182">
                  <c:v>2.5812939921476003E-3</c:v>
                </c:pt>
                <c:pt idx="183">
                  <c:v>2.5892543553368268E-3</c:v>
                </c:pt>
                <c:pt idx="184">
                  <c:v>2.5919018752342537E-3</c:v>
                </c:pt>
                <c:pt idx="185">
                  <c:v>2.5945464278821898E-3</c:v>
                </c:pt>
                <c:pt idx="186">
                  <c:v>2.5971880132806347E-3</c:v>
                </c:pt>
                <c:pt idx="187">
                  <c:v>2.5998266314295887E-3</c:v>
                </c:pt>
                <c:pt idx="188">
                  <c:v>2.6077246823795041E-3</c:v>
                </c:pt>
                <c:pt idx="189">
                  <c:v>2.610351431530494E-3</c:v>
                </c:pt>
                <c:pt idx="190">
                  <c:v>2.6129752134319926E-3</c:v>
                </c:pt>
                <c:pt idx="191">
                  <c:v>2.6155960280840004E-3</c:v>
                </c:pt>
                <c:pt idx="192">
                  <c:v>2.6182138754865174E-3</c:v>
                </c:pt>
                <c:pt idx="193">
                  <c:v>2.6260496141971216E-3</c:v>
                </c:pt>
                <c:pt idx="194">
                  <c:v>2.6286555926016745E-3</c:v>
                </c:pt>
                <c:pt idx="195">
                  <c:v>2.631258603756736E-3</c:v>
                </c:pt>
                <c:pt idx="196">
                  <c:v>2.6338586476623068E-3</c:v>
                </c:pt>
                <c:pt idx="197">
                  <c:v>2.6364557243183863E-3</c:v>
                </c:pt>
                <c:pt idx="198">
                  <c:v>2.644229150789679E-3</c:v>
                </c:pt>
                <c:pt idx="199">
                  <c:v>2.6468143584477953E-3</c:v>
                </c:pt>
                <c:pt idx="200">
                  <c:v>2.6493965988564194E-3</c:v>
                </c:pt>
                <c:pt idx="201">
                  <c:v>2.6519758720155535E-3</c:v>
                </c:pt>
                <c:pt idx="202">
                  <c:v>2.654552177925196E-3</c:v>
                </c:pt>
                <c:pt idx="203">
                  <c:v>2.6622632921571776E-3</c:v>
                </c:pt>
                <c:pt idx="204">
                  <c:v>2.6648277290688563E-3</c:v>
                </c:pt>
                <c:pt idx="205">
                  <c:v>2.6673891987310434E-3</c:v>
                </c:pt>
                <c:pt idx="206">
                  <c:v>2.6699477011437405E-3</c:v>
                </c:pt>
                <c:pt idx="207">
                  <c:v>2.6725032363069455E-3</c:v>
                </c:pt>
                <c:pt idx="208">
                  <c:v>2.6852364033806077E-3</c:v>
                </c:pt>
                <c:pt idx="209">
                  <c:v>2.6877741350468673E-3</c:v>
                </c:pt>
                <c:pt idx="210">
                  <c:v>2.6903088994636353E-3</c:v>
                </c:pt>
                <c:pt idx="211">
                  <c:v>2.7004182846357989E-3</c:v>
                </c:pt>
                <c:pt idx="212">
                  <c:v>2.7029382128051123E-3</c:v>
                </c:pt>
                <c:pt idx="213">
                  <c:v>2.7054551737249345E-3</c:v>
                </c:pt>
                <c:pt idx="214">
                  <c:v>2.7079691673952658E-3</c:v>
                </c:pt>
                <c:pt idx="215">
                  <c:v>2.715493344909314E-3</c:v>
                </c:pt>
                <c:pt idx="216">
                  <c:v>2.7179954695816812E-3</c:v>
                </c:pt>
                <c:pt idx="217">
                  <c:v>2.7204946270045572E-3</c:v>
                </c:pt>
                <c:pt idx="218">
                  <c:v>2.7229908171779423E-3</c:v>
                </c:pt>
                <c:pt idx="219">
                  <c:v>2.7254840401018366E-3</c:v>
                </c:pt>
                <c:pt idx="220">
                  <c:v>2.7329459053765728E-3</c:v>
                </c:pt>
                <c:pt idx="221">
                  <c:v>2.735427259302503E-3</c:v>
                </c:pt>
                <c:pt idx="222">
                  <c:v>2.7379056459789428E-3</c:v>
                </c:pt>
                <c:pt idx="223">
                  <c:v>2.7403810654058904E-3</c:v>
                </c:pt>
                <c:pt idx="224">
                  <c:v>2.7428535175833477E-3</c:v>
                </c:pt>
                <c:pt idx="225">
                  <c:v>2.7502530706187728E-3</c:v>
                </c:pt>
                <c:pt idx="226">
                  <c:v>2.7527136537982655E-3</c:v>
                </c:pt>
                <c:pt idx="227">
                  <c:v>2.7551712697282682E-3</c:v>
                </c:pt>
                <c:pt idx="228">
                  <c:v>2.7576259184087784E-3</c:v>
                </c:pt>
                <c:pt idx="229">
                  <c:v>2.760077599839799E-3</c:v>
                </c:pt>
                <c:pt idx="230">
                  <c:v>2.7674148406359126E-3</c:v>
                </c:pt>
                <c:pt idx="231">
                  <c:v>2.7698546530689687E-3</c:v>
                </c:pt>
                <c:pt idx="232">
                  <c:v>2.7722914982525335E-3</c:v>
                </c:pt>
                <c:pt idx="233">
                  <c:v>2.7747253761866075E-3</c:v>
                </c:pt>
                <c:pt idx="234">
                  <c:v>2.7771562868711907E-3</c:v>
                </c:pt>
                <c:pt idx="235">
                  <c:v>2.7844312154279927E-3</c:v>
                </c:pt>
                <c:pt idx="236">
                  <c:v>2.7868502571146117E-3</c:v>
                </c:pt>
                <c:pt idx="237">
                  <c:v>2.7892663315517395E-3</c:v>
                </c:pt>
                <c:pt idx="238">
                  <c:v>2.7916794387393765E-3</c:v>
                </c:pt>
                <c:pt idx="239">
                  <c:v>2.7940895786775222E-3</c:v>
                </c:pt>
                <c:pt idx="240">
                  <c:v>2.8013021949950135E-3</c:v>
                </c:pt>
                <c:pt idx="241">
                  <c:v>2.8037004659351955E-3</c:v>
                </c:pt>
                <c:pt idx="242">
                  <c:v>2.8060957696258858E-3</c:v>
                </c:pt>
                <c:pt idx="243">
                  <c:v>2.8084881060670857E-3</c:v>
                </c:pt>
                <c:pt idx="244">
                  <c:v>2.8108774752587944E-3</c:v>
                </c:pt>
                <c:pt idx="245">
                  <c:v>2.8180277793369742E-3</c:v>
                </c:pt>
                <c:pt idx="246">
                  <c:v>2.8204052795307187E-3</c:v>
                </c:pt>
                <c:pt idx="247">
                  <c:v>2.8227798124749724E-3</c:v>
                </c:pt>
                <c:pt idx="248">
                  <c:v>2.8251513781697352E-3</c:v>
                </c:pt>
                <c:pt idx="249">
                  <c:v>2.8275199766150069E-3</c:v>
                </c:pt>
                <c:pt idx="250">
                  <c:v>2.8346079684538755E-3</c:v>
                </c:pt>
                <c:pt idx="251">
                  <c:v>2.836964697901183E-3</c:v>
                </c:pt>
                <c:pt idx="252">
                  <c:v>2.8393184600989997E-3</c:v>
                </c:pt>
                <c:pt idx="253">
                  <c:v>2.8416692550473251E-3</c:v>
                </c:pt>
                <c:pt idx="254">
                  <c:v>2.8440170827461596E-3</c:v>
                </c:pt>
                <c:pt idx="255">
                  <c:v>2.8510427623457172E-3</c:v>
                </c:pt>
                <c:pt idx="256">
                  <c:v>2.8533787210465872E-3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866880"/>
        <c:axId val="631868416"/>
      </c:lineChart>
      <c:dateAx>
        <c:axId val="6318668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1868416"/>
        <c:crosses val="autoZero"/>
        <c:auto val="1"/>
        <c:lblOffset val="100"/>
        <c:baseTimeUnit val="days"/>
      </c:dateAx>
      <c:valAx>
        <c:axId val="6318684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1866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 Interp Exact-Fit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42797</c:v>
                </c:pt>
              </c:numCache>
            </c:numRef>
          </c:xVal>
          <c:yVal>
            <c:numRef>
              <c:f>'Delta 3M'!$M$3</c:f>
              <c:numCache>
                <c:formatCode>0.0000%</c:formatCode>
                <c:ptCount val="1"/>
                <c:pt idx="0">
                  <c:v>2.3444412150475102E-4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3M'!$E$4:$E$15</c:f>
              <c:numCache>
                <c:formatCode>ddd\,\ dd\-mmm\-yyyy</c:formatCode>
                <c:ptCount val="12"/>
                <c:pt idx="0">
                  <c:v>42828</c:v>
                </c:pt>
                <c:pt idx="1">
                  <c:v>42858</c:v>
                </c:pt>
                <c:pt idx="2">
                  <c:v>42891</c:v>
                </c:pt>
                <c:pt idx="3">
                  <c:v>42919</c:v>
                </c:pt>
                <c:pt idx="4">
                  <c:v>42950</c:v>
                </c:pt>
                <c:pt idx="5">
                  <c:v>42982</c:v>
                </c:pt>
                <c:pt idx="6">
                  <c:v>43011</c:v>
                </c:pt>
                <c:pt idx="7">
                  <c:v>43042</c:v>
                </c:pt>
                <c:pt idx="8">
                  <c:v>43073</c:v>
                </c:pt>
                <c:pt idx="9">
                  <c:v>43103</c:v>
                </c:pt>
                <c:pt idx="10">
                  <c:v>43136</c:v>
                </c:pt>
                <c:pt idx="11">
                  <c:v>43164</c:v>
                </c:pt>
              </c:numCache>
            </c:numRef>
          </c:xVal>
          <c:yVal>
            <c:numRef>
              <c:f>'Delta 3M'!$M$4:$M$15</c:f>
              <c:numCache>
                <c:formatCode>0.0000%</c:formatCode>
                <c:ptCount val="12"/>
                <c:pt idx="0">
                  <c:v>2.7723457056316996E-4</c:v>
                </c:pt>
                <c:pt idx="1">
                  <c:v>3.4354756483251847E-4</c:v>
                </c:pt>
                <c:pt idx="2">
                  <c:v>4.9095439744691223E-4</c:v>
                </c:pt>
                <c:pt idx="3">
                  <c:v>5.7465197819608384E-4</c:v>
                </c:pt>
                <c:pt idx="4">
                  <c:v>6.2838114377392063E-4</c:v>
                </c:pt>
                <c:pt idx="5">
                  <c:v>6.8475072192883879E-4</c:v>
                </c:pt>
                <c:pt idx="6">
                  <c:v>7.5230387244035841E-4</c:v>
                </c:pt>
                <c:pt idx="7">
                  <c:v>7.8878445683469665E-4</c:v>
                </c:pt>
                <c:pt idx="8">
                  <c:v>8.1783447014770845E-4</c:v>
                </c:pt>
                <c:pt idx="9">
                  <c:v>8.2389562672007498E-4</c:v>
                </c:pt>
                <c:pt idx="10">
                  <c:v>8.3806457579236032E-4</c:v>
                </c:pt>
                <c:pt idx="11">
                  <c:v>8.4724706390085962E-4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3M'!$E$16:$E$20</c:f>
              <c:numCache>
                <c:formatCode>ddd\,\ dd\-mmm\-yyyy</c:formatCode>
                <c:ptCount val="5"/>
                <c:pt idx="0">
                  <c:v>42809</c:v>
                </c:pt>
                <c:pt idx="1">
                  <c:v>42907</c:v>
                </c:pt>
                <c:pt idx="2">
                  <c:v>42998</c:v>
                </c:pt>
                <c:pt idx="3">
                  <c:v>43089</c:v>
                </c:pt>
                <c:pt idx="4">
                  <c:v>43180</c:v>
                </c:pt>
              </c:numCache>
            </c:numRef>
          </c:xVal>
          <c:yVal>
            <c:numRef>
              <c:f>'Delta 3M'!$M$16:$M$20</c:f>
              <c:numCache>
                <c:formatCode>0.0000%</c:formatCode>
                <c:ptCount val="5"/>
                <c:pt idx="0">
                  <c:v>2.564023705682629E-4</c:v>
                </c:pt>
                <c:pt idx="1">
                  <c:v>5.4992759008689555E-4</c:v>
                </c:pt>
                <c:pt idx="2">
                  <c:v>7.3837357808471558E-4</c:v>
                </c:pt>
                <c:pt idx="3">
                  <c:v>8.2008268157148E-4</c:v>
                </c:pt>
                <c:pt idx="4">
                  <c:v>8.6243992909654102E-4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3M'!$V$3:$V$261</c:f>
              <c:numCache>
                <c:formatCode>ddd\,\ dd\-mmm\-yyyy</c:formatCode>
                <c:ptCount val="259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  <c:pt idx="24">
                  <c:v>42831</c:v>
                </c:pt>
                <c:pt idx="25">
                  <c:v>42832</c:v>
                </c:pt>
                <c:pt idx="26">
                  <c:v>42835</c:v>
                </c:pt>
                <c:pt idx="27">
                  <c:v>42836</c:v>
                </c:pt>
                <c:pt idx="28">
                  <c:v>42837</c:v>
                </c:pt>
                <c:pt idx="29">
                  <c:v>42838</c:v>
                </c:pt>
                <c:pt idx="30">
                  <c:v>42843</c:v>
                </c:pt>
                <c:pt idx="31">
                  <c:v>42844</c:v>
                </c:pt>
                <c:pt idx="32">
                  <c:v>42845</c:v>
                </c:pt>
                <c:pt idx="33">
                  <c:v>42846</c:v>
                </c:pt>
                <c:pt idx="34">
                  <c:v>42849</c:v>
                </c:pt>
                <c:pt idx="35">
                  <c:v>42850</c:v>
                </c:pt>
                <c:pt idx="36">
                  <c:v>42851</c:v>
                </c:pt>
                <c:pt idx="37">
                  <c:v>42852</c:v>
                </c:pt>
                <c:pt idx="38">
                  <c:v>42853</c:v>
                </c:pt>
                <c:pt idx="39">
                  <c:v>42857</c:v>
                </c:pt>
                <c:pt idx="40">
                  <c:v>42858</c:v>
                </c:pt>
                <c:pt idx="41">
                  <c:v>42859</c:v>
                </c:pt>
                <c:pt idx="42">
                  <c:v>42860</c:v>
                </c:pt>
                <c:pt idx="43">
                  <c:v>42863</c:v>
                </c:pt>
                <c:pt idx="44">
                  <c:v>42864</c:v>
                </c:pt>
                <c:pt idx="45">
                  <c:v>42865</c:v>
                </c:pt>
                <c:pt idx="46">
                  <c:v>42866</c:v>
                </c:pt>
                <c:pt idx="47">
                  <c:v>42867</c:v>
                </c:pt>
                <c:pt idx="48">
                  <c:v>42870</c:v>
                </c:pt>
                <c:pt idx="49">
                  <c:v>42871</c:v>
                </c:pt>
                <c:pt idx="50">
                  <c:v>42872</c:v>
                </c:pt>
                <c:pt idx="51">
                  <c:v>42873</c:v>
                </c:pt>
                <c:pt idx="52">
                  <c:v>42874</c:v>
                </c:pt>
                <c:pt idx="53">
                  <c:v>42877</c:v>
                </c:pt>
                <c:pt idx="54">
                  <c:v>42878</c:v>
                </c:pt>
                <c:pt idx="55">
                  <c:v>42879</c:v>
                </c:pt>
                <c:pt idx="56">
                  <c:v>42880</c:v>
                </c:pt>
                <c:pt idx="57">
                  <c:v>42881</c:v>
                </c:pt>
                <c:pt idx="58">
                  <c:v>42884</c:v>
                </c:pt>
                <c:pt idx="59">
                  <c:v>42885</c:v>
                </c:pt>
                <c:pt idx="60">
                  <c:v>42886</c:v>
                </c:pt>
                <c:pt idx="61">
                  <c:v>42887</c:v>
                </c:pt>
                <c:pt idx="62">
                  <c:v>42888</c:v>
                </c:pt>
                <c:pt idx="63">
                  <c:v>42891</c:v>
                </c:pt>
                <c:pt idx="64">
                  <c:v>42892</c:v>
                </c:pt>
                <c:pt idx="65">
                  <c:v>42893</c:v>
                </c:pt>
                <c:pt idx="66">
                  <c:v>42894</c:v>
                </c:pt>
                <c:pt idx="67">
                  <c:v>42895</c:v>
                </c:pt>
                <c:pt idx="68">
                  <c:v>42898</c:v>
                </c:pt>
                <c:pt idx="69">
                  <c:v>42899</c:v>
                </c:pt>
                <c:pt idx="70">
                  <c:v>42900</c:v>
                </c:pt>
                <c:pt idx="71">
                  <c:v>42901</c:v>
                </c:pt>
                <c:pt idx="72">
                  <c:v>42902</c:v>
                </c:pt>
                <c:pt idx="73">
                  <c:v>42905</c:v>
                </c:pt>
                <c:pt idx="74">
                  <c:v>42906</c:v>
                </c:pt>
                <c:pt idx="75">
                  <c:v>42907</c:v>
                </c:pt>
                <c:pt idx="76">
                  <c:v>42908</c:v>
                </c:pt>
                <c:pt idx="77">
                  <c:v>42909</c:v>
                </c:pt>
                <c:pt idx="78">
                  <c:v>42912</c:v>
                </c:pt>
                <c:pt idx="79">
                  <c:v>42913</c:v>
                </c:pt>
                <c:pt idx="80">
                  <c:v>42914</c:v>
                </c:pt>
                <c:pt idx="81">
                  <c:v>42915</c:v>
                </c:pt>
                <c:pt idx="82">
                  <c:v>42916</c:v>
                </c:pt>
                <c:pt idx="83">
                  <c:v>42919</c:v>
                </c:pt>
                <c:pt idx="84">
                  <c:v>42920</c:v>
                </c:pt>
                <c:pt idx="85">
                  <c:v>42921</c:v>
                </c:pt>
                <c:pt idx="86">
                  <c:v>42922</c:v>
                </c:pt>
                <c:pt idx="87">
                  <c:v>42923</c:v>
                </c:pt>
                <c:pt idx="88">
                  <c:v>42926</c:v>
                </c:pt>
                <c:pt idx="89">
                  <c:v>42927</c:v>
                </c:pt>
                <c:pt idx="90">
                  <c:v>42928</c:v>
                </c:pt>
                <c:pt idx="91">
                  <c:v>42929</c:v>
                </c:pt>
                <c:pt idx="92">
                  <c:v>42930</c:v>
                </c:pt>
                <c:pt idx="93">
                  <c:v>42933</c:v>
                </c:pt>
                <c:pt idx="94">
                  <c:v>42934</c:v>
                </c:pt>
                <c:pt idx="95">
                  <c:v>42935</c:v>
                </c:pt>
                <c:pt idx="96">
                  <c:v>42936</c:v>
                </c:pt>
                <c:pt idx="97">
                  <c:v>42937</c:v>
                </c:pt>
                <c:pt idx="98">
                  <c:v>42940</c:v>
                </c:pt>
                <c:pt idx="99">
                  <c:v>42941</c:v>
                </c:pt>
                <c:pt idx="100">
                  <c:v>42942</c:v>
                </c:pt>
                <c:pt idx="101">
                  <c:v>42943</c:v>
                </c:pt>
                <c:pt idx="102">
                  <c:v>42944</c:v>
                </c:pt>
                <c:pt idx="103">
                  <c:v>42947</c:v>
                </c:pt>
                <c:pt idx="104">
                  <c:v>42948</c:v>
                </c:pt>
                <c:pt idx="105">
                  <c:v>42949</c:v>
                </c:pt>
                <c:pt idx="106">
                  <c:v>42950</c:v>
                </c:pt>
                <c:pt idx="107">
                  <c:v>42951</c:v>
                </c:pt>
                <c:pt idx="108">
                  <c:v>42954</c:v>
                </c:pt>
                <c:pt idx="109">
                  <c:v>42955</c:v>
                </c:pt>
                <c:pt idx="110">
                  <c:v>42956</c:v>
                </c:pt>
                <c:pt idx="111">
                  <c:v>42957</c:v>
                </c:pt>
                <c:pt idx="112">
                  <c:v>42958</c:v>
                </c:pt>
                <c:pt idx="113">
                  <c:v>42961</c:v>
                </c:pt>
                <c:pt idx="114">
                  <c:v>42962</c:v>
                </c:pt>
                <c:pt idx="115">
                  <c:v>42963</c:v>
                </c:pt>
                <c:pt idx="116">
                  <c:v>42964</c:v>
                </c:pt>
                <c:pt idx="117">
                  <c:v>42965</c:v>
                </c:pt>
                <c:pt idx="118">
                  <c:v>42968</c:v>
                </c:pt>
                <c:pt idx="119">
                  <c:v>42969</c:v>
                </c:pt>
                <c:pt idx="120">
                  <c:v>42970</c:v>
                </c:pt>
                <c:pt idx="121">
                  <c:v>42971</c:v>
                </c:pt>
                <c:pt idx="122">
                  <c:v>42972</c:v>
                </c:pt>
                <c:pt idx="123">
                  <c:v>42975</c:v>
                </c:pt>
                <c:pt idx="124">
                  <c:v>42976</c:v>
                </c:pt>
                <c:pt idx="125">
                  <c:v>42977</c:v>
                </c:pt>
                <c:pt idx="126">
                  <c:v>42978</c:v>
                </c:pt>
                <c:pt idx="127">
                  <c:v>42979</c:v>
                </c:pt>
                <c:pt idx="128">
                  <c:v>42982</c:v>
                </c:pt>
                <c:pt idx="129">
                  <c:v>42983</c:v>
                </c:pt>
                <c:pt idx="130">
                  <c:v>42984</c:v>
                </c:pt>
                <c:pt idx="131">
                  <c:v>42985</c:v>
                </c:pt>
                <c:pt idx="132">
                  <c:v>42986</c:v>
                </c:pt>
                <c:pt idx="133">
                  <c:v>42989</c:v>
                </c:pt>
                <c:pt idx="134">
                  <c:v>42990</c:v>
                </c:pt>
                <c:pt idx="135">
                  <c:v>42991</c:v>
                </c:pt>
                <c:pt idx="136">
                  <c:v>42992</c:v>
                </c:pt>
                <c:pt idx="137">
                  <c:v>42993</c:v>
                </c:pt>
                <c:pt idx="138">
                  <c:v>42996</c:v>
                </c:pt>
                <c:pt idx="139">
                  <c:v>42997</c:v>
                </c:pt>
                <c:pt idx="140">
                  <c:v>42998</c:v>
                </c:pt>
                <c:pt idx="141">
                  <c:v>42999</c:v>
                </c:pt>
                <c:pt idx="142">
                  <c:v>43000</c:v>
                </c:pt>
                <c:pt idx="143">
                  <c:v>43003</c:v>
                </c:pt>
                <c:pt idx="144">
                  <c:v>43004</c:v>
                </c:pt>
                <c:pt idx="145">
                  <c:v>43005</c:v>
                </c:pt>
                <c:pt idx="146">
                  <c:v>43006</c:v>
                </c:pt>
                <c:pt idx="147">
                  <c:v>43007</c:v>
                </c:pt>
                <c:pt idx="148">
                  <c:v>43010</c:v>
                </c:pt>
                <c:pt idx="149">
                  <c:v>43011</c:v>
                </c:pt>
                <c:pt idx="150">
                  <c:v>43012</c:v>
                </c:pt>
                <c:pt idx="151">
                  <c:v>43013</c:v>
                </c:pt>
                <c:pt idx="152">
                  <c:v>43014</c:v>
                </c:pt>
                <c:pt idx="153">
                  <c:v>43017</c:v>
                </c:pt>
                <c:pt idx="154">
                  <c:v>43018</c:v>
                </c:pt>
                <c:pt idx="155">
                  <c:v>43019</c:v>
                </c:pt>
                <c:pt idx="156">
                  <c:v>43020</c:v>
                </c:pt>
                <c:pt idx="157">
                  <c:v>43021</c:v>
                </c:pt>
                <c:pt idx="158">
                  <c:v>43024</c:v>
                </c:pt>
                <c:pt idx="159">
                  <c:v>43025</c:v>
                </c:pt>
                <c:pt idx="160">
                  <c:v>43026</c:v>
                </c:pt>
                <c:pt idx="161">
                  <c:v>43027</c:v>
                </c:pt>
                <c:pt idx="162">
                  <c:v>43028</c:v>
                </c:pt>
                <c:pt idx="163">
                  <c:v>43031</c:v>
                </c:pt>
                <c:pt idx="164">
                  <c:v>43032</c:v>
                </c:pt>
                <c:pt idx="165">
                  <c:v>43033</c:v>
                </c:pt>
                <c:pt idx="166">
                  <c:v>43034</c:v>
                </c:pt>
                <c:pt idx="167">
                  <c:v>43035</c:v>
                </c:pt>
                <c:pt idx="168">
                  <c:v>43038</c:v>
                </c:pt>
                <c:pt idx="169">
                  <c:v>43039</c:v>
                </c:pt>
                <c:pt idx="170">
                  <c:v>43040</c:v>
                </c:pt>
                <c:pt idx="171">
                  <c:v>43041</c:v>
                </c:pt>
                <c:pt idx="172">
                  <c:v>43042</c:v>
                </c:pt>
                <c:pt idx="173">
                  <c:v>43045</c:v>
                </c:pt>
                <c:pt idx="174">
                  <c:v>43046</c:v>
                </c:pt>
                <c:pt idx="175">
                  <c:v>43047</c:v>
                </c:pt>
                <c:pt idx="176">
                  <c:v>43048</c:v>
                </c:pt>
                <c:pt idx="177">
                  <c:v>43049</c:v>
                </c:pt>
                <c:pt idx="178">
                  <c:v>43052</c:v>
                </c:pt>
                <c:pt idx="179">
                  <c:v>43053</c:v>
                </c:pt>
                <c:pt idx="180">
                  <c:v>43054</c:v>
                </c:pt>
                <c:pt idx="181">
                  <c:v>43055</c:v>
                </c:pt>
                <c:pt idx="182">
                  <c:v>43056</c:v>
                </c:pt>
                <c:pt idx="183">
                  <c:v>43059</c:v>
                </c:pt>
                <c:pt idx="184">
                  <c:v>43060</c:v>
                </c:pt>
                <c:pt idx="185">
                  <c:v>43061</c:v>
                </c:pt>
                <c:pt idx="186">
                  <c:v>43062</c:v>
                </c:pt>
                <c:pt idx="187">
                  <c:v>43063</c:v>
                </c:pt>
                <c:pt idx="188">
                  <c:v>43066</c:v>
                </c:pt>
                <c:pt idx="189">
                  <c:v>43067</c:v>
                </c:pt>
                <c:pt idx="190">
                  <c:v>43068</c:v>
                </c:pt>
                <c:pt idx="191">
                  <c:v>43069</c:v>
                </c:pt>
                <c:pt idx="192">
                  <c:v>43070</c:v>
                </c:pt>
                <c:pt idx="193">
                  <c:v>43073</c:v>
                </c:pt>
                <c:pt idx="194">
                  <c:v>43074</c:v>
                </c:pt>
                <c:pt idx="195">
                  <c:v>43075</c:v>
                </c:pt>
                <c:pt idx="196">
                  <c:v>43076</c:v>
                </c:pt>
                <c:pt idx="197">
                  <c:v>43077</c:v>
                </c:pt>
                <c:pt idx="198">
                  <c:v>43080</c:v>
                </c:pt>
                <c:pt idx="199">
                  <c:v>43081</c:v>
                </c:pt>
                <c:pt idx="200">
                  <c:v>43082</c:v>
                </c:pt>
                <c:pt idx="201">
                  <c:v>43083</c:v>
                </c:pt>
                <c:pt idx="202">
                  <c:v>43084</c:v>
                </c:pt>
                <c:pt idx="203">
                  <c:v>43087</c:v>
                </c:pt>
                <c:pt idx="204">
                  <c:v>43088</c:v>
                </c:pt>
                <c:pt idx="205">
                  <c:v>43089</c:v>
                </c:pt>
                <c:pt idx="206">
                  <c:v>43090</c:v>
                </c:pt>
                <c:pt idx="207">
                  <c:v>43091</c:v>
                </c:pt>
                <c:pt idx="208">
                  <c:v>43096</c:v>
                </c:pt>
                <c:pt idx="209">
                  <c:v>43097</c:v>
                </c:pt>
                <c:pt idx="210">
                  <c:v>43098</c:v>
                </c:pt>
                <c:pt idx="211">
                  <c:v>43102</c:v>
                </c:pt>
                <c:pt idx="212">
                  <c:v>43103</c:v>
                </c:pt>
                <c:pt idx="213">
                  <c:v>43104</c:v>
                </c:pt>
                <c:pt idx="214">
                  <c:v>43105</c:v>
                </c:pt>
                <c:pt idx="215">
                  <c:v>43108</c:v>
                </c:pt>
                <c:pt idx="216">
                  <c:v>43109</c:v>
                </c:pt>
                <c:pt idx="217">
                  <c:v>43110</c:v>
                </c:pt>
                <c:pt idx="218">
                  <c:v>43111</c:v>
                </c:pt>
                <c:pt idx="219">
                  <c:v>43112</c:v>
                </c:pt>
                <c:pt idx="220">
                  <c:v>43115</c:v>
                </c:pt>
                <c:pt idx="221">
                  <c:v>43116</c:v>
                </c:pt>
                <c:pt idx="222">
                  <c:v>43117</c:v>
                </c:pt>
                <c:pt idx="223">
                  <c:v>43118</c:v>
                </c:pt>
                <c:pt idx="224">
                  <c:v>43119</c:v>
                </c:pt>
                <c:pt idx="225">
                  <c:v>43122</c:v>
                </c:pt>
                <c:pt idx="226">
                  <c:v>43123</c:v>
                </c:pt>
                <c:pt idx="227">
                  <c:v>43124</c:v>
                </c:pt>
                <c:pt idx="228">
                  <c:v>43125</c:v>
                </c:pt>
                <c:pt idx="229">
                  <c:v>43126</c:v>
                </c:pt>
                <c:pt idx="230">
                  <c:v>43129</c:v>
                </c:pt>
                <c:pt idx="231">
                  <c:v>43130</c:v>
                </c:pt>
                <c:pt idx="232">
                  <c:v>43131</c:v>
                </c:pt>
                <c:pt idx="233">
                  <c:v>43132</c:v>
                </c:pt>
                <c:pt idx="234">
                  <c:v>43133</c:v>
                </c:pt>
                <c:pt idx="235">
                  <c:v>43136</c:v>
                </c:pt>
                <c:pt idx="236">
                  <c:v>43137</c:v>
                </c:pt>
                <c:pt idx="237">
                  <c:v>43138</c:v>
                </c:pt>
                <c:pt idx="238">
                  <c:v>43139</c:v>
                </c:pt>
                <c:pt idx="239">
                  <c:v>43140</c:v>
                </c:pt>
                <c:pt idx="240">
                  <c:v>43143</c:v>
                </c:pt>
                <c:pt idx="241">
                  <c:v>43144</c:v>
                </c:pt>
                <c:pt idx="242">
                  <c:v>43145</c:v>
                </c:pt>
                <c:pt idx="243">
                  <c:v>43146</c:v>
                </c:pt>
                <c:pt idx="244">
                  <c:v>43147</c:v>
                </c:pt>
                <c:pt idx="245">
                  <c:v>43150</c:v>
                </c:pt>
                <c:pt idx="246">
                  <c:v>43151</c:v>
                </c:pt>
                <c:pt idx="247">
                  <c:v>43152</c:v>
                </c:pt>
                <c:pt idx="248">
                  <c:v>43153</c:v>
                </c:pt>
                <c:pt idx="249">
                  <c:v>43154</c:v>
                </c:pt>
                <c:pt idx="250">
                  <c:v>43157</c:v>
                </c:pt>
                <c:pt idx="251">
                  <c:v>43158</c:v>
                </c:pt>
                <c:pt idx="252">
                  <c:v>43159</c:v>
                </c:pt>
                <c:pt idx="253">
                  <c:v>43160</c:v>
                </c:pt>
                <c:pt idx="254">
                  <c:v>43161</c:v>
                </c:pt>
                <c:pt idx="255">
                  <c:v>43164</c:v>
                </c:pt>
                <c:pt idx="256">
                  <c:v>43165</c:v>
                </c:pt>
                <c:pt idx="257">
                  <c:v>43166</c:v>
                </c:pt>
                <c:pt idx="258">
                  <c:v>43167</c:v>
                </c:pt>
              </c:numCache>
            </c:numRef>
          </c:xVal>
          <c:yVal>
            <c:numRef>
              <c:f>'Delta 3M'!$X$3:$X$261</c:f>
              <c:numCache>
                <c:formatCode>0.0000%</c:formatCode>
                <c:ptCount val="259"/>
                <c:pt idx="0">
                  <c:v>2.0730834858684902E-4</c:v>
                </c:pt>
                <c:pt idx="1">
                  <c:v>2.1775189617232011E-4</c:v>
                </c:pt>
                <c:pt idx="2">
                  <c:v>2.2097789026599113E-4</c:v>
                </c:pt>
                <c:pt idx="3">
                  <c:v>2.2408370841070659E-4</c:v>
                </c:pt>
                <c:pt idx="4">
                  <c:v>2.2707380156753885E-4</c:v>
                </c:pt>
                <c:pt idx="5">
                  <c:v>2.2995262069756036E-4</c:v>
                </c:pt>
                <c:pt idx="6">
                  <c:v>2.3796594353748469E-4</c:v>
                </c:pt>
                <c:pt idx="7">
                  <c:v>2.404441761709875E-4</c:v>
                </c:pt>
                <c:pt idx="8">
                  <c:v>2.4283338958304174E-4</c:v>
                </c:pt>
                <c:pt idx="9">
                  <c:v>2.4513803473471976E-4</c:v>
                </c:pt>
                <c:pt idx="10">
                  <c:v>2.4736256258709409E-4</c:v>
                </c:pt>
                <c:pt idx="11">
                  <c:v>2.5359995195911887E-4</c:v>
                </c:pt>
                <c:pt idx="12">
                  <c:v>2.5554852022500253E-4</c:v>
                </c:pt>
                <c:pt idx="13">
                  <c:v>2.5743922599694461E-4</c:v>
                </c:pt>
                <c:pt idx="14">
                  <c:v>2.5927652023601753E-4</c:v>
                </c:pt>
                <c:pt idx="15">
                  <c:v>2.610648539032937E-4</c:v>
                </c:pt>
                <c:pt idx="16">
                  <c:v>2.6618060108506614E-4</c:v>
                </c:pt>
                <c:pt idx="17">
                  <c:v>2.6781760207587971E-4</c:v>
                </c:pt>
                <c:pt idx="18">
                  <c:v>2.6942789730025871E-4</c:v>
                </c:pt>
                <c:pt idx="19">
                  <c:v>2.7101593771927554E-4</c:v>
                </c:pt>
                <c:pt idx="20">
                  <c:v>2.7258617429400263E-4</c:v>
                </c:pt>
                <c:pt idx="21">
                  <c:v>2.7723457056316996E-4</c:v>
                </c:pt>
                <c:pt idx="22">
                  <c:v>2.7877810137146247E-4</c:v>
                </c:pt>
                <c:pt idx="23">
                  <c:v>2.8032608314082746E-4</c:v>
                </c:pt>
                <c:pt idx="24">
                  <c:v>2.8188296683233729E-4</c:v>
                </c:pt>
                <c:pt idx="25">
                  <c:v>2.8345320340706438E-4</c:v>
                </c:pt>
                <c:pt idx="26">
                  <c:v>2.8828854004127379E-4</c:v>
                </c:pt>
                <c:pt idx="27">
                  <c:v>2.8995669775959431E-4</c:v>
                </c:pt>
                <c:pt idx="28">
                  <c:v>2.9166046316649432E-4</c:v>
                </c:pt>
                <c:pt idx="29">
                  <c:v>2.9340428722304622E-4</c:v>
                </c:pt>
                <c:pt idx="30">
                  <c:v>3.0288007088811873E-4</c:v>
                </c:pt>
                <c:pt idx="31">
                  <c:v>3.0495771702510283E-4</c:v>
                </c:pt>
                <c:pt idx="32">
                  <c:v>3.0710657853924583E-4</c:v>
                </c:pt>
                <c:pt idx="33">
                  <c:v>3.0933110639162016E-4</c:v>
                </c:pt>
                <c:pt idx="34">
                  <c:v>3.1650319758885521E-4</c:v>
                </c:pt>
                <c:pt idx="35">
                  <c:v>3.1907490040487905E-4</c:v>
                </c:pt>
                <c:pt idx="36">
                  <c:v>3.2174452436449638E-4</c:v>
                </c:pt>
                <c:pt idx="37">
                  <c:v>3.2451652042877956E-4</c:v>
                </c:pt>
                <c:pt idx="38">
                  <c:v>3.2739533955880107E-4</c:v>
                </c:pt>
                <c:pt idx="39">
                  <c:v>3.4006786595771894E-4</c:v>
                </c:pt>
                <c:pt idx="40">
                  <c:v>3.4354756483251847E-4</c:v>
                </c:pt>
                <c:pt idx="41">
                  <c:v>3.4715887341835779E-4</c:v>
                </c:pt>
                <c:pt idx="42">
                  <c:v>3.5089664707064388E-4</c:v>
                </c:pt>
                <c:pt idx="43">
                  <c:v>3.6279812076892015E-4</c:v>
                </c:pt>
                <c:pt idx="44">
                  <c:v>3.6697111702973091E-4</c:v>
                </c:pt>
                <c:pt idx="45">
                  <c:v>3.7123525952835739E-4</c:v>
                </c:pt>
                <c:pt idx="46">
                  <c:v>3.7558348449907337E-4</c:v>
                </c:pt>
                <c:pt idx="47">
                  <c:v>3.8000872817615261E-4</c:v>
                </c:pt>
                <c:pt idx="48">
                  <c:v>3.9367593378830803E-4</c:v>
                </c:pt>
                <c:pt idx="49">
                  <c:v>3.9833861463357833E-4</c:v>
                </c:pt>
                <c:pt idx="50">
                  <c:v>4.0304299535658095E-4</c:v>
                </c:pt>
                <c:pt idx="51">
                  <c:v>4.0778201219158962E-4</c:v>
                </c:pt>
                <c:pt idx="52">
                  <c:v>4.1254860137287814E-4</c:v>
                </c:pt>
                <c:pt idx="53">
                  <c:v>4.269431653371609E-4</c:v>
                </c:pt>
                <c:pt idx="54">
                  <c:v>4.3174940624630687E-4</c:v>
                </c:pt>
                <c:pt idx="55">
                  <c:v>4.3654790067310166E-4</c:v>
                </c:pt>
                <c:pt idx="56">
                  <c:v>4.4133158485181915E-4</c:v>
                </c:pt>
                <c:pt idx="57">
                  <c:v>4.4609339501673308E-4</c:v>
                </c:pt>
                <c:pt idx="58">
                  <c:v>4.6017694377139146E-4</c:v>
                </c:pt>
                <c:pt idx="59">
                  <c:v>4.6478062022382914E-4</c:v>
                </c:pt>
                <c:pt idx="60">
                  <c:v>4.6932710383383223E-4</c:v>
                </c:pt>
                <c:pt idx="61">
                  <c:v>4.7380933083567456E-4</c:v>
                </c:pt>
                <c:pt idx="62">
                  <c:v>4.7822023746362994E-4</c:v>
                </c:pt>
                <c:pt idx="63">
                  <c:v>4.9095439744691223E-4</c:v>
                </c:pt>
                <c:pt idx="64">
                  <c:v>4.9501091591907468E-4</c:v>
                </c:pt>
                <c:pt idx="65">
                  <c:v>4.9896998117082074E-4</c:v>
                </c:pt>
                <c:pt idx="66">
                  <c:v>5.0283371541852591E-4</c:v>
                </c:pt>
                <c:pt idx="67">
                  <c:v>5.0660424087856581E-4</c:v>
                </c:pt>
                <c:pt idx="68">
                  <c:v>5.1737778669644731E-4</c:v>
                </c:pt>
                <c:pt idx="69">
                  <c:v>5.2079669916958E-4</c:v>
                </c:pt>
                <c:pt idx="70">
                  <c:v>5.2413301393692462E-4</c:v>
                </c:pt>
                <c:pt idx="71">
                  <c:v>5.2738885321485657E-4</c:v>
                </c:pt>
                <c:pt idx="72">
                  <c:v>5.3056633921975125E-4</c:v>
                </c:pt>
                <c:pt idx="73">
                  <c:v>5.3964989975996663E-4</c:v>
                </c:pt>
                <c:pt idx="74">
                  <c:v>5.4253519483646708E-4</c:v>
                </c:pt>
                <c:pt idx="75">
                  <c:v>5.4535274772180746E-4</c:v>
                </c:pt>
                <c:pt idx="76">
                  <c:v>5.4810468063236351E-4</c:v>
                </c:pt>
                <c:pt idx="77">
                  <c:v>5.5079311578451039E-4</c:v>
                </c:pt>
                <c:pt idx="78">
                  <c:v>5.584986568542517E-4</c:v>
                </c:pt>
                <c:pt idx="79">
                  <c:v>5.6095432313651712E-4</c:v>
                </c:pt>
                <c:pt idx="80">
                  <c:v>5.633571027422508E-4</c:v>
                </c:pt>
                <c:pt idx="81">
                  <c:v>5.6570911788782815E-4</c:v>
                </c:pt>
                <c:pt idx="82">
                  <c:v>5.6801249078962466E-4</c:v>
                </c:pt>
                <c:pt idx="83">
                  <c:v>5.7465197819608384E-4</c:v>
                </c:pt>
                <c:pt idx="84">
                  <c:v>5.7678186476398639E-4</c:v>
                </c:pt>
                <c:pt idx="85">
                  <c:v>5.788728830348343E-4</c:v>
                </c:pt>
                <c:pt idx="86">
                  <c:v>5.8092631808985182E-4</c:v>
                </c:pt>
                <c:pt idx="87">
                  <c:v>5.8294345501026324E-4</c:v>
                </c:pt>
                <c:pt idx="88">
                  <c:v>5.8878992777610425E-4</c:v>
                </c:pt>
                <c:pt idx="89">
                  <c:v>5.9067472297033455E-4</c:v>
                </c:pt>
                <c:pt idx="90">
                  <c:v>5.9252964543608029E-4</c:v>
                </c:pt>
                <c:pt idx="91">
                  <c:v>5.9435598025456586E-4</c:v>
                </c:pt>
                <c:pt idx="92">
                  <c:v>5.9615501250701562E-4</c:v>
                </c:pt>
                <c:pt idx="93">
                  <c:v>6.0140114468039277E-4</c:v>
                </c:pt>
                <c:pt idx="94">
                  <c:v>6.0310381748094211E-4</c:v>
                </c:pt>
                <c:pt idx="95">
                  <c:v>6.0478561312157721E-4</c:v>
                </c:pt>
                <c:pt idx="96">
                  <c:v>6.0644781668352233E-4</c:v>
                </c:pt>
                <c:pt idx="97">
                  <c:v>6.0809171324800173E-4</c:v>
                </c:pt>
                <c:pt idx="98">
                  <c:v>6.1292641176888913E-4</c:v>
                </c:pt>
                <c:pt idx="99">
                  <c:v>6.1450993115574903E-4</c:v>
                </c:pt>
                <c:pt idx="100">
                  <c:v>6.1608156895126478E-4</c:v>
                </c:pt>
                <c:pt idx="101">
                  <c:v>6.1764261023666074E-4</c:v>
                </c:pt>
                <c:pt idx="102">
                  <c:v>6.191943400931612E-4</c:v>
                </c:pt>
                <c:pt idx="103">
                  <c:v>6.2380651190153296E-4</c:v>
                </c:pt>
                <c:pt idx="104">
                  <c:v>6.253338468546946E-4</c:v>
                </c:pt>
                <c:pt idx="105">
                  <c:v>6.268582957850824E-4</c:v>
                </c:pt>
                <c:pt idx="106">
                  <c:v>6.2838114377392063E-4</c:v>
                </c:pt>
                <c:pt idx="107">
                  <c:v>6.2990370012770225E-4</c:v>
                </c:pt>
                <c:pt idx="108">
                  <c:v>6.3448377835545911E-4</c:v>
                </c:pt>
                <c:pt idx="109">
                  <c:v>6.3601937559630323E-4</c:v>
                </c:pt>
                <c:pt idx="110">
                  <c:v>6.3756180914100401E-4</c:v>
                </c:pt>
                <c:pt idx="111">
                  <c:v>6.3911250942239777E-4</c:v>
                </c:pt>
                <c:pt idx="112">
                  <c:v>6.406729068733208E-4</c:v>
                </c:pt>
                <c:pt idx="113">
                  <c:v>6.4542658657162964E-4</c:v>
                </c:pt>
                <c:pt idx="114">
                  <c:v>6.4704007702903374E-4</c:v>
                </c:pt>
                <c:pt idx="115">
                  <c:v>6.4867041682014899E-4</c:v>
                </c:pt>
                <c:pt idx="116">
                  <c:v>6.5031903637781179E-4</c:v>
                </c:pt>
                <c:pt idx="117">
                  <c:v>6.5198736613485847E-4</c:v>
                </c:pt>
                <c:pt idx="118">
                  <c:v>6.5712492093066596E-4</c:v>
                </c:pt>
                <c:pt idx="119">
                  <c:v>6.5888639581361216E-4</c:v>
                </c:pt>
                <c:pt idx="120">
                  <c:v>6.6067473306012409E-4</c:v>
                </c:pt>
                <c:pt idx="121">
                  <c:v>6.6249136310303827E-4</c:v>
                </c:pt>
                <c:pt idx="122">
                  <c:v>6.6433771637519092E-4</c:v>
                </c:pt>
                <c:pt idx="123">
                  <c:v>6.7006941989544385E-4</c:v>
                </c:pt>
                <c:pt idx="124">
                  <c:v>6.7204897041291437E-4</c:v>
                </c:pt>
                <c:pt idx="125">
                  <c:v>6.7406539632380521E-4</c:v>
                </c:pt>
                <c:pt idx="126">
                  <c:v>6.761201280609529E-4</c:v>
                </c:pt>
                <c:pt idx="127">
                  <c:v>6.7821459605719374E-4</c:v>
                </c:pt>
                <c:pt idx="128">
                  <c:v>6.8475072192883879E-4</c:v>
                </c:pt>
                <c:pt idx="129">
                  <c:v>6.8701751780249007E-4</c:v>
                </c:pt>
                <c:pt idx="130">
                  <c:v>6.8932567317546108E-4</c:v>
                </c:pt>
                <c:pt idx="131">
                  <c:v>6.9167108955663309E-4</c:v>
                </c:pt>
                <c:pt idx="132">
                  <c:v>6.9404966845488722E-4</c:v>
                </c:pt>
                <c:pt idx="133">
                  <c:v>7.0134339534095409E-4</c:v>
                </c:pt>
                <c:pt idx="134">
                  <c:v>7.0381363939634855E-4</c:v>
                </c:pt>
                <c:pt idx="135">
                  <c:v>7.0629655351323094E-4</c:v>
                </c:pt>
                <c:pt idx="136">
                  <c:v>7.087880392004825E-4</c:v>
                </c:pt>
                <c:pt idx="137">
                  <c:v>7.1128399796698439E-4</c:v>
                </c:pt>
                <c:pt idx="138">
                  <c:v>7.1875772783080365E-4</c:v>
                </c:pt>
                <c:pt idx="139">
                  <c:v>7.2123059400311851E-4</c:v>
                </c:pt>
                <c:pt idx="140">
                  <c:v>7.236874407990896E-4</c:v>
                </c:pt>
                <c:pt idx="141">
                  <c:v>7.2612416972759805E-4</c:v>
                </c:pt>
                <c:pt idx="142">
                  <c:v>7.2853668229752502E-4</c:v>
                </c:pt>
                <c:pt idx="143">
                  <c:v>7.3558793694462866E-4</c:v>
                </c:pt>
                <c:pt idx="144">
                  <c:v>7.3786259916904136E-4</c:v>
                </c:pt>
                <c:pt idx="145">
                  <c:v>7.4009255257927848E-4</c:v>
                </c:pt>
                <c:pt idx="146">
                  <c:v>7.4227369868422116E-4</c:v>
                </c:pt>
                <c:pt idx="147">
                  <c:v>7.4440193899275053E-4</c:v>
                </c:pt>
                <c:pt idx="148">
                  <c:v>7.5042824022867054E-4</c:v>
                </c:pt>
                <c:pt idx="149">
                  <c:v>7.5230387244035841E-4</c:v>
                </c:pt>
                <c:pt idx="150">
                  <c:v>7.5410728360237439E-4</c:v>
                </c:pt>
                <c:pt idx="151">
                  <c:v>7.5584026123527714E-4</c:v>
                </c:pt>
                <c:pt idx="152">
                  <c:v>7.5750577006196093E-4</c:v>
                </c:pt>
                <c:pt idx="153">
                  <c:v>7.6212713093364015E-4</c:v>
                </c:pt>
                <c:pt idx="154">
                  <c:v>7.6355241176439008E-4</c:v>
                </c:pt>
                <c:pt idx="155">
                  <c:v>7.6492504740339193E-4</c:v>
                </c:pt>
                <c:pt idx="156">
                  <c:v>7.6624800257354009E-4</c:v>
                </c:pt>
                <c:pt idx="157">
                  <c:v>7.6752424199772883E-4</c:v>
                </c:pt>
                <c:pt idx="158">
                  <c:v>7.7110231302347982E-4</c:v>
                </c:pt>
                <c:pt idx="159">
                  <c:v>7.7222133669277264E-4</c:v>
                </c:pt>
                <c:pt idx="160">
                  <c:v>7.7330846823057693E-4</c:v>
                </c:pt>
                <c:pt idx="161">
                  <c:v>7.7436667235978706E-4</c:v>
                </c:pt>
                <c:pt idx="162">
                  <c:v>7.7539891380329709E-4</c:v>
                </c:pt>
                <c:pt idx="163">
                  <c:v>7.7836950924856942E-4</c:v>
                </c:pt>
                <c:pt idx="164">
                  <c:v>7.7932754717822158E-4</c:v>
                </c:pt>
                <c:pt idx="165">
                  <c:v>7.8027444603664476E-4</c:v>
                </c:pt>
                <c:pt idx="166">
                  <c:v>7.8121317054673331E-4</c:v>
                </c:pt>
                <c:pt idx="167">
                  <c:v>7.8214668543138131E-4</c:v>
                </c:pt>
                <c:pt idx="168">
                  <c:v>7.8494561956162423E-4</c:v>
                </c:pt>
                <c:pt idx="169">
                  <c:v>7.858879431734523E-4</c:v>
                </c:pt>
                <c:pt idx="170">
                  <c:v>7.8683988077431091E-4</c:v>
                </c:pt>
                <c:pt idx="171">
                  <c:v>7.8780439708709424E-4</c:v>
                </c:pt>
                <c:pt idx="172">
                  <c:v>7.8878445683469665E-4</c:v>
                </c:pt>
                <c:pt idx="173">
                  <c:v>7.9182468947652318E-4</c:v>
                </c:pt>
                <c:pt idx="174">
                  <c:v>7.9286525114653057E-4</c:v>
                </c:pt>
                <c:pt idx="175">
                  <c:v>7.9391586480908433E-4</c:v>
                </c:pt>
                <c:pt idx="176">
                  <c:v>7.9497441642289285E-4</c:v>
                </c:pt>
                <c:pt idx="177">
                  <c:v>7.9603879194666449E-4</c:v>
                </c:pt>
                <c:pt idx="178">
                  <c:v>7.9924572156484083E-4</c:v>
                </c:pt>
                <c:pt idx="179">
                  <c:v>8.0031225231554776E-4</c:v>
                </c:pt>
                <c:pt idx="180">
                  <c:v>8.0137403676975932E-4</c:v>
                </c:pt>
                <c:pt idx="181">
                  <c:v>8.0242896088618377E-4</c:v>
                </c:pt>
                <c:pt idx="182">
                  <c:v>8.0347491062352948E-4</c:v>
                </c:pt>
                <c:pt idx="183">
                  <c:v>8.0653777314817717E-4</c:v>
                </c:pt>
                <c:pt idx="184">
                  <c:v>8.0752668495629094E-4</c:v>
                </c:pt>
                <c:pt idx="185">
                  <c:v>8.0849605217886747E-4</c:v>
                </c:pt>
                <c:pt idx="186">
                  <c:v>8.0944376077461515E-4</c:v>
                </c:pt>
                <c:pt idx="187">
                  <c:v>8.1036769670224222E-4</c:v>
                </c:pt>
                <c:pt idx="188">
                  <c:v>8.1297572806348284E-4</c:v>
                </c:pt>
                <c:pt idx="189">
                  <c:v>8.1378343290571063E-4</c:v>
                </c:pt>
                <c:pt idx="190">
                  <c:v>8.1455679487335943E-4</c:v>
                </c:pt>
                <c:pt idx="191">
                  <c:v>8.1529369992513741E-4</c:v>
                </c:pt>
                <c:pt idx="192">
                  <c:v>8.1599203401975303E-4</c:v>
                </c:pt>
                <c:pt idx="193">
                  <c:v>8.1783447014770845E-4</c:v>
                </c:pt>
                <c:pt idx="194">
                  <c:v>8.1835813308500931E-4</c:v>
                </c:pt>
                <c:pt idx="195">
                  <c:v>8.1883717336420048E-4</c:v>
                </c:pt>
                <c:pt idx="196">
                  <c:v>8.192739954495015E-4</c:v>
                </c:pt>
                <c:pt idx="197">
                  <c:v>8.1967100380513167E-4</c:v>
                </c:pt>
                <c:pt idx="198">
                  <c:v>8.2064719113619246E-4</c:v>
                </c:pt>
                <c:pt idx="199">
                  <c:v>8.209089892153344E-4</c:v>
                </c:pt>
                <c:pt idx="200">
                  <c:v>8.211429958859029E-4</c:v>
                </c:pt>
                <c:pt idx="201">
                  <c:v>8.2135161561211749E-4</c:v>
                </c:pt>
                <c:pt idx="202">
                  <c:v>8.2153725285819771E-4</c:v>
                </c:pt>
                <c:pt idx="203">
                  <c:v>8.2198031435782616E-4</c:v>
                </c:pt>
                <c:pt idx="204">
                  <c:v>8.2209806632556326E-4</c:v>
                </c:pt>
                <c:pt idx="205">
                  <c:v>8.2220485813426329E-4</c:v>
                </c:pt>
                <c:pt idx="206">
                  <c:v>8.2230309424814567E-4</c:v>
                </c:pt>
                <c:pt idx="207">
                  <c:v>8.2239517913142992E-4</c:v>
                </c:pt>
                <c:pt idx="208">
                  <c:v>8.2284749133656088E-4</c:v>
                </c:pt>
                <c:pt idx="209">
                  <c:v>8.2295316258486524E-4</c:v>
                </c:pt>
                <c:pt idx="210">
                  <c:v>8.2306951385210784E-4</c:v>
                </c:pt>
                <c:pt idx="211">
                  <c:v>8.2368980839484939E-4</c:v>
                </c:pt>
                <c:pt idx="212">
                  <c:v>8.2389562672007498E-4</c:v>
                </c:pt>
                <c:pt idx="213">
                  <c:v>8.2412596481427891E-4</c:v>
                </c:pt>
                <c:pt idx="214">
                  <c:v>8.2438029196529752E-4</c:v>
                </c:pt>
                <c:pt idx="215">
                  <c:v>8.2527603028483768E-4</c:v>
                </c:pt>
                <c:pt idx="216">
                  <c:v>8.2561513618871138E-4</c:v>
                </c:pt>
                <c:pt idx="217">
                  <c:v>8.2597264241219789E-4</c:v>
                </c:pt>
                <c:pt idx="218">
                  <c:v>8.2634743120785692E-4</c:v>
                </c:pt>
                <c:pt idx="219">
                  <c:v>8.2673838482824819E-4</c:v>
                </c:pt>
                <c:pt idx="220">
                  <c:v>8.2799705716341129E-4</c:v>
                </c:pt>
                <c:pt idx="221">
                  <c:v>8.2844149260832768E-4</c:v>
                </c:pt>
                <c:pt idx="222">
                  <c:v>8.2889650414077435E-4</c:v>
                </c:pt>
                <c:pt idx="223">
                  <c:v>8.293609740133111E-4</c:v>
                </c:pt>
                <c:pt idx="224">
                  <c:v>8.2983378447849744E-4</c:v>
                </c:pt>
                <c:pt idx="225">
                  <c:v>8.3129108195555113E-4</c:v>
                </c:pt>
                <c:pt idx="226">
                  <c:v>8.3178607731693264E-4</c:v>
                </c:pt>
                <c:pt idx="227">
                  <c:v>8.3228382453376208E-4</c:v>
                </c:pt>
                <c:pt idx="228">
                  <c:v>8.3278320585859896E-4</c:v>
                </c:pt>
                <c:pt idx="229">
                  <c:v>8.3328310354400311E-4</c:v>
                </c:pt>
                <c:pt idx="230">
                  <c:v>8.3477471728921483E-4</c:v>
                </c:pt>
                <c:pt idx="231">
                  <c:v>8.3526550294248407E-4</c:v>
                </c:pt>
                <c:pt idx="232">
                  <c:v>8.357512162191187E-4</c:v>
                </c:pt>
                <c:pt idx="233">
                  <c:v>8.3623073937167845E-4</c:v>
                </c:pt>
                <c:pt idx="234">
                  <c:v>8.367029546527228E-4</c:v>
                </c:pt>
                <c:pt idx="235">
                  <c:v>8.3806457579236032E-4</c:v>
                </c:pt>
                <c:pt idx="236">
                  <c:v>8.3849663851644934E-4</c:v>
                </c:pt>
                <c:pt idx="237">
                  <c:v>8.3891734305287875E-4</c:v>
                </c:pt>
                <c:pt idx="238">
                  <c:v>8.3932711007526537E-4</c:v>
                </c:pt>
                <c:pt idx="239">
                  <c:v>8.3972636025722634E-4</c:v>
                </c:pt>
                <c:pt idx="240">
                  <c:v>8.408652164967256E-4</c:v>
                </c:pt>
                <c:pt idx="241">
                  <c:v>8.4122660605315421E-4</c:v>
                </c:pt>
                <c:pt idx="242">
                  <c:v>8.4157958213724223E-4</c:v>
                </c:pt>
                <c:pt idx="243">
                  <c:v>8.4192456542260682E-4</c:v>
                </c:pt>
                <c:pt idx="244">
                  <c:v>8.4226197658286489E-4</c:v>
                </c:pt>
                <c:pt idx="245">
                  <c:v>8.4323298404917046E-4</c:v>
                </c:pt>
                <c:pt idx="246">
                  <c:v>8.4354431344517292E-4</c:v>
                </c:pt>
                <c:pt idx="247">
                  <c:v>8.4385017408415404E-4</c:v>
                </c:pt>
                <c:pt idx="248">
                  <c:v>8.4415098663973074E-4</c:v>
                </c:pt>
                <c:pt idx="249">
                  <c:v>8.4444717178552029E-4</c:v>
                </c:pt>
                <c:pt idx="250">
                  <c:v>8.4531216950033518E-4</c:v>
                </c:pt>
                <c:pt idx="251">
                  <c:v>8.4559405174314565E-4</c:v>
                </c:pt>
                <c:pt idx="252">
                  <c:v>8.4587340994425413E-4</c:v>
                </c:pt>
                <c:pt idx="253">
                  <c:v>8.4615066477727733E-4</c:v>
                </c:pt>
                <c:pt idx="254">
                  <c:v>8.464262369158325E-4</c:v>
                </c:pt>
                <c:pt idx="255">
                  <c:v>8.4724706390085962E-4</c:v>
                </c:pt>
                <c:pt idx="256">
                  <c:v>8.4752011199771258E-4</c:v>
                </c:pt>
                <c:pt idx="257">
                  <c:v>8.4779358076818268E-4</c:v>
                </c:pt>
                <c:pt idx="258">
                  <c:v>8.4806789088588675E-4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761536"/>
        <c:axId val="631771520"/>
      </c:scatterChart>
      <c:valAx>
        <c:axId val="6317615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1771520"/>
        <c:crosses val="autoZero"/>
        <c:crossBetween val="midCat"/>
      </c:valAx>
      <c:valAx>
        <c:axId val="631771520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31761536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94949498"/>
          <c:y val="0.40300833333333336"/>
          <c:w val="0.12418611111111111"/>
          <c:h val="0.2977958333333333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Abcd Best-Fit</a:t>
            </a:r>
          </a:p>
        </c:rich>
      </c:tx>
      <c:layout>
        <c:manualLayout>
          <c:xMode val="edge"/>
          <c:yMode val="edge"/>
          <c:x val="0.4139047825529944"/>
          <c:y val="1.4111111111111111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42797</c:v>
                </c:pt>
              </c:numCache>
            </c:numRef>
          </c:xVal>
          <c:yVal>
            <c:numRef>
              <c:f>'Delta 3M'!$M$3</c:f>
              <c:numCache>
                <c:formatCode>0.0000%</c:formatCode>
                <c:ptCount val="1"/>
                <c:pt idx="0">
                  <c:v>2.3444412150475102E-4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3M'!$E$4:$E$15</c:f>
              <c:numCache>
                <c:formatCode>ddd\,\ dd\-mmm\-yyyy</c:formatCode>
                <c:ptCount val="12"/>
                <c:pt idx="0">
                  <c:v>42828</c:v>
                </c:pt>
                <c:pt idx="1">
                  <c:v>42858</c:v>
                </c:pt>
                <c:pt idx="2">
                  <c:v>42891</c:v>
                </c:pt>
                <c:pt idx="3">
                  <c:v>42919</c:v>
                </c:pt>
                <c:pt idx="4">
                  <c:v>42950</c:v>
                </c:pt>
                <c:pt idx="5">
                  <c:v>42982</c:v>
                </c:pt>
                <c:pt idx="6">
                  <c:v>43011</c:v>
                </c:pt>
                <c:pt idx="7">
                  <c:v>43042</c:v>
                </c:pt>
                <c:pt idx="8">
                  <c:v>43073</c:v>
                </c:pt>
                <c:pt idx="9">
                  <c:v>43103</c:v>
                </c:pt>
                <c:pt idx="10">
                  <c:v>43136</c:v>
                </c:pt>
                <c:pt idx="11">
                  <c:v>43164</c:v>
                </c:pt>
              </c:numCache>
            </c:numRef>
          </c:xVal>
          <c:yVal>
            <c:numRef>
              <c:f>'Delta 3M'!$M$4:$M$15</c:f>
              <c:numCache>
                <c:formatCode>0.0000%</c:formatCode>
                <c:ptCount val="12"/>
                <c:pt idx="0">
                  <c:v>2.7723457056316996E-4</c:v>
                </c:pt>
                <c:pt idx="1">
                  <c:v>3.4354756483251847E-4</c:v>
                </c:pt>
                <c:pt idx="2">
                  <c:v>4.9095439744691223E-4</c:v>
                </c:pt>
                <c:pt idx="3">
                  <c:v>5.7465197819608384E-4</c:v>
                </c:pt>
                <c:pt idx="4">
                  <c:v>6.2838114377392063E-4</c:v>
                </c:pt>
                <c:pt idx="5">
                  <c:v>6.8475072192883879E-4</c:v>
                </c:pt>
                <c:pt idx="6">
                  <c:v>7.5230387244035841E-4</c:v>
                </c:pt>
                <c:pt idx="7">
                  <c:v>7.8878445683469665E-4</c:v>
                </c:pt>
                <c:pt idx="8">
                  <c:v>8.1783447014770845E-4</c:v>
                </c:pt>
                <c:pt idx="9">
                  <c:v>8.2389562672007498E-4</c:v>
                </c:pt>
                <c:pt idx="10">
                  <c:v>8.3806457579236032E-4</c:v>
                </c:pt>
                <c:pt idx="11">
                  <c:v>8.4724706390085962E-4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3M'!$E$16:$E$20</c:f>
              <c:numCache>
                <c:formatCode>ddd\,\ dd\-mmm\-yyyy</c:formatCode>
                <c:ptCount val="5"/>
                <c:pt idx="0">
                  <c:v>42809</c:v>
                </c:pt>
                <c:pt idx="1">
                  <c:v>42907</c:v>
                </c:pt>
                <c:pt idx="2">
                  <c:v>42998</c:v>
                </c:pt>
                <c:pt idx="3">
                  <c:v>43089</c:v>
                </c:pt>
                <c:pt idx="4">
                  <c:v>43180</c:v>
                </c:pt>
              </c:numCache>
            </c:numRef>
          </c:xVal>
          <c:yVal>
            <c:numRef>
              <c:f>'Delta 3M'!$M$16:$M$20</c:f>
              <c:numCache>
                <c:formatCode>0.0000%</c:formatCode>
                <c:ptCount val="5"/>
                <c:pt idx="0">
                  <c:v>2.564023705682629E-4</c:v>
                </c:pt>
                <c:pt idx="1">
                  <c:v>5.4992759008689555E-4</c:v>
                </c:pt>
                <c:pt idx="2">
                  <c:v>7.3837357808471558E-4</c:v>
                </c:pt>
                <c:pt idx="3">
                  <c:v>8.2008268157148E-4</c:v>
                </c:pt>
                <c:pt idx="4">
                  <c:v>8.6243992909654102E-4</c:v>
                </c:pt>
              </c:numCache>
            </c:numRef>
          </c:yVal>
          <c:smooth val="0"/>
        </c:ser>
        <c:ser>
          <c:idx val="4"/>
          <c:order val="3"/>
          <c:tx>
            <c:v>Basis Abcd</c:v>
          </c:tx>
          <c:spPr>
            <a:ln w="28575">
              <a:solidFill>
                <a:srgbClr val="00B0F0"/>
              </a:solidFill>
            </a:ln>
          </c:spPr>
          <c:marker>
            <c:symbol val="circle"/>
            <c:size val="2"/>
          </c:marker>
          <c:xVal>
            <c:numRef>
              <c:f>'Delta 3M'!$V$3:$V$261</c:f>
              <c:numCache>
                <c:formatCode>ddd\,\ dd\-mmm\-yyyy</c:formatCode>
                <c:ptCount val="259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  <c:pt idx="24">
                  <c:v>42831</c:v>
                </c:pt>
                <c:pt idx="25">
                  <c:v>42832</c:v>
                </c:pt>
                <c:pt idx="26">
                  <c:v>42835</c:v>
                </c:pt>
                <c:pt idx="27">
                  <c:v>42836</c:v>
                </c:pt>
                <c:pt idx="28">
                  <c:v>42837</c:v>
                </c:pt>
                <c:pt idx="29">
                  <c:v>42838</c:v>
                </c:pt>
                <c:pt idx="30">
                  <c:v>42843</c:v>
                </c:pt>
                <c:pt idx="31">
                  <c:v>42844</c:v>
                </c:pt>
                <c:pt idx="32">
                  <c:v>42845</c:v>
                </c:pt>
                <c:pt idx="33">
                  <c:v>42846</c:v>
                </c:pt>
                <c:pt idx="34">
                  <c:v>42849</c:v>
                </c:pt>
                <c:pt idx="35">
                  <c:v>42850</c:v>
                </c:pt>
                <c:pt idx="36">
                  <c:v>42851</c:v>
                </c:pt>
                <c:pt idx="37">
                  <c:v>42852</c:v>
                </c:pt>
                <c:pt idx="38">
                  <c:v>42853</c:v>
                </c:pt>
                <c:pt idx="39">
                  <c:v>42857</c:v>
                </c:pt>
                <c:pt idx="40">
                  <c:v>42858</c:v>
                </c:pt>
                <c:pt idx="41">
                  <c:v>42859</c:v>
                </c:pt>
                <c:pt idx="42">
                  <c:v>42860</c:v>
                </c:pt>
                <c:pt idx="43">
                  <c:v>42863</c:v>
                </c:pt>
                <c:pt idx="44">
                  <c:v>42864</c:v>
                </c:pt>
                <c:pt idx="45">
                  <c:v>42865</c:v>
                </c:pt>
                <c:pt idx="46">
                  <c:v>42866</c:v>
                </c:pt>
                <c:pt idx="47">
                  <c:v>42867</c:v>
                </c:pt>
                <c:pt idx="48">
                  <c:v>42870</c:v>
                </c:pt>
                <c:pt idx="49">
                  <c:v>42871</c:v>
                </c:pt>
                <c:pt idx="50">
                  <c:v>42872</c:v>
                </c:pt>
                <c:pt idx="51">
                  <c:v>42873</c:v>
                </c:pt>
                <c:pt idx="52">
                  <c:v>42874</c:v>
                </c:pt>
                <c:pt idx="53">
                  <c:v>42877</c:v>
                </c:pt>
                <c:pt idx="54">
                  <c:v>42878</c:v>
                </c:pt>
                <c:pt idx="55">
                  <c:v>42879</c:v>
                </c:pt>
                <c:pt idx="56">
                  <c:v>42880</c:v>
                </c:pt>
                <c:pt idx="57">
                  <c:v>42881</c:v>
                </c:pt>
                <c:pt idx="58">
                  <c:v>42884</c:v>
                </c:pt>
                <c:pt idx="59">
                  <c:v>42885</c:v>
                </c:pt>
                <c:pt idx="60">
                  <c:v>42886</c:v>
                </c:pt>
                <c:pt idx="61">
                  <c:v>42887</c:v>
                </c:pt>
                <c:pt idx="62">
                  <c:v>42888</c:v>
                </c:pt>
                <c:pt idx="63">
                  <c:v>42891</c:v>
                </c:pt>
                <c:pt idx="64">
                  <c:v>42892</c:v>
                </c:pt>
                <c:pt idx="65">
                  <c:v>42893</c:v>
                </c:pt>
                <c:pt idx="66">
                  <c:v>42894</c:v>
                </c:pt>
                <c:pt idx="67">
                  <c:v>42895</c:v>
                </c:pt>
                <c:pt idx="68">
                  <c:v>42898</c:v>
                </c:pt>
                <c:pt idx="69">
                  <c:v>42899</c:v>
                </c:pt>
                <c:pt idx="70">
                  <c:v>42900</c:v>
                </c:pt>
                <c:pt idx="71">
                  <c:v>42901</c:v>
                </c:pt>
                <c:pt idx="72">
                  <c:v>42902</c:v>
                </c:pt>
                <c:pt idx="73">
                  <c:v>42905</c:v>
                </c:pt>
                <c:pt idx="74">
                  <c:v>42906</c:v>
                </c:pt>
                <c:pt idx="75">
                  <c:v>42907</c:v>
                </c:pt>
                <c:pt idx="76">
                  <c:v>42908</c:v>
                </c:pt>
                <c:pt idx="77">
                  <c:v>42909</c:v>
                </c:pt>
                <c:pt idx="78">
                  <c:v>42912</c:v>
                </c:pt>
                <c:pt idx="79">
                  <c:v>42913</c:v>
                </c:pt>
                <c:pt idx="80">
                  <c:v>42914</c:v>
                </c:pt>
                <c:pt idx="81">
                  <c:v>42915</c:v>
                </c:pt>
                <c:pt idx="82">
                  <c:v>42916</c:v>
                </c:pt>
                <c:pt idx="83">
                  <c:v>42919</c:v>
                </c:pt>
                <c:pt idx="84">
                  <c:v>42920</c:v>
                </c:pt>
                <c:pt idx="85">
                  <c:v>42921</c:v>
                </c:pt>
                <c:pt idx="86">
                  <c:v>42922</c:v>
                </c:pt>
                <c:pt idx="87">
                  <c:v>42923</c:v>
                </c:pt>
                <c:pt idx="88">
                  <c:v>42926</c:v>
                </c:pt>
                <c:pt idx="89">
                  <c:v>42927</c:v>
                </c:pt>
                <c:pt idx="90">
                  <c:v>42928</c:v>
                </c:pt>
                <c:pt idx="91">
                  <c:v>42929</c:v>
                </c:pt>
                <c:pt idx="92">
                  <c:v>42930</c:v>
                </c:pt>
                <c:pt idx="93">
                  <c:v>42933</c:v>
                </c:pt>
                <c:pt idx="94">
                  <c:v>42934</c:v>
                </c:pt>
                <c:pt idx="95">
                  <c:v>42935</c:v>
                </c:pt>
                <c:pt idx="96">
                  <c:v>42936</c:v>
                </c:pt>
                <c:pt idx="97">
                  <c:v>42937</c:v>
                </c:pt>
                <c:pt idx="98">
                  <c:v>42940</c:v>
                </c:pt>
                <c:pt idx="99">
                  <c:v>42941</c:v>
                </c:pt>
                <c:pt idx="100">
                  <c:v>42942</c:v>
                </c:pt>
                <c:pt idx="101">
                  <c:v>42943</c:v>
                </c:pt>
                <c:pt idx="102">
                  <c:v>42944</c:v>
                </c:pt>
                <c:pt idx="103">
                  <c:v>42947</c:v>
                </c:pt>
                <c:pt idx="104">
                  <c:v>42948</c:v>
                </c:pt>
                <c:pt idx="105">
                  <c:v>42949</c:v>
                </c:pt>
                <c:pt idx="106">
                  <c:v>42950</c:v>
                </c:pt>
                <c:pt idx="107">
                  <c:v>42951</c:v>
                </c:pt>
                <c:pt idx="108">
                  <c:v>42954</c:v>
                </c:pt>
                <c:pt idx="109">
                  <c:v>42955</c:v>
                </c:pt>
                <c:pt idx="110">
                  <c:v>42956</c:v>
                </c:pt>
                <c:pt idx="111">
                  <c:v>42957</c:v>
                </c:pt>
                <c:pt idx="112">
                  <c:v>42958</c:v>
                </c:pt>
                <c:pt idx="113">
                  <c:v>42961</c:v>
                </c:pt>
                <c:pt idx="114">
                  <c:v>42962</c:v>
                </c:pt>
                <c:pt idx="115">
                  <c:v>42963</c:v>
                </c:pt>
                <c:pt idx="116">
                  <c:v>42964</c:v>
                </c:pt>
                <c:pt idx="117">
                  <c:v>42965</c:v>
                </c:pt>
                <c:pt idx="118">
                  <c:v>42968</c:v>
                </c:pt>
                <c:pt idx="119">
                  <c:v>42969</c:v>
                </c:pt>
                <c:pt idx="120">
                  <c:v>42970</c:v>
                </c:pt>
                <c:pt idx="121">
                  <c:v>42971</c:v>
                </c:pt>
                <c:pt idx="122">
                  <c:v>42972</c:v>
                </c:pt>
                <c:pt idx="123">
                  <c:v>42975</c:v>
                </c:pt>
                <c:pt idx="124">
                  <c:v>42976</c:v>
                </c:pt>
                <c:pt idx="125">
                  <c:v>42977</c:v>
                </c:pt>
                <c:pt idx="126">
                  <c:v>42978</c:v>
                </c:pt>
                <c:pt idx="127">
                  <c:v>42979</c:v>
                </c:pt>
                <c:pt idx="128">
                  <c:v>42982</c:v>
                </c:pt>
                <c:pt idx="129">
                  <c:v>42983</c:v>
                </c:pt>
                <c:pt idx="130">
                  <c:v>42984</c:v>
                </c:pt>
                <c:pt idx="131">
                  <c:v>42985</c:v>
                </c:pt>
                <c:pt idx="132">
                  <c:v>42986</c:v>
                </c:pt>
                <c:pt idx="133">
                  <c:v>42989</c:v>
                </c:pt>
                <c:pt idx="134">
                  <c:v>42990</c:v>
                </c:pt>
                <c:pt idx="135">
                  <c:v>42991</c:v>
                </c:pt>
                <c:pt idx="136">
                  <c:v>42992</c:v>
                </c:pt>
                <c:pt idx="137">
                  <c:v>42993</c:v>
                </c:pt>
                <c:pt idx="138">
                  <c:v>42996</c:v>
                </c:pt>
                <c:pt idx="139">
                  <c:v>42997</c:v>
                </c:pt>
                <c:pt idx="140">
                  <c:v>42998</c:v>
                </c:pt>
                <c:pt idx="141">
                  <c:v>42999</c:v>
                </c:pt>
                <c:pt idx="142">
                  <c:v>43000</c:v>
                </c:pt>
                <c:pt idx="143">
                  <c:v>43003</c:v>
                </c:pt>
                <c:pt idx="144">
                  <c:v>43004</c:v>
                </c:pt>
                <c:pt idx="145">
                  <c:v>43005</c:v>
                </c:pt>
                <c:pt idx="146">
                  <c:v>43006</c:v>
                </c:pt>
                <c:pt idx="147">
                  <c:v>43007</c:v>
                </c:pt>
                <c:pt idx="148">
                  <c:v>43010</c:v>
                </c:pt>
                <c:pt idx="149">
                  <c:v>43011</c:v>
                </c:pt>
                <c:pt idx="150">
                  <c:v>43012</c:v>
                </c:pt>
                <c:pt idx="151">
                  <c:v>43013</c:v>
                </c:pt>
                <c:pt idx="152">
                  <c:v>43014</c:v>
                </c:pt>
                <c:pt idx="153">
                  <c:v>43017</c:v>
                </c:pt>
                <c:pt idx="154">
                  <c:v>43018</c:v>
                </c:pt>
                <c:pt idx="155">
                  <c:v>43019</c:v>
                </c:pt>
                <c:pt idx="156">
                  <c:v>43020</c:v>
                </c:pt>
                <c:pt idx="157">
                  <c:v>43021</c:v>
                </c:pt>
                <c:pt idx="158">
                  <c:v>43024</c:v>
                </c:pt>
                <c:pt idx="159">
                  <c:v>43025</c:v>
                </c:pt>
                <c:pt idx="160">
                  <c:v>43026</c:v>
                </c:pt>
                <c:pt idx="161">
                  <c:v>43027</c:v>
                </c:pt>
                <c:pt idx="162">
                  <c:v>43028</c:v>
                </c:pt>
                <c:pt idx="163">
                  <c:v>43031</c:v>
                </c:pt>
                <c:pt idx="164">
                  <c:v>43032</c:v>
                </c:pt>
                <c:pt idx="165">
                  <c:v>43033</c:v>
                </c:pt>
                <c:pt idx="166">
                  <c:v>43034</c:v>
                </c:pt>
                <c:pt idx="167">
                  <c:v>43035</c:v>
                </c:pt>
                <c:pt idx="168">
                  <c:v>43038</c:v>
                </c:pt>
                <c:pt idx="169">
                  <c:v>43039</c:v>
                </c:pt>
                <c:pt idx="170">
                  <c:v>43040</c:v>
                </c:pt>
                <c:pt idx="171">
                  <c:v>43041</c:v>
                </c:pt>
                <c:pt idx="172">
                  <c:v>43042</c:v>
                </c:pt>
                <c:pt idx="173">
                  <c:v>43045</c:v>
                </c:pt>
                <c:pt idx="174">
                  <c:v>43046</c:v>
                </c:pt>
                <c:pt idx="175">
                  <c:v>43047</c:v>
                </c:pt>
                <c:pt idx="176">
                  <c:v>43048</c:v>
                </c:pt>
                <c:pt idx="177">
                  <c:v>43049</c:v>
                </c:pt>
                <c:pt idx="178">
                  <c:v>43052</c:v>
                </c:pt>
                <c:pt idx="179">
                  <c:v>43053</c:v>
                </c:pt>
                <c:pt idx="180">
                  <c:v>43054</c:v>
                </c:pt>
                <c:pt idx="181">
                  <c:v>43055</c:v>
                </c:pt>
                <c:pt idx="182">
                  <c:v>43056</c:v>
                </c:pt>
                <c:pt idx="183">
                  <c:v>43059</c:v>
                </c:pt>
                <c:pt idx="184">
                  <c:v>43060</c:v>
                </c:pt>
                <c:pt idx="185">
                  <c:v>43061</c:v>
                </c:pt>
                <c:pt idx="186">
                  <c:v>43062</c:v>
                </c:pt>
                <c:pt idx="187">
                  <c:v>43063</c:v>
                </c:pt>
                <c:pt idx="188">
                  <c:v>43066</c:v>
                </c:pt>
                <c:pt idx="189">
                  <c:v>43067</c:v>
                </c:pt>
                <c:pt idx="190">
                  <c:v>43068</c:v>
                </c:pt>
                <c:pt idx="191">
                  <c:v>43069</c:v>
                </c:pt>
                <c:pt idx="192">
                  <c:v>43070</c:v>
                </c:pt>
                <c:pt idx="193">
                  <c:v>43073</c:v>
                </c:pt>
                <c:pt idx="194">
                  <c:v>43074</c:v>
                </c:pt>
                <c:pt idx="195">
                  <c:v>43075</c:v>
                </c:pt>
                <c:pt idx="196">
                  <c:v>43076</c:v>
                </c:pt>
                <c:pt idx="197">
                  <c:v>43077</c:v>
                </c:pt>
                <c:pt idx="198">
                  <c:v>43080</c:v>
                </c:pt>
                <c:pt idx="199">
                  <c:v>43081</c:v>
                </c:pt>
                <c:pt idx="200">
                  <c:v>43082</c:v>
                </c:pt>
                <c:pt idx="201">
                  <c:v>43083</c:v>
                </c:pt>
                <c:pt idx="202">
                  <c:v>43084</c:v>
                </c:pt>
                <c:pt idx="203">
                  <c:v>43087</c:v>
                </c:pt>
                <c:pt idx="204">
                  <c:v>43088</c:v>
                </c:pt>
                <c:pt idx="205">
                  <c:v>43089</c:v>
                </c:pt>
                <c:pt idx="206">
                  <c:v>43090</c:v>
                </c:pt>
                <c:pt idx="207">
                  <c:v>43091</c:v>
                </c:pt>
                <c:pt idx="208">
                  <c:v>43096</c:v>
                </c:pt>
                <c:pt idx="209">
                  <c:v>43097</c:v>
                </c:pt>
                <c:pt idx="210">
                  <c:v>43098</c:v>
                </c:pt>
                <c:pt idx="211">
                  <c:v>43102</c:v>
                </c:pt>
                <c:pt idx="212">
                  <c:v>43103</c:v>
                </c:pt>
                <c:pt idx="213">
                  <c:v>43104</c:v>
                </c:pt>
                <c:pt idx="214">
                  <c:v>43105</c:v>
                </c:pt>
                <c:pt idx="215">
                  <c:v>43108</c:v>
                </c:pt>
                <c:pt idx="216">
                  <c:v>43109</c:v>
                </c:pt>
                <c:pt idx="217">
                  <c:v>43110</c:v>
                </c:pt>
                <c:pt idx="218">
                  <c:v>43111</c:v>
                </c:pt>
                <c:pt idx="219">
                  <c:v>43112</c:v>
                </c:pt>
                <c:pt idx="220">
                  <c:v>43115</c:v>
                </c:pt>
                <c:pt idx="221">
                  <c:v>43116</c:v>
                </c:pt>
                <c:pt idx="222">
                  <c:v>43117</c:v>
                </c:pt>
                <c:pt idx="223">
                  <c:v>43118</c:v>
                </c:pt>
                <c:pt idx="224">
                  <c:v>43119</c:v>
                </c:pt>
                <c:pt idx="225">
                  <c:v>43122</c:v>
                </c:pt>
                <c:pt idx="226">
                  <c:v>43123</c:v>
                </c:pt>
                <c:pt idx="227">
                  <c:v>43124</c:v>
                </c:pt>
                <c:pt idx="228">
                  <c:v>43125</c:v>
                </c:pt>
                <c:pt idx="229">
                  <c:v>43126</c:v>
                </c:pt>
                <c:pt idx="230">
                  <c:v>43129</c:v>
                </c:pt>
                <c:pt idx="231">
                  <c:v>43130</c:v>
                </c:pt>
                <c:pt idx="232">
                  <c:v>43131</c:v>
                </c:pt>
                <c:pt idx="233">
                  <c:v>43132</c:v>
                </c:pt>
                <c:pt idx="234">
                  <c:v>43133</c:v>
                </c:pt>
                <c:pt idx="235">
                  <c:v>43136</c:v>
                </c:pt>
                <c:pt idx="236">
                  <c:v>43137</c:v>
                </c:pt>
                <c:pt idx="237">
                  <c:v>43138</c:v>
                </c:pt>
                <c:pt idx="238">
                  <c:v>43139</c:v>
                </c:pt>
                <c:pt idx="239">
                  <c:v>43140</c:v>
                </c:pt>
                <c:pt idx="240">
                  <c:v>43143</c:v>
                </c:pt>
                <c:pt idx="241">
                  <c:v>43144</c:v>
                </c:pt>
                <c:pt idx="242">
                  <c:v>43145</c:v>
                </c:pt>
                <c:pt idx="243">
                  <c:v>43146</c:v>
                </c:pt>
                <c:pt idx="244">
                  <c:v>43147</c:v>
                </c:pt>
                <c:pt idx="245">
                  <c:v>43150</c:v>
                </c:pt>
                <c:pt idx="246">
                  <c:v>43151</c:v>
                </c:pt>
                <c:pt idx="247">
                  <c:v>43152</c:v>
                </c:pt>
                <c:pt idx="248">
                  <c:v>43153</c:v>
                </c:pt>
                <c:pt idx="249">
                  <c:v>43154</c:v>
                </c:pt>
                <c:pt idx="250">
                  <c:v>43157</c:v>
                </c:pt>
                <c:pt idx="251">
                  <c:v>43158</c:v>
                </c:pt>
                <c:pt idx="252">
                  <c:v>43159</c:v>
                </c:pt>
                <c:pt idx="253">
                  <c:v>43160</c:v>
                </c:pt>
                <c:pt idx="254">
                  <c:v>43161</c:v>
                </c:pt>
                <c:pt idx="255">
                  <c:v>43164</c:v>
                </c:pt>
                <c:pt idx="256">
                  <c:v>43165</c:v>
                </c:pt>
                <c:pt idx="257">
                  <c:v>43166</c:v>
                </c:pt>
                <c:pt idx="258">
                  <c:v>43167</c:v>
                </c:pt>
              </c:numCache>
            </c:numRef>
          </c:xVal>
          <c:yVal>
            <c:numRef>
              <c:f>'Delta 3M'!$Y$3:$Y$261</c:f>
              <c:numCache>
                <c:formatCode>0.0000%</c:formatCode>
                <c:ptCount val="259"/>
                <c:pt idx="0">
                  <c:v>1.9011542810499262E-4</c:v>
                </c:pt>
                <c:pt idx="1">
                  <c:v>2.0107253715345673E-4</c:v>
                </c:pt>
                <c:pt idx="2">
                  <c:v>2.0473012103152063E-4</c:v>
                </c:pt>
                <c:pt idx="3">
                  <c:v>2.0838830702670169E-4</c:v>
                </c:pt>
                <c:pt idx="4">
                  <c:v>2.1204603227225466E-4</c:v>
                </c:pt>
                <c:pt idx="5">
                  <c:v>2.1570231614332204E-4</c:v>
                </c:pt>
                <c:pt idx="6">
                  <c:v>2.2665380478547193E-4</c:v>
                </c:pt>
                <c:pt idx="7">
                  <c:v>2.3029593068123064E-4</c:v>
                </c:pt>
                <c:pt idx="8">
                  <c:v>2.3393272293631718E-4</c:v>
                </c:pt>
                <c:pt idx="9">
                  <c:v>2.3756356853145573E-4</c:v>
                </c:pt>
                <c:pt idx="10">
                  <c:v>2.4118789950551323E-4</c:v>
                </c:pt>
                <c:pt idx="11">
                  <c:v>2.5201672845533098E-4</c:v>
                </c:pt>
                <c:pt idx="12">
                  <c:v>2.55610104442208E-4</c:v>
                </c:pt>
                <c:pt idx="13">
                  <c:v>2.5919468783582099E-4</c:v>
                </c:pt>
                <c:pt idx="14">
                  <c:v>2.6277011639118272E-4</c:v>
                </c:pt>
                <c:pt idx="15">
                  <c:v>2.6633605369471311E-4</c:v>
                </c:pt>
                <c:pt idx="16">
                  <c:v>2.7697390285760857E-4</c:v>
                </c:pt>
                <c:pt idx="17">
                  <c:v>2.8049896474911519E-4</c:v>
                </c:pt>
                <c:pt idx="18">
                  <c:v>2.8401317989870743E-4</c:v>
                </c:pt>
                <c:pt idx="19">
                  <c:v>2.8751633224195517E-4</c:v>
                </c:pt>
                <c:pt idx="20">
                  <c:v>2.9100822116437749E-4</c:v>
                </c:pt>
                <c:pt idx="21">
                  <c:v>3.0141451155949833E-4</c:v>
                </c:pt>
                <c:pt idx="22">
                  <c:v>3.0485961462097026E-4</c:v>
                </c:pt>
                <c:pt idx="23">
                  <c:v>3.0829264894829245E-4</c:v>
                </c:pt>
                <c:pt idx="24">
                  <c:v>3.1171348722170854E-4</c:v>
                </c:pt>
                <c:pt idx="25">
                  <c:v>3.1512201171351875E-4</c:v>
                </c:pt>
                <c:pt idx="26">
                  <c:v>3.2527265666083577E-4</c:v>
                </c:pt>
                <c:pt idx="27">
                  <c:v>3.2863092024220064E-4</c:v>
                </c:pt>
                <c:pt idx="28">
                  <c:v>3.3197640550023674E-4</c:v>
                </c:pt>
                <c:pt idx="29">
                  <c:v>3.3530904092686021E-4</c:v>
                </c:pt>
                <c:pt idx="30">
                  <c:v>3.5177737838630981E-4</c:v>
                </c:pt>
                <c:pt idx="31">
                  <c:v>3.550317331997609E-4</c:v>
                </c:pt>
                <c:pt idx="32">
                  <c:v>3.5827289093332747E-4</c:v>
                </c:pt>
                <c:pt idx="33">
                  <c:v>3.6150082028817729E-4</c:v>
                </c:pt>
                <c:pt idx="34">
                  <c:v>3.7110498111046162E-4</c:v>
                </c:pt>
                <c:pt idx="35">
                  <c:v>3.7427975722159384E-4</c:v>
                </c:pt>
                <c:pt idx="36">
                  <c:v>3.7744120167318933E-4</c:v>
                </c:pt>
                <c:pt idx="37">
                  <c:v>3.8058930313363806E-4</c:v>
                </c:pt>
                <c:pt idx="38">
                  <c:v>3.8372405299245949E-4</c:v>
                </c:pt>
                <c:pt idx="39">
                  <c:v>3.9612945149098967E-4</c:v>
                </c:pt>
                <c:pt idx="40">
                  <c:v>3.9919739965736716E-4</c:v>
                </c:pt>
                <c:pt idx="41">
                  <c:v>4.0225199408885616E-4</c:v>
                </c:pt>
                <c:pt idx="42">
                  <c:v>4.0529324157469301E-4</c:v>
                </c:pt>
                <c:pt idx="43">
                  <c:v>4.1433699616544317E-4</c:v>
                </c:pt>
                <c:pt idx="44">
                  <c:v>4.1732495769938351E-4</c:v>
                </c:pt>
                <c:pt idx="45">
                  <c:v>4.2029963094146466E-4</c:v>
                </c:pt>
                <c:pt idx="46">
                  <c:v>4.2326103199271016E-4</c:v>
                </c:pt>
                <c:pt idx="47">
                  <c:v>4.2620917824064982E-4</c:v>
                </c:pt>
                <c:pt idx="48">
                  <c:v>4.3497427999144032E-4</c:v>
                </c:pt>
                <c:pt idx="49">
                  <c:v>4.3786960441905682E-4</c:v>
                </c:pt>
                <c:pt idx="50">
                  <c:v>4.4075177811136448E-4</c:v>
                </c:pt>
                <c:pt idx="51">
                  <c:v>4.4362082491828097E-4</c:v>
                </c:pt>
                <c:pt idx="52">
                  <c:v>4.4647676958501059E-4</c:v>
                </c:pt>
                <c:pt idx="53">
                  <c:v>4.5496625069455567E-4</c:v>
                </c:pt>
                <c:pt idx="54">
                  <c:v>4.5777005062745072E-4</c:v>
                </c:pt>
                <c:pt idx="55">
                  <c:v>4.6056088407460415E-4</c:v>
                </c:pt>
                <c:pt idx="56">
                  <c:v>4.6333878028132511E-4</c:v>
                </c:pt>
                <c:pt idx="57">
                  <c:v>4.6610376911596573E-4</c:v>
                </c:pt>
                <c:pt idx="58">
                  <c:v>4.7432159876158208E-4</c:v>
                </c:pt>
                <c:pt idx="59">
                  <c:v>4.7703526817429056E-4</c:v>
                </c:pt>
                <c:pt idx="60">
                  <c:v>4.7973618784436265E-4</c:v>
                </c:pt>
                <c:pt idx="61">
                  <c:v>4.8242439076304899E-4</c:v>
                </c:pt>
                <c:pt idx="62">
                  <c:v>4.8509991035184546E-4</c:v>
                </c:pt>
                <c:pt idx="63">
                  <c:v>4.9305070933914935E-4</c:v>
                </c:pt>
                <c:pt idx="64">
                  <c:v>4.9567583765683474E-4</c:v>
                </c:pt>
                <c:pt idx="65">
                  <c:v>4.982884554480128E-4</c:v>
                </c:pt>
                <c:pt idx="66">
                  <c:v>5.0088859827426705E-4</c:v>
                </c:pt>
                <c:pt idx="67">
                  <c:v>5.0347630198878488E-4</c:v>
                </c:pt>
                <c:pt idx="68">
                  <c:v>5.1116514102762507E-4</c:v>
                </c:pt>
                <c:pt idx="69">
                  <c:v>5.137034520986953E-4</c:v>
                </c:pt>
                <c:pt idx="70">
                  <c:v>5.1622950714721625E-4</c:v>
                </c:pt>
                <c:pt idx="71">
                  <c:v>5.1874334345486633E-4</c:v>
                </c:pt>
                <c:pt idx="72">
                  <c:v>5.2124499849384601E-4</c:v>
                </c:pt>
                <c:pt idx="73">
                  <c:v>5.2867725332869273E-4</c:v>
                </c:pt>
                <c:pt idx="74">
                  <c:v>5.3113056141360386E-4</c:v>
                </c:pt>
                <c:pt idx="75">
                  <c:v>5.3357187804369075E-4</c:v>
                </c:pt>
                <c:pt idx="76">
                  <c:v>5.3600124159793538E-4</c:v>
                </c:pt>
                <c:pt idx="77">
                  <c:v>5.3841869057130601E-4</c:v>
                </c:pt>
                <c:pt idx="78">
                  <c:v>5.4559993651014907E-4</c:v>
                </c:pt>
                <c:pt idx="79">
                  <c:v>5.4797011412362651E-4</c:v>
                </c:pt>
                <c:pt idx="80">
                  <c:v>5.5032857106999749E-4</c:v>
                </c:pt>
                <c:pt idx="81">
                  <c:v>5.5267534636442789E-4</c:v>
                </c:pt>
                <c:pt idx="82">
                  <c:v>5.5501047908256419E-4</c:v>
                </c:pt>
                <c:pt idx="83">
                  <c:v>5.6194641330410623E-4</c:v>
                </c:pt>
                <c:pt idx="84">
                  <c:v>5.6423536745426608E-4</c:v>
                </c:pt>
                <c:pt idx="85">
                  <c:v>5.6651287508827281E-4</c:v>
                </c:pt>
                <c:pt idx="86">
                  <c:v>5.6877897551297111E-4</c:v>
                </c:pt>
                <c:pt idx="87">
                  <c:v>5.7103370805403346E-4</c:v>
                </c:pt>
                <c:pt idx="88">
                  <c:v>5.7773009180995692E-4</c:v>
                </c:pt>
                <c:pt idx="89">
                  <c:v>5.7993974627723599E-4</c:v>
                </c:pt>
                <c:pt idx="90">
                  <c:v>5.821382296017874E-4</c:v>
                </c:pt>
                <c:pt idx="91">
                  <c:v>5.8432558112290925E-4</c:v>
                </c:pt>
                <c:pt idx="92">
                  <c:v>5.8650184016728623E-4</c:v>
                </c:pt>
                <c:pt idx="93">
                  <c:v>5.9296445543823007E-4</c:v>
                </c:pt>
                <c:pt idx="94">
                  <c:v>5.9509673745934016E-4</c:v>
                </c:pt>
                <c:pt idx="95">
                  <c:v>5.9721812331910433E-4</c:v>
                </c:pt>
                <c:pt idx="96">
                  <c:v>5.99328652193202E-4</c:v>
                </c:pt>
                <c:pt idx="97">
                  <c:v>6.0142836322084532E-4</c:v>
                </c:pt>
                <c:pt idx="98">
                  <c:v>6.0766298001008667E-4</c:v>
                </c:pt>
                <c:pt idx="99">
                  <c:v>6.0971981021553409E-4</c:v>
                </c:pt>
                <c:pt idx="100">
                  <c:v>6.1176601762589252E-4</c:v>
                </c:pt>
                <c:pt idx="101">
                  <c:v>6.1380164110441172E-4</c:v>
                </c:pt>
                <c:pt idx="102">
                  <c:v>6.1582671945976529E-4</c:v>
                </c:pt>
                <c:pt idx="103">
                  <c:v>6.2183907100918812E-4</c:v>
                </c:pt>
                <c:pt idx="104">
                  <c:v>6.2382235579165374E-4</c:v>
                </c:pt>
                <c:pt idx="105">
                  <c:v>6.2579528860140033E-4</c:v>
                </c:pt>
                <c:pt idx="106">
                  <c:v>6.2775790787620461E-4</c:v>
                </c:pt>
                <c:pt idx="107">
                  <c:v>6.2971025198551244E-4</c:v>
                </c:pt>
                <c:pt idx="108">
                  <c:v>6.3550601595530542E-4</c:v>
                </c:pt>
                <c:pt idx="109">
                  <c:v>6.3741764167331945E-4</c:v>
                </c:pt>
                <c:pt idx="110">
                  <c:v>6.3931918299183594E-4</c:v>
                </c:pt>
                <c:pt idx="111">
                  <c:v>6.4121067783741881E-4</c:v>
                </c:pt>
                <c:pt idx="112">
                  <c:v>6.4309216405789601E-4</c:v>
                </c:pt>
                <c:pt idx="113">
                  <c:v>6.4867694823974665E-4</c:v>
                </c:pt>
                <c:pt idx="114">
                  <c:v>6.5051877682021871E-4</c:v>
                </c:pt>
                <c:pt idx="115">
                  <c:v>6.5235078479125629E-4</c:v>
                </c:pt>
                <c:pt idx="116">
                  <c:v>6.5417300950349573E-4</c:v>
                </c:pt>
                <c:pt idx="117">
                  <c:v>6.5598548822101753E-4</c:v>
                </c:pt>
                <c:pt idx="118">
                  <c:v>6.6136481972822335E-4</c:v>
                </c:pt>
                <c:pt idx="119">
                  <c:v>6.6313868534440229E-4</c:v>
                </c:pt>
                <c:pt idx="120">
                  <c:v>6.6490298995631634E-4</c:v>
                </c:pt>
                <c:pt idx="121">
                  <c:v>6.6665777029027479E-4</c:v>
                </c:pt>
                <c:pt idx="122">
                  <c:v>6.6840306298022502E-4</c:v>
                </c:pt>
                <c:pt idx="123">
                  <c:v>6.735823801258101E-4</c:v>
                </c:pt>
                <c:pt idx="124">
                  <c:v>6.7529008670845947E-4</c:v>
                </c:pt>
                <c:pt idx="125">
                  <c:v>6.7698848740830935E-4</c:v>
                </c:pt>
                <c:pt idx="126">
                  <c:v>6.7867761829168178E-4</c:v>
                </c:pt>
                <c:pt idx="127">
                  <c:v>6.8035751532831608E-4</c:v>
                </c:pt>
                <c:pt idx="128">
                  <c:v>6.8534216159623176E-4</c:v>
                </c:pt>
                <c:pt idx="129">
                  <c:v>6.8698548099485742E-4</c:v>
                </c:pt>
                <c:pt idx="130">
                  <c:v>6.8861974493023698E-4</c:v>
                </c:pt>
                <c:pt idx="131">
                  <c:v>6.9024498878305913E-4</c:v>
                </c:pt>
                <c:pt idx="132">
                  <c:v>6.918612478344551E-4</c:v>
                </c:pt>
                <c:pt idx="133">
                  <c:v>6.9665646749104634E-4</c:v>
                </c:pt>
                <c:pt idx="134">
                  <c:v>6.9823713814543172E-4</c:v>
                </c:pt>
                <c:pt idx="135">
                  <c:v>6.998089988994805E-4</c:v>
                </c:pt>
                <c:pt idx="136">
                  <c:v>7.013720844305149E-4</c:v>
                </c:pt>
                <c:pt idx="137">
                  <c:v>7.0292642931431076E-4</c:v>
                </c:pt>
                <c:pt idx="138">
                  <c:v>7.0753736431243693E-4</c:v>
                </c:pt>
                <c:pt idx="139">
                  <c:v>7.0905709032691373E-4</c:v>
                </c:pt>
                <c:pt idx="140">
                  <c:v>7.1056824704283743E-4</c:v>
                </c:pt>
                <c:pt idx="141">
                  <c:v>7.1207086842270623E-4</c:v>
                </c:pt>
                <c:pt idx="142">
                  <c:v>7.1356498832627203E-4</c:v>
                </c:pt>
                <c:pt idx="143">
                  <c:v>7.1799667623306752E-4</c:v>
                </c:pt>
                <c:pt idx="144">
                  <c:v>7.1945712677012658E-4</c:v>
                </c:pt>
                <c:pt idx="145">
                  <c:v>7.2090924358473999E-4</c:v>
                </c:pt>
                <c:pt idx="146">
                  <c:v>7.2235305991812614E-4</c:v>
                </c:pt>
                <c:pt idx="147">
                  <c:v>7.2378860890818034E-4</c:v>
                </c:pt>
                <c:pt idx="148">
                  <c:v>7.2804598164671408E-4</c:v>
                </c:pt>
                <c:pt idx="149">
                  <c:v>7.2944879057477876E-4</c:v>
                </c:pt>
                <c:pt idx="150">
                  <c:v>7.3084349629812272E-4</c:v>
                </c:pt>
                <c:pt idx="151">
                  <c:v>7.3223013133422101E-4</c:v>
                </c:pt>
                <c:pt idx="152">
                  <c:v>7.3360872809715067E-4</c:v>
                </c:pt>
                <c:pt idx="153">
                  <c:v>7.3769661133731229E-4</c:v>
                </c:pt>
                <c:pt idx="154">
                  <c:v>7.3904337708140548E-4</c:v>
                </c:pt>
                <c:pt idx="155">
                  <c:v>7.4038226507286919E-4</c:v>
                </c:pt>
                <c:pt idx="156">
                  <c:v>7.4171330710616967E-4</c:v>
                </c:pt>
                <c:pt idx="157">
                  <c:v>7.430365348727021E-4</c:v>
                </c:pt>
                <c:pt idx="158">
                  <c:v>7.4695964794117614E-4</c:v>
                </c:pt>
                <c:pt idx="159">
                  <c:v>7.4825193349589746E-4</c:v>
                </c:pt>
                <c:pt idx="160">
                  <c:v>7.495365616975823E-4</c:v>
                </c:pt>
                <c:pt idx="161">
                  <c:v>7.5081356362097858E-4</c:v>
                </c:pt>
                <c:pt idx="162">
                  <c:v>7.5208297023841148E-4</c:v>
                </c:pt>
                <c:pt idx="163">
                  <c:v>7.5584592644428229E-4</c:v>
                </c:pt>
                <c:pt idx="164">
                  <c:v>7.5708525951677895E-4</c:v>
                </c:pt>
                <c:pt idx="165">
                  <c:v>7.5831715061278938E-4</c:v>
                </c:pt>
                <c:pt idx="166">
                  <c:v>7.5954163009268568E-4</c:v>
                </c:pt>
                <c:pt idx="167">
                  <c:v>7.6075872821532349E-4</c:v>
                </c:pt>
                <c:pt idx="168">
                  <c:v>7.6436603550859362E-4</c:v>
                </c:pt>
                <c:pt idx="169">
                  <c:v>7.6555390876563618E-4</c:v>
                </c:pt>
                <c:pt idx="170">
                  <c:v>7.6673455044222569E-4</c:v>
                </c:pt>
                <c:pt idx="171">
                  <c:v>7.6790799019134284E-4</c:v>
                </c:pt>
                <c:pt idx="172">
                  <c:v>7.6907425756555907E-4</c:v>
                </c:pt>
                <c:pt idx="173">
                  <c:v>7.7253031946209242E-4</c:v>
                </c:pt>
                <c:pt idx="174">
                  <c:v>7.7366819086042808E-4</c:v>
                </c:pt>
                <c:pt idx="175">
                  <c:v>7.7479903614679558E-4</c:v>
                </c:pt>
                <c:pt idx="176">
                  <c:v>7.7592288427507045E-4</c:v>
                </c:pt>
                <c:pt idx="177">
                  <c:v>7.7703976409999518E-4</c:v>
                </c:pt>
                <c:pt idx="178">
                  <c:v>7.8034888081920527E-4</c:v>
                </c:pt>
                <c:pt idx="179">
                  <c:v>7.8143817400234646E-4</c:v>
                </c:pt>
                <c:pt idx="180">
                  <c:v>7.8252064167572935E-4</c:v>
                </c:pt>
                <c:pt idx="181">
                  <c:v>7.8359631210345247E-4</c:v>
                </c:pt>
                <c:pt idx="182">
                  <c:v>7.8466521345188403E-4</c:v>
                </c:pt>
                <c:pt idx="183">
                  <c:v>7.8783158322361319E-4</c:v>
                </c:pt>
                <c:pt idx="184">
                  <c:v>7.8887368797137729E-4</c:v>
                </c:pt>
                <c:pt idx="185">
                  <c:v>7.8990916301316806E-4</c:v>
                </c:pt>
                <c:pt idx="186">
                  <c:v>7.9093803593344907E-4</c:v>
                </c:pt>
                <c:pt idx="187">
                  <c:v>7.9196033422045944E-4</c:v>
                </c:pt>
                <c:pt idx="188">
                  <c:v>7.9498805472558176E-4</c:v>
                </c:pt>
                <c:pt idx="189">
                  <c:v>7.9598432744523143E-4</c:v>
                </c:pt>
                <c:pt idx="190">
                  <c:v>7.9697416153727324E-4</c:v>
                </c:pt>
                <c:pt idx="191">
                  <c:v>7.9795758391731323E-4</c:v>
                </c:pt>
                <c:pt idx="192">
                  <c:v>7.9893462140632012E-4</c:v>
                </c:pt>
                <c:pt idx="193">
                  <c:v>8.0182769132207355E-4</c:v>
                </c:pt>
                <c:pt idx="194">
                  <c:v>8.0277945557193195E-4</c:v>
                </c:pt>
                <c:pt idx="195">
                  <c:v>8.0372496762412223E-4</c:v>
                </c:pt>
                <c:pt idx="196">
                  <c:v>8.0466425373666598E-4</c:v>
                </c:pt>
                <c:pt idx="197">
                  <c:v>8.0559734007458472E-4</c:v>
                </c:pt>
                <c:pt idx="198">
                  <c:v>8.0835966070085701E-4</c:v>
                </c:pt>
                <c:pt idx="199">
                  <c:v>8.0926820773889773E-4</c:v>
                </c:pt>
                <c:pt idx="200">
                  <c:v>8.1017068444082469E-4</c:v>
                </c:pt>
                <c:pt idx="201">
                  <c:v>8.1106711641870536E-4</c:v>
                </c:pt>
                <c:pt idx="202">
                  <c:v>8.1195752919329463E-4</c:v>
                </c:pt>
                <c:pt idx="203">
                  <c:v>8.1459290614029501E-4</c:v>
                </c:pt>
                <c:pt idx="204">
                  <c:v>8.1545949549155332E-4</c:v>
                </c:pt>
                <c:pt idx="205">
                  <c:v>8.1632019188215008E-4</c:v>
                </c:pt>
                <c:pt idx="206">
                  <c:v>8.1717502029009931E-4</c:v>
                </c:pt>
                <c:pt idx="207">
                  <c:v>8.180240056038185E-4</c:v>
                </c:pt>
                <c:pt idx="208">
                  <c:v>8.2218215061300056E-4</c:v>
                </c:pt>
                <c:pt idx="209">
                  <c:v>8.2299659503189495E-4</c:v>
                </c:pt>
                <c:pt idx="210">
                  <c:v>8.2380536808758509E-4</c:v>
                </c:pt>
                <c:pt idx="211">
                  <c:v>8.2698422898081544E-4</c:v>
                </c:pt>
                <c:pt idx="212">
                  <c:v>8.2776500618557717E-4</c:v>
                </c:pt>
                <c:pt idx="213">
                  <c:v>8.2854025580513923E-4</c:v>
                </c:pt>
                <c:pt idx="214">
                  <c:v>8.2931000149965249E-4</c:v>
                </c:pt>
                <c:pt idx="215">
                  <c:v>8.3158645034798768E-4</c:v>
                </c:pt>
                <c:pt idx="216">
                  <c:v>8.3233441523033742E-4</c:v>
                </c:pt>
                <c:pt idx="217">
                  <c:v>8.3307699320547357E-4</c:v>
                </c:pt>
                <c:pt idx="218">
                  <c:v>8.3381420742213166E-4</c:v>
                </c:pt>
                <c:pt idx="219">
                  <c:v>8.3454608094468631E-4</c:v>
                </c:pt>
                <c:pt idx="220">
                  <c:v>8.3670988673133142E-4</c:v>
                </c:pt>
                <c:pt idx="221">
                  <c:v>8.3742062644277522E-4</c:v>
                </c:pt>
                <c:pt idx="222">
                  <c:v>8.3812613952534388E-4</c:v>
                </c:pt>
                <c:pt idx="223">
                  <c:v>8.3882644854250271E-4</c:v>
                </c:pt>
                <c:pt idx="224">
                  <c:v>8.3952157597510656E-4</c:v>
                </c:pt>
                <c:pt idx="225">
                  <c:v>8.4157609234022446E-4</c:v>
                </c:pt>
                <c:pt idx="226">
                  <c:v>8.4225071659968064E-4</c:v>
                </c:pt>
                <c:pt idx="227">
                  <c:v>8.4292027044842585E-4</c:v>
                </c:pt>
                <c:pt idx="228">
                  <c:v>8.4358477587688496E-4</c:v>
                </c:pt>
                <c:pt idx="229">
                  <c:v>8.4424425479461397E-4</c:v>
                </c:pt>
                <c:pt idx="230">
                  <c:v>8.4619275037116815E-4</c:v>
                </c:pt>
                <c:pt idx="231">
                  <c:v>8.4683234073285247E-4</c:v>
                </c:pt>
                <c:pt idx="232">
                  <c:v>8.4746701292723911E-4</c:v>
                </c:pt>
                <c:pt idx="233">
                  <c:v>8.4809678838387522E-4</c:v>
                </c:pt>
                <c:pt idx="234">
                  <c:v>8.4872168845317032E-4</c:v>
                </c:pt>
                <c:pt idx="235">
                  <c:v>8.505673486592229E-4</c:v>
                </c:pt>
                <c:pt idx="236">
                  <c:v>8.5117295910912044E-4</c:v>
                </c:pt>
                <c:pt idx="237">
                  <c:v>8.5177379974527327E-4</c:v>
                </c:pt>
                <c:pt idx="238">
                  <c:v>8.5236989144842458E-4</c:v>
                </c:pt>
                <c:pt idx="239">
                  <c:v>8.5296125502189754E-4</c:v>
                </c:pt>
                <c:pt idx="240">
                  <c:v>8.5470718384127598E-4</c:v>
                </c:pt>
                <c:pt idx="241">
                  <c:v>8.5527984138936565E-4</c:v>
                </c:pt>
                <c:pt idx="242">
                  <c:v>8.5584787367159239E-4</c:v>
                </c:pt>
                <c:pt idx="243">
                  <c:v>8.5641130103185803E-4</c:v>
                </c:pt>
                <c:pt idx="244">
                  <c:v>8.5697014373834141E-4</c:v>
                </c:pt>
                <c:pt idx="245">
                  <c:v>8.5861936548610267E-4</c:v>
                </c:pt>
                <c:pt idx="246">
                  <c:v>8.5916007075321718E-4</c:v>
                </c:pt>
                <c:pt idx="247">
                  <c:v>8.5969629158002278E-4</c:v>
                </c:pt>
                <c:pt idx="248">
                  <c:v>8.6022804778540876E-4</c:v>
                </c:pt>
                <c:pt idx="249">
                  <c:v>8.6075535911422051E-4</c:v>
                </c:pt>
                <c:pt idx="250">
                  <c:v>8.6231082018398098E-4</c:v>
                </c:pt>
                <c:pt idx="251">
                  <c:v>8.6282054798237186E-4</c:v>
                </c:pt>
                <c:pt idx="252">
                  <c:v>8.6332592852605874E-4</c:v>
                </c:pt>
                <c:pt idx="253">
                  <c:v>8.6382698112060234E-4</c:v>
                </c:pt>
                <c:pt idx="254">
                  <c:v>8.6432372499917415E-4</c:v>
                </c:pt>
                <c:pt idx="255">
                  <c:v>8.6578829558989039E-4</c:v>
                </c:pt>
                <c:pt idx="256">
                  <c:v>8.6626799549674514E-4</c:v>
                </c:pt>
                <c:pt idx="257">
                  <c:v>8.6674348177586866E-4</c:v>
                </c:pt>
                <c:pt idx="258">
                  <c:v>8.6721477323101789E-4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05920"/>
        <c:axId val="632315904"/>
      </c:scatterChart>
      <c:valAx>
        <c:axId val="6323059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2315904"/>
        <c:crosses val="autoZero"/>
        <c:crossBetween val="midCat"/>
      </c:valAx>
      <c:valAx>
        <c:axId val="63231590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32305920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94949498"/>
          <c:y val="0.40300833333333336"/>
          <c:w val="0.12418611111111111"/>
          <c:h val="0.3189624999999999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 Interp Exact-Fit</a:t>
            </a:r>
          </a:p>
        </c:rich>
      </c:tx>
      <c:layout>
        <c:manualLayout>
          <c:xMode val="edge"/>
          <c:yMode val="edge"/>
          <c:x val="0.39436313131313133"/>
          <c:y val="5.99722222222222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0727651515151521E-2"/>
          <c:y val="2.1528333333333333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42797</c:v>
                </c:pt>
              </c:numCache>
            </c:numRef>
          </c:xVal>
          <c:yVal>
            <c:numRef>
              <c:f>'Delta 6M '!$M$3</c:f>
              <c:numCache>
                <c:formatCode>0.0000%</c:formatCode>
                <c:ptCount val="1"/>
                <c:pt idx="0">
                  <c:v>1.1411509697183534E-3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42828</c:v>
                </c:pt>
                <c:pt idx="1">
                  <c:v>42858</c:v>
                </c:pt>
                <c:pt idx="2">
                  <c:v>42891</c:v>
                </c:pt>
                <c:pt idx="3">
                  <c:v>42919</c:v>
                </c:pt>
                <c:pt idx="4">
                  <c:v>42950</c:v>
                </c:pt>
                <c:pt idx="5">
                  <c:v>42982</c:v>
                </c:pt>
                <c:pt idx="6">
                  <c:v>43011</c:v>
                </c:pt>
                <c:pt idx="7">
                  <c:v>43042</c:v>
                </c:pt>
                <c:pt idx="8">
                  <c:v>43073</c:v>
                </c:pt>
                <c:pt idx="9">
                  <c:v>43103</c:v>
                </c:pt>
                <c:pt idx="10">
                  <c:v>43136</c:v>
                </c:pt>
                <c:pt idx="11">
                  <c:v>43164</c:v>
                </c:pt>
              </c:numCache>
            </c:numRef>
          </c:xVal>
          <c:yVal>
            <c:numRef>
              <c:f>'Delta 6M '!$M$4:$M$21</c:f>
              <c:numCache>
                <c:formatCode>0.0000%</c:formatCode>
                <c:ptCount val="18"/>
                <c:pt idx="0">
                  <c:v>1.2293245289185682E-3</c:v>
                </c:pt>
                <c:pt idx="1">
                  <c:v>1.3043757740595651E-3</c:v>
                </c:pt>
                <c:pt idx="2">
                  <c:v>1.4312877940208823E-3</c:v>
                </c:pt>
                <c:pt idx="3">
                  <c:v>1.5268960813059223E-3</c:v>
                </c:pt>
                <c:pt idx="4">
                  <c:v>1.6068875765516122E-3</c:v>
                </c:pt>
                <c:pt idx="5">
                  <c:v>1.6697520957500616E-3</c:v>
                </c:pt>
                <c:pt idx="6">
                  <c:v>1.7170657700349146E-3</c:v>
                </c:pt>
                <c:pt idx="7">
                  <c:v>1.7662205047916765E-3</c:v>
                </c:pt>
                <c:pt idx="8">
                  <c:v>1.8015588338617134E-3</c:v>
                </c:pt>
                <c:pt idx="9">
                  <c:v>1.8226989903191708E-3</c:v>
                </c:pt>
                <c:pt idx="10">
                  <c:v>1.856554433008881E-3</c:v>
                </c:pt>
                <c:pt idx="11">
                  <c:v>1.8821855794508798E-3</c:v>
                </c:pt>
                <c:pt idx="12">
                  <c:v>1.9244195997493386E-3</c:v>
                </c:pt>
                <c:pt idx="13">
                  <c:v>1.9749434012796209E-3</c:v>
                </c:pt>
                <c:pt idx="14">
                  <c:v>2.0205118036778621E-3</c:v>
                </c:pt>
                <c:pt idx="15">
                  <c:v>2.0739157890641083E-3</c:v>
                </c:pt>
                <c:pt idx="16">
                  <c:v>2.0978543958583284E-3</c:v>
                </c:pt>
                <c:pt idx="17">
                  <c:v>2.1142072462565502E-3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'!$V$3:$V$262</c:f>
              <c:numCache>
                <c:formatCode>ddd\,\ dd\-mmm\-yyyy</c:formatCode>
                <c:ptCount val="260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  <c:pt idx="24">
                  <c:v>42831</c:v>
                </c:pt>
                <c:pt idx="25">
                  <c:v>42832</c:v>
                </c:pt>
                <c:pt idx="26">
                  <c:v>42835</c:v>
                </c:pt>
                <c:pt idx="27">
                  <c:v>42836</c:v>
                </c:pt>
                <c:pt idx="28">
                  <c:v>42837</c:v>
                </c:pt>
                <c:pt idx="29">
                  <c:v>42838</c:v>
                </c:pt>
                <c:pt idx="30">
                  <c:v>42843</c:v>
                </c:pt>
                <c:pt idx="31">
                  <c:v>42844</c:v>
                </c:pt>
                <c:pt idx="32">
                  <c:v>42845</c:v>
                </c:pt>
                <c:pt idx="33">
                  <c:v>42846</c:v>
                </c:pt>
                <c:pt idx="34">
                  <c:v>42849</c:v>
                </c:pt>
                <c:pt idx="35">
                  <c:v>42850</c:v>
                </c:pt>
                <c:pt idx="36">
                  <c:v>42851</c:v>
                </c:pt>
                <c:pt idx="37">
                  <c:v>42852</c:v>
                </c:pt>
                <c:pt idx="38">
                  <c:v>42853</c:v>
                </c:pt>
                <c:pt idx="39">
                  <c:v>42857</c:v>
                </c:pt>
                <c:pt idx="40">
                  <c:v>42858</c:v>
                </c:pt>
                <c:pt idx="41">
                  <c:v>42859</c:v>
                </c:pt>
                <c:pt idx="42">
                  <c:v>42860</c:v>
                </c:pt>
                <c:pt idx="43">
                  <c:v>42863</c:v>
                </c:pt>
                <c:pt idx="44">
                  <c:v>42864</c:v>
                </c:pt>
                <c:pt idx="45">
                  <c:v>42865</c:v>
                </c:pt>
                <c:pt idx="46">
                  <c:v>42866</c:v>
                </c:pt>
                <c:pt idx="47">
                  <c:v>42867</c:v>
                </c:pt>
                <c:pt idx="48">
                  <c:v>42870</c:v>
                </c:pt>
                <c:pt idx="49">
                  <c:v>42871</c:v>
                </c:pt>
                <c:pt idx="50">
                  <c:v>42872</c:v>
                </c:pt>
                <c:pt idx="51">
                  <c:v>42873</c:v>
                </c:pt>
                <c:pt idx="52">
                  <c:v>42874</c:v>
                </c:pt>
                <c:pt idx="53">
                  <c:v>42877</c:v>
                </c:pt>
                <c:pt idx="54">
                  <c:v>42878</c:v>
                </c:pt>
                <c:pt idx="55">
                  <c:v>42879</c:v>
                </c:pt>
                <c:pt idx="56">
                  <c:v>42880</c:v>
                </c:pt>
                <c:pt idx="57">
                  <c:v>42881</c:v>
                </c:pt>
                <c:pt idx="58">
                  <c:v>42884</c:v>
                </c:pt>
                <c:pt idx="59">
                  <c:v>42885</c:v>
                </c:pt>
                <c:pt idx="60">
                  <c:v>42886</c:v>
                </c:pt>
                <c:pt idx="61">
                  <c:v>42887</c:v>
                </c:pt>
                <c:pt idx="62">
                  <c:v>42888</c:v>
                </c:pt>
                <c:pt idx="63">
                  <c:v>42891</c:v>
                </c:pt>
                <c:pt idx="64">
                  <c:v>42892</c:v>
                </c:pt>
                <c:pt idx="65">
                  <c:v>42893</c:v>
                </c:pt>
                <c:pt idx="66">
                  <c:v>42894</c:v>
                </c:pt>
                <c:pt idx="67">
                  <c:v>42895</c:v>
                </c:pt>
                <c:pt idx="68">
                  <c:v>42898</c:v>
                </c:pt>
                <c:pt idx="69">
                  <c:v>42899</c:v>
                </c:pt>
                <c:pt idx="70">
                  <c:v>42900</c:v>
                </c:pt>
                <c:pt idx="71">
                  <c:v>42901</c:v>
                </c:pt>
                <c:pt idx="72">
                  <c:v>42902</c:v>
                </c:pt>
                <c:pt idx="73">
                  <c:v>42905</c:v>
                </c:pt>
                <c:pt idx="74">
                  <c:v>42906</c:v>
                </c:pt>
                <c:pt idx="75">
                  <c:v>42907</c:v>
                </c:pt>
                <c:pt idx="76">
                  <c:v>42908</c:v>
                </c:pt>
                <c:pt idx="77">
                  <c:v>42909</c:v>
                </c:pt>
                <c:pt idx="78">
                  <c:v>42912</c:v>
                </c:pt>
                <c:pt idx="79">
                  <c:v>42913</c:v>
                </c:pt>
                <c:pt idx="80">
                  <c:v>42914</c:v>
                </c:pt>
                <c:pt idx="81">
                  <c:v>42915</c:v>
                </c:pt>
                <c:pt idx="82">
                  <c:v>42916</c:v>
                </c:pt>
                <c:pt idx="83">
                  <c:v>42919</c:v>
                </c:pt>
                <c:pt idx="84">
                  <c:v>42920</c:v>
                </c:pt>
                <c:pt idx="85">
                  <c:v>42921</c:v>
                </c:pt>
                <c:pt idx="86">
                  <c:v>42922</c:v>
                </c:pt>
                <c:pt idx="87">
                  <c:v>42923</c:v>
                </c:pt>
                <c:pt idx="88">
                  <c:v>42926</c:v>
                </c:pt>
                <c:pt idx="89">
                  <c:v>42927</c:v>
                </c:pt>
                <c:pt idx="90">
                  <c:v>42928</c:v>
                </c:pt>
                <c:pt idx="91">
                  <c:v>42929</c:v>
                </c:pt>
                <c:pt idx="92">
                  <c:v>42930</c:v>
                </c:pt>
                <c:pt idx="93">
                  <c:v>42933</c:v>
                </c:pt>
                <c:pt idx="94">
                  <c:v>42934</c:v>
                </c:pt>
                <c:pt idx="95">
                  <c:v>42935</c:v>
                </c:pt>
                <c:pt idx="96">
                  <c:v>42936</c:v>
                </c:pt>
                <c:pt idx="97">
                  <c:v>42937</c:v>
                </c:pt>
                <c:pt idx="98">
                  <c:v>42940</c:v>
                </c:pt>
                <c:pt idx="99">
                  <c:v>42941</c:v>
                </c:pt>
                <c:pt idx="100">
                  <c:v>42942</c:v>
                </c:pt>
                <c:pt idx="101">
                  <c:v>42943</c:v>
                </c:pt>
                <c:pt idx="102">
                  <c:v>42944</c:v>
                </c:pt>
                <c:pt idx="103">
                  <c:v>42947</c:v>
                </c:pt>
                <c:pt idx="104">
                  <c:v>42948</c:v>
                </c:pt>
                <c:pt idx="105">
                  <c:v>42949</c:v>
                </c:pt>
                <c:pt idx="106">
                  <c:v>42950</c:v>
                </c:pt>
                <c:pt idx="107">
                  <c:v>42951</c:v>
                </c:pt>
                <c:pt idx="108">
                  <c:v>42954</c:v>
                </c:pt>
                <c:pt idx="109">
                  <c:v>42955</c:v>
                </c:pt>
                <c:pt idx="110">
                  <c:v>42956</c:v>
                </c:pt>
                <c:pt idx="111">
                  <c:v>42957</c:v>
                </c:pt>
                <c:pt idx="112">
                  <c:v>42958</c:v>
                </c:pt>
                <c:pt idx="113">
                  <c:v>42961</c:v>
                </c:pt>
                <c:pt idx="114">
                  <c:v>42962</c:v>
                </c:pt>
                <c:pt idx="115">
                  <c:v>42963</c:v>
                </c:pt>
                <c:pt idx="116">
                  <c:v>42964</c:v>
                </c:pt>
                <c:pt idx="117">
                  <c:v>42965</c:v>
                </c:pt>
                <c:pt idx="118">
                  <c:v>42968</c:v>
                </c:pt>
                <c:pt idx="119">
                  <c:v>42969</c:v>
                </c:pt>
                <c:pt idx="120">
                  <c:v>42970</c:v>
                </c:pt>
                <c:pt idx="121">
                  <c:v>42971</c:v>
                </c:pt>
                <c:pt idx="122">
                  <c:v>42972</c:v>
                </c:pt>
                <c:pt idx="123">
                  <c:v>42975</c:v>
                </c:pt>
                <c:pt idx="124">
                  <c:v>42976</c:v>
                </c:pt>
                <c:pt idx="125">
                  <c:v>42977</c:v>
                </c:pt>
                <c:pt idx="126">
                  <c:v>42978</c:v>
                </c:pt>
                <c:pt idx="127">
                  <c:v>42979</c:v>
                </c:pt>
                <c:pt idx="128">
                  <c:v>42982</c:v>
                </c:pt>
                <c:pt idx="129">
                  <c:v>42983</c:v>
                </c:pt>
                <c:pt idx="130">
                  <c:v>42984</c:v>
                </c:pt>
                <c:pt idx="131">
                  <c:v>42985</c:v>
                </c:pt>
                <c:pt idx="132">
                  <c:v>42986</c:v>
                </c:pt>
                <c:pt idx="133">
                  <c:v>42989</c:v>
                </c:pt>
                <c:pt idx="134">
                  <c:v>42990</c:v>
                </c:pt>
                <c:pt idx="135">
                  <c:v>42991</c:v>
                </c:pt>
                <c:pt idx="136">
                  <c:v>42992</c:v>
                </c:pt>
                <c:pt idx="137">
                  <c:v>42993</c:v>
                </c:pt>
                <c:pt idx="138">
                  <c:v>42996</c:v>
                </c:pt>
                <c:pt idx="139">
                  <c:v>42997</c:v>
                </c:pt>
                <c:pt idx="140">
                  <c:v>42998</c:v>
                </c:pt>
                <c:pt idx="141">
                  <c:v>42999</c:v>
                </c:pt>
                <c:pt idx="142">
                  <c:v>43000</c:v>
                </c:pt>
                <c:pt idx="143">
                  <c:v>43003</c:v>
                </c:pt>
                <c:pt idx="144">
                  <c:v>43004</c:v>
                </c:pt>
                <c:pt idx="145">
                  <c:v>43005</c:v>
                </c:pt>
                <c:pt idx="146">
                  <c:v>43006</c:v>
                </c:pt>
                <c:pt idx="147">
                  <c:v>43007</c:v>
                </c:pt>
                <c:pt idx="148">
                  <c:v>43010</c:v>
                </c:pt>
                <c:pt idx="149">
                  <c:v>43011</c:v>
                </c:pt>
                <c:pt idx="150">
                  <c:v>43012</c:v>
                </c:pt>
                <c:pt idx="151">
                  <c:v>43013</c:v>
                </c:pt>
                <c:pt idx="152">
                  <c:v>43014</c:v>
                </c:pt>
                <c:pt idx="153">
                  <c:v>43017</c:v>
                </c:pt>
                <c:pt idx="154">
                  <c:v>43018</c:v>
                </c:pt>
                <c:pt idx="155">
                  <c:v>43019</c:v>
                </c:pt>
                <c:pt idx="156">
                  <c:v>43020</c:v>
                </c:pt>
                <c:pt idx="157">
                  <c:v>43021</c:v>
                </c:pt>
                <c:pt idx="158">
                  <c:v>43024</c:v>
                </c:pt>
                <c:pt idx="159">
                  <c:v>43025</c:v>
                </c:pt>
                <c:pt idx="160">
                  <c:v>43026</c:v>
                </c:pt>
                <c:pt idx="161">
                  <c:v>43027</c:v>
                </c:pt>
                <c:pt idx="162">
                  <c:v>43028</c:v>
                </c:pt>
                <c:pt idx="163">
                  <c:v>43031</c:v>
                </c:pt>
                <c:pt idx="164">
                  <c:v>43032</c:v>
                </c:pt>
                <c:pt idx="165">
                  <c:v>43033</c:v>
                </c:pt>
                <c:pt idx="166">
                  <c:v>43034</c:v>
                </c:pt>
                <c:pt idx="167">
                  <c:v>43035</c:v>
                </c:pt>
                <c:pt idx="168">
                  <c:v>43038</c:v>
                </c:pt>
                <c:pt idx="169">
                  <c:v>43039</c:v>
                </c:pt>
                <c:pt idx="170">
                  <c:v>43040</c:v>
                </c:pt>
                <c:pt idx="171">
                  <c:v>43041</c:v>
                </c:pt>
                <c:pt idx="172">
                  <c:v>43042</c:v>
                </c:pt>
                <c:pt idx="173">
                  <c:v>43045</c:v>
                </c:pt>
                <c:pt idx="174">
                  <c:v>43046</c:v>
                </c:pt>
                <c:pt idx="175">
                  <c:v>43047</c:v>
                </c:pt>
                <c:pt idx="176">
                  <c:v>43048</c:v>
                </c:pt>
                <c:pt idx="177">
                  <c:v>43049</c:v>
                </c:pt>
                <c:pt idx="178">
                  <c:v>43052</c:v>
                </c:pt>
                <c:pt idx="179">
                  <c:v>43053</c:v>
                </c:pt>
                <c:pt idx="180">
                  <c:v>43054</c:v>
                </c:pt>
                <c:pt idx="181">
                  <c:v>43055</c:v>
                </c:pt>
                <c:pt idx="182">
                  <c:v>43056</c:v>
                </c:pt>
                <c:pt idx="183">
                  <c:v>43059</c:v>
                </c:pt>
                <c:pt idx="184">
                  <c:v>43060</c:v>
                </c:pt>
                <c:pt idx="185">
                  <c:v>43061</c:v>
                </c:pt>
                <c:pt idx="186">
                  <c:v>43062</c:v>
                </c:pt>
                <c:pt idx="187">
                  <c:v>43063</c:v>
                </c:pt>
                <c:pt idx="188">
                  <c:v>43066</c:v>
                </c:pt>
                <c:pt idx="189">
                  <c:v>43067</c:v>
                </c:pt>
                <c:pt idx="190">
                  <c:v>43068</c:v>
                </c:pt>
                <c:pt idx="191">
                  <c:v>43069</c:v>
                </c:pt>
                <c:pt idx="192">
                  <c:v>43070</c:v>
                </c:pt>
                <c:pt idx="193">
                  <c:v>43073</c:v>
                </c:pt>
                <c:pt idx="194">
                  <c:v>43074</c:v>
                </c:pt>
                <c:pt idx="195">
                  <c:v>43075</c:v>
                </c:pt>
                <c:pt idx="196">
                  <c:v>43076</c:v>
                </c:pt>
                <c:pt idx="197">
                  <c:v>43077</c:v>
                </c:pt>
                <c:pt idx="198">
                  <c:v>43080</c:v>
                </c:pt>
                <c:pt idx="199">
                  <c:v>43081</c:v>
                </c:pt>
                <c:pt idx="200">
                  <c:v>43082</c:v>
                </c:pt>
                <c:pt idx="201">
                  <c:v>43083</c:v>
                </c:pt>
                <c:pt idx="202">
                  <c:v>43084</c:v>
                </c:pt>
                <c:pt idx="203">
                  <c:v>43087</c:v>
                </c:pt>
                <c:pt idx="204">
                  <c:v>43088</c:v>
                </c:pt>
                <c:pt idx="205">
                  <c:v>43089</c:v>
                </c:pt>
                <c:pt idx="206">
                  <c:v>43090</c:v>
                </c:pt>
                <c:pt idx="207">
                  <c:v>43091</c:v>
                </c:pt>
                <c:pt idx="208">
                  <c:v>43096</c:v>
                </c:pt>
                <c:pt idx="209">
                  <c:v>43097</c:v>
                </c:pt>
                <c:pt idx="210">
                  <c:v>43098</c:v>
                </c:pt>
                <c:pt idx="211">
                  <c:v>43102</c:v>
                </c:pt>
                <c:pt idx="212">
                  <c:v>43103</c:v>
                </c:pt>
                <c:pt idx="213">
                  <c:v>43104</c:v>
                </c:pt>
                <c:pt idx="214">
                  <c:v>43105</c:v>
                </c:pt>
                <c:pt idx="215">
                  <c:v>43108</c:v>
                </c:pt>
                <c:pt idx="216">
                  <c:v>43109</c:v>
                </c:pt>
                <c:pt idx="217">
                  <c:v>43110</c:v>
                </c:pt>
                <c:pt idx="218">
                  <c:v>43111</c:v>
                </c:pt>
                <c:pt idx="219">
                  <c:v>43112</c:v>
                </c:pt>
                <c:pt idx="220">
                  <c:v>43115</c:v>
                </c:pt>
                <c:pt idx="221">
                  <c:v>43116</c:v>
                </c:pt>
                <c:pt idx="222">
                  <c:v>43117</c:v>
                </c:pt>
                <c:pt idx="223">
                  <c:v>43118</c:v>
                </c:pt>
                <c:pt idx="224">
                  <c:v>43119</c:v>
                </c:pt>
                <c:pt idx="225">
                  <c:v>43122</c:v>
                </c:pt>
                <c:pt idx="226">
                  <c:v>43123</c:v>
                </c:pt>
                <c:pt idx="227">
                  <c:v>43124</c:v>
                </c:pt>
                <c:pt idx="228">
                  <c:v>43125</c:v>
                </c:pt>
                <c:pt idx="229">
                  <c:v>43126</c:v>
                </c:pt>
                <c:pt idx="230">
                  <c:v>43129</c:v>
                </c:pt>
                <c:pt idx="231">
                  <c:v>43130</c:v>
                </c:pt>
                <c:pt idx="232">
                  <c:v>43131</c:v>
                </c:pt>
                <c:pt idx="233">
                  <c:v>43132</c:v>
                </c:pt>
                <c:pt idx="234">
                  <c:v>43133</c:v>
                </c:pt>
                <c:pt idx="235">
                  <c:v>43136</c:v>
                </c:pt>
                <c:pt idx="236">
                  <c:v>43137</c:v>
                </c:pt>
                <c:pt idx="237">
                  <c:v>43138</c:v>
                </c:pt>
                <c:pt idx="238">
                  <c:v>43139</c:v>
                </c:pt>
                <c:pt idx="239">
                  <c:v>43140</c:v>
                </c:pt>
                <c:pt idx="240">
                  <c:v>43143</c:v>
                </c:pt>
                <c:pt idx="241">
                  <c:v>43144</c:v>
                </c:pt>
                <c:pt idx="242">
                  <c:v>43145</c:v>
                </c:pt>
                <c:pt idx="243">
                  <c:v>43146</c:v>
                </c:pt>
                <c:pt idx="244">
                  <c:v>43147</c:v>
                </c:pt>
                <c:pt idx="245">
                  <c:v>43150</c:v>
                </c:pt>
                <c:pt idx="246">
                  <c:v>43151</c:v>
                </c:pt>
                <c:pt idx="247">
                  <c:v>43152</c:v>
                </c:pt>
                <c:pt idx="248">
                  <c:v>43153</c:v>
                </c:pt>
                <c:pt idx="249">
                  <c:v>43154</c:v>
                </c:pt>
                <c:pt idx="250">
                  <c:v>43157</c:v>
                </c:pt>
                <c:pt idx="251">
                  <c:v>43158</c:v>
                </c:pt>
                <c:pt idx="252">
                  <c:v>43159</c:v>
                </c:pt>
                <c:pt idx="253">
                  <c:v>43160</c:v>
                </c:pt>
                <c:pt idx="254">
                  <c:v>43161</c:v>
                </c:pt>
                <c:pt idx="255">
                  <c:v>43164</c:v>
                </c:pt>
                <c:pt idx="256">
                  <c:v>43165</c:v>
                </c:pt>
                <c:pt idx="257">
                  <c:v>43166</c:v>
                </c:pt>
                <c:pt idx="258">
                  <c:v>43167</c:v>
                </c:pt>
                <c:pt idx="259">
                  <c:v>43168</c:v>
                </c:pt>
              </c:numCache>
            </c:numRef>
          </c:xVal>
          <c:yVal>
            <c:numRef>
              <c:f>'Delta 6M '!$X$3:$X$262</c:f>
              <c:numCache>
                <c:formatCode>0.0000%</c:formatCode>
                <c:ptCount val="260"/>
                <c:pt idx="0">
                  <c:v>1.1509987654302627E-3</c:v>
                </c:pt>
                <c:pt idx="1">
                  <c:v>1.1606040863981785E-3</c:v>
                </c:pt>
                <c:pt idx="2">
                  <c:v>1.1636652748079717E-3</c:v>
                </c:pt>
                <c:pt idx="3">
                  <c:v>1.1666602573750875E-3</c:v>
                </c:pt>
                <c:pt idx="4">
                  <c:v>1.1695914861677736E-3</c:v>
                </c:pt>
                <c:pt idx="5">
                  <c:v>1.172461413254277E-3</c:v>
                </c:pt>
                <c:pt idx="6">
                  <c:v>1.1807279049591648E-3</c:v>
                </c:pt>
                <c:pt idx="7">
                  <c:v>1.1833771459034109E-3</c:v>
                </c:pt>
                <c:pt idx="8">
                  <c:v>1.1859773454827108E-3</c:v>
                </c:pt>
                <c:pt idx="9">
                  <c:v>1.1885309557653119E-3</c:v>
                </c:pt>
                <c:pt idx="10">
                  <c:v>1.1910404288194617E-3</c:v>
                </c:pt>
                <c:pt idx="11">
                  <c:v>1.1983285452936748E-3</c:v>
                </c:pt>
                <c:pt idx="12">
                  <c:v>1.2006859901164918E-3</c:v>
                </c:pt>
                <c:pt idx="13">
                  <c:v>1.2030115580520936E-3</c:v>
                </c:pt>
                <c:pt idx="14">
                  <c:v>1.2053077011687278E-3</c:v>
                </c:pt>
                <c:pt idx="15">
                  <c:v>1.2075768715346417E-3</c:v>
                </c:pt>
                <c:pt idx="16">
                  <c:v>1.2142470668105342E-3</c:v>
                </c:pt>
                <c:pt idx="17">
                  <c:v>1.2164328668560398E-3</c:v>
                </c:pt>
                <c:pt idx="18">
                  <c:v>1.2186039544920615E-3</c:v>
                </c:pt>
                <c:pt idx="19">
                  <c:v>1.2207627817868467E-3</c:v>
                </c:pt>
                <c:pt idx="20">
                  <c:v>1.2229118008086426E-3</c:v>
                </c:pt>
                <c:pt idx="21">
                  <c:v>1.2293245289185682E-3</c:v>
                </c:pt>
                <c:pt idx="22">
                  <c:v>1.2314588355308803E-3</c:v>
                </c:pt>
                <c:pt idx="23">
                  <c:v>1.2335955942114397E-3</c:v>
                </c:pt>
                <c:pt idx="24">
                  <c:v>1.2357372570284937E-3</c:v>
                </c:pt>
                <c:pt idx="25">
                  <c:v>1.2378862760502897E-3</c:v>
                </c:pt>
                <c:pt idx="26">
                  <c:v>1.2444019910266022E-3</c:v>
                </c:pt>
                <c:pt idx="27">
                  <c:v>1.2466049555498388E-3</c:v>
                </c:pt>
                <c:pt idx="28">
                  <c:v>1.248827536619054E-3</c:v>
                </c:pt>
                <c:pt idx="29">
                  <c:v>1.2510721863024947E-3</c:v>
                </c:pt>
                <c:pt idx="30">
                  <c:v>1.2627122863217407E-3</c:v>
                </c:pt>
                <c:pt idx="31">
                  <c:v>1.2651408411237291E-3</c:v>
                </c:pt>
                <c:pt idx="32">
                  <c:v>1.2676086290176747E-3</c:v>
                </c:pt>
                <c:pt idx="33">
                  <c:v>1.2701181020718245E-3</c:v>
                </c:pt>
                <c:pt idx="34">
                  <c:v>1.2779211528779716E-3</c:v>
                </c:pt>
                <c:pt idx="35">
                  <c:v>1.2806218872554111E-3</c:v>
                </c:pt>
                <c:pt idx="36">
                  <c:v>1.2833765671342911E-3</c:v>
                </c:pt>
                <c:pt idx="37">
                  <c:v>1.2861876445828594E-3</c:v>
                </c:pt>
                <c:pt idx="38">
                  <c:v>1.2890575716693628E-3</c:v>
                </c:pt>
                <c:pt idx="39">
                  <c:v>1.3011748177596755E-3</c:v>
                </c:pt>
                <c:pt idx="40">
                  <c:v>1.3043757740595651E-3</c:v>
                </c:pt>
                <c:pt idx="41">
                  <c:v>1.3076493279128166E-3</c:v>
                </c:pt>
                <c:pt idx="42">
                  <c:v>1.3109931089173923E-3</c:v>
                </c:pt>
                <c:pt idx="43">
                  <c:v>1.3214124658781116E-3</c:v>
                </c:pt>
                <c:pt idx="44">
                  <c:v>1.3250038065270317E-3</c:v>
                </c:pt>
                <c:pt idx="45">
                  <c:v>1.3286486998468003E-3</c:v>
                </c:pt>
                <c:pt idx="46">
                  <c:v>1.3323438109413221E-3</c:v>
                </c:pt>
                <c:pt idx="47">
                  <c:v>1.3360858049145019E-3</c:v>
                </c:pt>
                <c:pt idx="48">
                  <c:v>1.3475597351450381E-3</c:v>
                </c:pt>
                <c:pt idx="49">
                  <c:v>1.3514559116718989E-3</c:v>
                </c:pt>
                <c:pt idx="50">
                  <c:v>1.3553822965969419E-3</c:v>
                </c:pt>
                <c:pt idx="51">
                  <c:v>1.359335555024072E-3</c:v>
                </c:pt>
                <c:pt idx="52">
                  <c:v>1.3633123520571944E-3</c:v>
                </c:pt>
                <c:pt idx="53">
                  <c:v>1.3753506258315628E-3</c:v>
                </c:pt>
                <c:pt idx="54">
                  <c:v>1.3793882283277023E-3</c:v>
                </c:pt>
                <c:pt idx="55">
                  <c:v>1.3834326949493582E-3</c:v>
                </c:pt>
                <c:pt idx="56">
                  <c:v>1.3874806908004355E-3</c:v>
                </c:pt>
                <c:pt idx="57">
                  <c:v>1.3915288809848388E-3</c:v>
                </c:pt>
                <c:pt idx="58">
                  <c:v>1.4036412685770547E-3</c:v>
                </c:pt>
                <c:pt idx="59">
                  <c:v>1.4076568871338115E-3</c:v>
                </c:pt>
                <c:pt idx="60">
                  <c:v>1.4116560255434186E-3</c:v>
                </c:pt>
                <c:pt idx="61">
                  <c:v>1.4156353489097812E-3</c:v>
                </c:pt>
                <c:pt idx="62">
                  <c:v>1.419591522336804E-3</c:v>
                </c:pt>
                <c:pt idx="63">
                  <c:v>1.4312877940208823E-3</c:v>
                </c:pt>
                <c:pt idx="64">
                  <c:v>1.4351186266812071E-3</c:v>
                </c:pt>
                <c:pt idx="65">
                  <c:v>1.4389132826313907E-3</c:v>
                </c:pt>
                <c:pt idx="66">
                  <c:v>1.4426720746850124E-3</c:v>
                </c:pt>
                <c:pt idx="67">
                  <c:v>1.4463953156556512E-3</c:v>
                </c:pt>
                <c:pt idx="68">
                  <c:v>1.4573548602054634E-3</c:v>
                </c:pt>
                <c:pt idx="69">
                  <c:v>1.4609390249799631E-3</c:v>
                </c:pt>
                <c:pt idx="70">
                  <c:v>1.4644892027393761E-3</c:v>
                </c:pt>
                <c:pt idx="71">
                  <c:v>1.4680057062972814E-3</c:v>
                </c:pt>
                <c:pt idx="72">
                  <c:v>1.4714888484672582E-3</c:v>
                </c:pt>
                <c:pt idx="73">
                  <c:v>1.48174123478541E-3</c:v>
                </c:pt>
                <c:pt idx="74">
                  <c:v>1.4850940595394651E-3</c:v>
                </c:pt>
                <c:pt idx="75">
                  <c:v>1.4884150869734875E-3</c:v>
                </c:pt>
                <c:pt idx="76">
                  <c:v>1.4917046299010568E-3</c:v>
                </c:pt>
                <c:pt idx="77">
                  <c:v>1.4949630011357518E-3</c:v>
                </c:pt>
                <c:pt idx="78">
                  <c:v>1.504554212818384E-3</c:v>
                </c:pt>
                <c:pt idx="79">
                  <c:v>1.5076910254173744E-3</c:v>
                </c:pt>
                <c:pt idx="80">
                  <c:v>1.5107982303913866E-3</c:v>
                </c:pt>
                <c:pt idx="81">
                  <c:v>1.5138761405539996E-3</c:v>
                </c:pt>
                <c:pt idx="82">
                  <c:v>1.5169250687187929E-3</c:v>
                </c:pt>
                <c:pt idx="83">
                  <c:v>1.5259010893620458E-3</c:v>
                </c:pt>
                <c:pt idx="84">
                  <c:v>1.5288372176713518E-3</c:v>
                </c:pt>
                <c:pt idx="85">
                  <c:v>1.5317459280507339E-3</c:v>
                </c:pt>
                <c:pt idx="86">
                  <c:v>1.5346275333137712E-3</c:v>
                </c:pt>
                <c:pt idx="87">
                  <c:v>1.537482346274043E-3</c:v>
                </c:pt>
                <c:pt idx="88">
                  <c:v>1.5458891594740572E-3</c:v>
                </c:pt>
                <c:pt idx="89">
                  <c:v>1.5486399313590588E-3</c:v>
                </c:pt>
                <c:pt idx="90">
                  <c:v>1.5513654750091909E-3</c:v>
                </c:pt>
                <c:pt idx="91">
                  <c:v>1.5540661032380325E-3</c:v>
                </c:pt>
                <c:pt idx="92">
                  <c:v>1.556742128859163E-3</c:v>
                </c:pt>
                <c:pt idx="93">
                  <c:v>1.5646257182120788E-3</c:v>
                </c:pt>
                <c:pt idx="94">
                  <c:v>1.5672064615381565E-3</c:v>
                </c:pt>
                <c:pt idx="95">
                  <c:v>1.5697641663244186E-3</c:v>
                </c:pt>
                <c:pt idx="96">
                  <c:v>1.5722991453844448E-3</c:v>
                </c:pt>
                <c:pt idx="97">
                  <c:v>1.5748117115318141E-3</c:v>
                </c:pt>
                <c:pt idx="98">
                  <c:v>1.5822180606337723E-3</c:v>
                </c:pt>
                <c:pt idx="99">
                  <c:v>1.5846441032663057E-3</c:v>
                </c:pt>
                <c:pt idx="100">
                  <c:v>1.5870492970540783E-3</c:v>
                </c:pt>
                <c:pt idx="101">
                  <c:v>1.5894339548106692E-3</c:v>
                </c:pt>
                <c:pt idx="102">
                  <c:v>1.5917983893496573E-3</c:v>
                </c:pt>
                <c:pt idx="103">
                  <c:v>1.5987734817967984E-3</c:v>
                </c:pt>
                <c:pt idx="104">
                  <c:v>1.6010601516011681E-3</c:v>
                </c:pt>
                <c:pt idx="105">
                  <c:v>1.6033281622558312E-3</c:v>
                </c:pt>
                <c:pt idx="106">
                  <c:v>1.6055778265743669E-3</c:v>
                </c:pt>
                <c:pt idx="107">
                  <c:v>1.6078094573703542E-3</c:v>
                </c:pt>
                <c:pt idx="108">
                  <c:v>1.6143992767588184E-3</c:v>
                </c:pt>
                <c:pt idx="109">
                  <c:v>1.6165619016004047E-3</c:v>
                </c:pt>
                <c:pt idx="110">
                  <c:v>1.6187080569873384E-3</c:v>
                </c:pt>
                <c:pt idx="111">
                  <c:v>1.620838055733199E-3</c:v>
                </c:pt>
                <c:pt idx="112">
                  <c:v>1.6229522106515656E-3</c:v>
                </c:pt>
                <c:pt idx="113">
                  <c:v>1.6292027405774936E-3</c:v>
                </c:pt>
                <c:pt idx="114">
                  <c:v>1.6312566483216763E-3</c:v>
                </c:pt>
                <c:pt idx="115">
                  <c:v>1.6332962763062611E-3</c:v>
                </c:pt>
                <c:pt idx="116">
                  <c:v>1.6353219373448267E-3</c:v>
                </c:pt>
                <c:pt idx="117">
                  <c:v>1.637333944250953E-3</c:v>
                </c:pt>
                <c:pt idx="118">
                  <c:v>1.6432911683104852E-3</c:v>
                </c:pt>
                <c:pt idx="119">
                  <c:v>1.6452516868226445E-3</c:v>
                </c:pt>
                <c:pt idx="120">
                  <c:v>1.6472001152702603E-3</c:v>
                </c:pt>
                <c:pt idx="121">
                  <c:v>1.6491367664669113E-3</c:v>
                </c:pt>
                <c:pt idx="122">
                  <c:v>1.6510619532261769E-3</c:v>
                </c:pt>
                <c:pt idx="123">
                  <c:v>1.6567718550154541E-3</c:v>
                </c:pt>
                <c:pt idx="124">
                  <c:v>1.6586543121609703E-3</c:v>
                </c:pt>
                <c:pt idx="125">
                  <c:v>1.6605268689369971E-3</c:v>
                </c:pt>
                <c:pt idx="126">
                  <c:v>1.6623898381571138E-3</c:v>
                </c:pt>
                <c:pt idx="127">
                  <c:v>1.6642435326348992E-3</c:v>
                </c:pt>
                <c:pt idx="128">
                  <c:v>1.6697520957500616E-3</c:v>
                </c:pt>
                <c:pt idx="129">
                  <c:v>1.6715717660283288E-3</c:v>
                </c:pt>
                <c:pt idx="130">
                  <c:v>1.6733834054362456E-3</c:v>
                </c:pt>
                <c:pt idx="131">
                  <c:v>1.6751870065914755E-3</c:v>
                </c:pt>
                <c:pt idx="132">
                  <c:v>1.6769825621116823E-3</c:v>
                </c:pt>
                <c:pt idx="133">
                  <c:v>1.6823208810388002E-3</c:v>
                </c:pt>
                <c:pt idx="134">
                  <c:v>1.6840841801955514E-3</c:v>
                </c:pt>
                <c:pt idx="135">
                  <c:v>1.6858393968055977E-3</c:v>
                </c:pt>
                <c:pt idx="136">
                  <c:v>1.6875865234866031E-3</c:v>
                </c:pt>
                <c:pt idx="137">
                  <c:v>1.6893255528562313E-3</c:v>
                </c:pt>
                <c:pt idx="138">
                  <c:v>1.6944939832734891E-3</c:v>
                </c:pt>
                <c:pt idx="139">
                  <c:v>1.6962005495742452E-3</c:v>
                </c:pt>
                <c:pt idx="140">
                  <c:v>1.6978989816519424E-3</c:v>
                </c:pt>
                <c:pt idx="141">
                  <c:v>1.6995892721242448E-3</c:v>
                </c:pt>
                <c:pt idx="142">
                  <c:v>1.7012714136088159E-3</c:v>
                </c:pt>
                <c:pt idx="143">
                  <c:v>1.7062688703127779E-3</c:v>
                </c:pt>
                <c:pt idx="144">
                  <c:v>1.7079183420230606E-3</c:v>
                </c:pt>
                <c:pt idx="145">
                  <c:v>1.7095596278339305E-3</c:v>
                </c:pt>
                <c:pt idx="146">
                  <c:v>1.7111927203630512E-3</c:v>
                </c:pt>
                <c:pt idx="147">
                  <c:v>1.7128176122280865E-3</c:v>
                </c:pt>
                <c:pt idx="148">
                  <c:v>1.717643010015317E-3</c:v>
                </c:pt>
                <c:pt idx="149">
                  <c:v>1.7192350254006477E-3</c:v>
                </c:pt>
                <c:pt idx="150">
                  <c:v>1.7208188032102115E-3</c:v>
                </c:pt>
                <c:pt idx="151">
                  <c:v>1.7223943360616721E-3</c:v>
                </c:pt>
                <c:pt idx="152">
                  <c:v>1.7239616165726933E-3</c:v>
                </c:pt>
                <c:pt idx="153">
                  <c:v>1.7286138702397567E-3</c:v>
                </c:pt>
                <c:pt idx="154">
                  <c:v>1.7301480675656568E-3</c:v>
                </c:pt>
                <c:pt idx="155">
                  <c:v>1.731673975639436E-3</c:v>
                </c:pt>
                <c:pt idx="156">
                  <c:v>1.733191587078758E-3</c:v>
                </c:pt>
                <c:pt idx="157">
                  <c:v>1.7347008945012862E-3</c:v>
                </c:pt>
                <c:pt idx="158">
                  <c:v>1.7391789188447469E-3</c:v>
                </c:pt>
                <c:pt idx="159">
                  <c:v>1.740654936376738E-3</c:v>
                </c:pt>
                <c:pt idx="160">
                  <c:v>1.742122612980254E-3</c:v>
                </c:pt>
                <c:pt idx="161">
                  <c:v>1.7435819412729588E-3</c:v>
                </c:pt>
                <c:pt idx="162">
                  <c:v>1.7450329138725159E-3</c:v>
                </c:pt>
                <c:pt idx="163">
                  <c:v>1.749335623688938E-3</c:v>
                </c:pt>
                <c:pt idx="164">
                  <c:v>1.7507530996925416E-3</c:v>
                </c:pt>
                <c:pt idx="165">
                  <c:v>1.752162183091316E-3</c:v>
                </c:pt>
                <c:pt idx="166">
                  <c:v>1.7535628665029249E-3</c:v>
                </c:pt>
                <c:pt idx="167">
                  <c:v>1.7549551425450321E-3</c:v>
                </c:pt>
                <c:pt idx="168">
                  <c:v>1.7590814526309802E-3</c:v>
                </c:pt>
                <c:pt idx="169">
                  <c:v>1.7604400253717176E-3</c:v>
                </c:pt>
                <c:pt idx="170">
                  <c:v>1.7617901538312718E-3</c:v>
                </c:pt>
                <c:pt idx="171">
                  <c:v>1.7631318306273063E-3</c:v>
                </c:pt>
                <c:pt idx="172">
                  <c:v>1.7644650483774852E-3</c:v>
                </c:pt>
                <c:pt idx="173">
                  <c:v>1.7684138735295238E-3</c:v>
                </c:pt>
                <c:pt idx="174">
                  <c:v>1.7697131812729164E-3</c:v>
                </c:pt>
                <c:pt idx="175">
                  <c:v>1.7710039930587717E-3</c:v>
                </c:pt>
                <c:pt idx="176">
                  <c:v>1.7722863015047533E-3</c:v>
                </c:pt>
                <c:pt idx="177">
                  <c:v>1.7735600992285253E-3</c:v>
                </c:pt>
                <c:pt idx="178">
                  <c:v>1.7773303542432187E-3</c:v>
                </c:pt>
                <c:pt idx="179">
                  <c:v>1.778570035254788E-3</c:v>
                </c:pt>
                <c:pt idx="180">
                  <c:v>1.779801168632466E-3</c:v>
                </c:pt>
                <c:pt idx="181">
                  <c:v>1.7810237469939162E-3</c:v>
                </c:pt>
                <c:pt idx="182">
                  <c:v>1.7822377629568027E-3</c:v>
                </c:pt>
                <c:pt idx="183">
                  <c:v>1.7858283626307151E-3</c:v>
                </c:pt>
                <c:pt idx="184">
                  <c:v>1.7870080551759826E-3</c:v>
                </c:pt>
                <c:pt idx="185">
                  <c:v>1.7881791484110046E-3</c:v>
                </c:pt>
                <c:pt idx="186">
                  <c:v>1.7893416349534451E-3</c:v>
                </c:pt>
                <c:pt idx="187">
                  <c:v>1.7904955074209675E-3</c:v>
                </c:pt>
                <c:pt idx="188">
                  <c:v>1.7939053665506632E-3</c:v>
                </c:pt>
                <c:pt idx="189">
                  <c:v>1.7950247088951504E-3</c:v>
                </c:pt>
                <c:pt idx="190">
                  <c:v>1.7961354002530381E-3</c:v>
                </c:pt>
                <c:pt idx="191">
                  <c:v>1.7972374332419899E-3</c:v>
                </c:pt>
                <c:pt idx="192">
                  <c:v>1.7983308004796696E-3</c:v>
                </c:pt>
                <c:pt idx="193">
                  <c:v>1.8015588338617134E-3</c:v>
                </c:pt>
                <c:pt idx="194">
                  <c:v>1.8026174919068595E-3</c:v>
                </c:pt>
                <c:pt idx="195">
                  <c:v>1.8036676131045594E-3</c:v>
                </c:pt>
                <c:pt idx="196">
                  <c:v>1.8047093558879838E-3</c:v>
                </c:pt>
                <c:pt idx="197">
                  <c:v>1.8057428786903038E-3</c:v>
                </c:pt>
                <c:pt idx="198">
                  <c:v>1.8087957115423469E-3</c:v>
                </c:pt>
                <c:pt idx="199">
                  <c:v>1.8097979387519589E-3</c:v>
                </c:pt>
                <c:pt idx="200">
                  <c:v>1.8107927381463211E-3</c:v>
                </c:pt>
                <c:pt idx="201">
                  <c:v>1.8117802681586045E-3</c:v>
                </c:pt>
                <c:pt idx="202">
                  <c:v>1.8127606872219803E-3</c:v>
                </c:pt>
                <c:pt idx="203">
                  <c:v>1.8156608630503707E-3</c:v>
                </c:pt>
                <c:pt idx="204">
                  <c:v>1.8166144226498251E-3</c:v>
                </c:pt>
                <c:pt idx="205">
                  <c:v>1.8175616634662267E-3</c:v>
                </c:pt>
                <c:pt idx="206">
                  <c:v>1.818502743932746E-3</c:v>
                </c:pt>
                <c:pt idx="207">
                  <c:v>1.8194378224825544E-3</c:v>
                </c:pt>
                <c:pt idx="208">
                  <c:v>1.8240287316419143E-3</c:v>
                </c:pt>
                <c:pt idx="209">
                  <c:v>1.8249311257880466E-3</c:v>
                </c:pt>
                <c:pt idx="210">
                  <c:v>1.8258286270496644E-3</c:v>
                </c:pt>
                <c:pt idx="211">
                  <c:v>1.8293728719144114E-3</c:v>
                </c:pt>
                <c:pt idx="212">
                  <c:v>1.8302482852510221E-3</c:v>
                </c:pt>
                <c:pt idx="213">
                  <c:v>1.8311197563021439E-3</c:v>
                </c:pt>
                <c:pt idx="214">
                  <c:v>1.8319874435009482E-3</c:v>
                </c:pt>
                <c:pt idx="215">
                  <c:v>1.8345693863151644E-3</c:v>
                </c:pt>
                <c:pt idx="216">
                  <c:v>1.8354235224364076E-3</c:v>
                </c:pt>
                <c:pt idx="217">
                  <c:v>1.836274666871188E-3</c:v>
                </c:pt>
                <c:pt idx="218">
                  <c:v>1.8371229780526765E-3</c:v>
                </c:pt>
                <c:pt idx="219">
                  <c:v>1.8379686144140439E-3</c:v>
                </c:pt>
                <c:pt idx="220">
                  <c:v>1.84049105890913E-3</c:v>
                </c:pt>
                <c:pt idx="221">
                  <c:v>1.8413275803217232E-3</c:v>
                </c:pt>
                <c:pt idx="222">
                  <c:v>1.8421622190800502E-3</c:v>
                </c:pt>
                <c:pt idx="223">
                  <c:v>1.842995133617282E-3</c:v>
                </c:pt>
                <c:pt idx="224">
                  <c:v>1.8438264823665896E-3</c:v>
                </c:pt>
                <c:pt idx="225">
                  <c:v>1.8463127182186763E-3</c:v>
                </c:pt>
                <c:pt idx="226">
                  <c:v>1.8471393881479964E-3</c:v>
                </c:pt>
                <c:pt idx="227">
                  <c:v>1.8479652844552469E-3</c:v>
                </c:pt>
                <c:pt idx="228">
                  <c:v>1.8487905655735989E-3</c:v>
                </c:pt>
                <c:pt idx="229">
                  <c:v>1.8496153899362235E-3</c:v>
                </c:pt>
                <c:pt idx="230">
                  <c:v>1.8520887068214412E-3</c:v>
                </c:pt>
                <c:pt idx="231">
                  <c:v>1.8529132884928651E-3</c:v>
                </c:pt>
                <c:pt idx="232">
                  <c:v>1.853738205574416E-3</c:v>
                </c:pt>
                <c:pt idx="233">
                  <c:v>1.8545636164992653E-3</c:v>
                </c:pt>
                <c:pt idx="234">
                  <c:v>1.8553896797005836E-3</c:v>
                </c:pt>
                <c:pt idx="235">
                  <c:v>1.857873367295063E-3</c:v>
                </c:pt>
                <c:pt idx="236">
                  <c:v>1.8587036239339674E-3</c:v>
                </c:pt>
                <c:pt idx="237">
                  <c:v>1.8595353250151958E-3</c:v>
                </c:pt>
                <c:pt idx="238">
                  <c:v>1.8603686289719189E-3</c:v>
                </c:pt>
                <c:pt idx="239">
                  <c:v>1.8612036942373079E-3</c:v>
                </c:pt>
                <c:pt idx="240">
                  <c:v>1.8637210422171797E-3</c:v>
                </c:pt>
                <c:pt idx="241">
                  <c:v>1.8645647370489416E-3</c:v>
                </c:pt>
                <c:pt idx="242">
                  <c:v>1.8654109853552241E-3</c:v>
                </c:pt>
                <c:pt idx="243">
                  <c:v>1.8662599455691981E-3</c:v>
                </c:pt>
                <c:pt idx="244">
                  <c:v>1.8671117761240347E-3</c:v>
                </c:pt>
                <c:pt idx="245">
                  <c:v>1.8696860741654292E-3</c:v>
                </c:pt>
                <c:pt idx="246">
                  <c:v>1.8705509704154254E-3</c:v>
                </c:pt>
                <c:pt idx="247">
                  <c:v>1.8714195291721391E-3</c:v>
                </c:pt>
                <c:pt idx="248">
                  <c:v>1.872291908868741E-3</c:v>
                </c:pt>
                <c:pt idx="249">
                  <c:v>1.8731682679384019E-3</c:v>
                </c:pt>
                <c:pt idx="250">
                  <c:v>1.8758228057174499E-3</c:v>
                </c:pt>
                <c:pt idx="251">
                  <c:v>1.8767166666110574E-3</c:v>
                </c:pt>
                <c:pt idx="252">
                  <c:v>1.877615299043579E-3</c:v>
                </c:pt>
                <c:pt idx="253">
                  <c:v>1.8785188614481854E-3</c:v>
                </c:pt>
                <c:pt idx="254">
                  <c:v>1.8794275122580477E-3</c:v>
                </c:pt>
                <c:pt idx="255">
                  <c:v>1.8821855794508798E-3</c:v>
                </c:pt>
                <c:pt idx="256">
                  <c:v>1.8831161365678939E-3</c:v>
                </c:pt>
                <c:pt idx="257">
                  <c:v>1.8840523843825293E-3</c:v>
                </c:pt>
                <c:pt idx="258">
                  <c:v>1.8849942914544676E-3</c:v>
                </c:pt>
                <c:pt idx="259">
                  <c:v>1.8859418263433908E-3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83744"/>
        <c:axId val="632389632"/>
      </c:scatterChart>
      <c:valAx>
        <c:axId val="6323837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2389632"/>
        <c:crosses val="autoZero"/>
        <c:crossBetween val="midCat"/>
      </c:valAx>
      <c:valAx>
        <c:axId val="632389632"/>
        <c:scaling>
          <c:orientation val="minMax"/>
          <c:max val="2.5000000000000005E-3"/>
          <c:min val="0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2383744"/>
        <c:crosses val="autoZero"/>
        <c:crossBetween val="midCat"/>
        <c:majorUnit val="5.0000000000000012E-4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Abcd Best-Fit</a:t>
            </a:r>
          </a:p>
        </c:rich>
      </c:tx>
      <c:layout>
        <c:manualLayout>
          <c:xMode val="edge"/>
          <c:yMode val="edge"/>
          <c:x val="0.41611502525252519"/>
          <c:y val="4.938888888888889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0727651515151521E-2"/>
          <c:y val="2.1528333333333333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42797</c:v>
                </c:pt>
              </c:numCache>
            </c:numRef>
          </c:xVal>
          <c:yVal>
            <c:numRef>
              <c:f>'Delta 6M '!$M$3</c:f>
              <c:numCache>
                <c:formatCode>0.0000%</c:formatCode>
                <c:ptCount val="1"/>
                <c:pt idx="0">
                  <c:v>1.1411509697183534E-3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42828</c:v>
                </c:pt>
                <c:pt idx="1">
                  <c:v>42858</c:v>
                </c:pt>
                <c:pt idx="2">
                  <c:v>42891</c:v>
                </c:pt>
                <c:pt idx="3">
                  <c:v>42919</c:v>
                </c:pt>
                <c:pt idx="4">
                  <c:v>42950</c:v>
                </c:pt>
                <c:pt idx="5">
                  <c:v>42982</c:v>
                </c:pt>
                <c:pt idx="6">
                  <c:v>43011</c:v>
                </c:pt>
                <c:pt idx="7">
                  <c:v>43042</c:v>
                </c:pt>
                <c:pt idx="8">
                  <c:v>43073</c:v>
                </c:pt>
                <c:pt idx="9">
                  <c:v>43103</c:v>
                </c:pt>
                <c:pt idx="10">
                  <c:v>43136</c:v>
                </c:pt>
                <c:pt idx="11">
                  <c:v>43164</c:v>
                </c:pt>
              </c:numCache>
            </c:numRef>
          </c:xVal>
          <c:yVal>
            <c:numRef>
              <c:f>'Delta 6M '!$M$4:$M$21</c:f>
              <c:numCache>
                <c:formatCode>0.0000%</c:formatCode>
                <c:ptCount val="18"/>
                <c:pt idx="0">
                  <c:v>1.2293245289185682E-3</c:v>
                </c:pt>
                <c:pt idx="1">
                  <c:v>1.3043757740595651E-3</c:v>
                </c:pt>
                <c:pt idx="2">
                  <c:v>1.4312877940208823E-3</c:v>
                </c:pt>
                <c:pt idx="3">
                  <c:v>1.5268960813059223E-3</c:v>
                </c:pt>
                <c:pt idx="4">
                  <c:v>1.6068875765516122E-3</c:v>
                </c:pt>
                <c:pt idx="5">
                  <c:v>1.6697520957500616E-3</c:v>
                </c:pt>
                <c:pt idx="6">
                  <c:v>1.7170657700349146E-3</c:v>
                </c:pt>
                <c:pt idx="7">
                  <c:v>1.7662205047916765E-3</c:v>
                </c:pt>
                <c:pt idx="8">
                  <c:v>1.8015588338617134E-3</c:v>
                </c:pt>
                <c:pt idx="9">
                  <c:v>1.8226989903191708E-3</c:v>
                </c:pt>
                <c:pt idx="10">
                  <c:v>1.856554433008881E-3</c:v>
                </c:pt>
                <c:pt idx="11">
                  <c:v>1.8821855794508798E-3</c:v>
                </c:pt>
                <c:pt idx="12">
                  <c:v>1.9244195997493386E-3</c:v>
                </c:pt>
                <c:pt idx="13">
                  <c:v>1.9749434012796209E-3</c:v>
                </c:pt>
                <c:pt idx="14">
                  <c:v>2.0205118036778621E-3</c:v>
                </c:pt>
                <c:pt idx="15">
                  <c:v>2.0739157890641083E-3</c:v>
                </c:pt>
                <c:pt idx="16">
                  <c:v>2.0978543958583284E-3</c:v>
                </c:pt>
                <c:pt idx="17">
                  <c:v>2.1142072462565502E-3</c:v>
                </c:pt>
              </c:numCache>
            </c:numRef>
          </c:yVal>
          <c:smooth val="0"/>
        </c:ser>
        <c:ser>
          <c:idx val="2"/>
          <c:order val="2"/>
          <c:tx>
            <c:v>Abcd Interp</c:v>
          </c:tx>
          <c:spPr>
            <a:ln w="28575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'Delta 6M '!$V$3:$V$262</c:f>
              <c:numCache>
                <c:formatCode>ddd\,\ dd\-mmm\-yyyy</c:formatCode>
                <c:ptCount val="260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  <c:pt idx="24">
                  <c:v>42831</c:v>
                </c:pt>
                <c:pt idx="25">
                  <c:v>42832</c:v>
                </c:pt>
                <c:pt idx="26">
                  <c:v>42835</c:v>
                </c:pt>
                <c:pt idx="27">
                  <c:v>42836</c:v>
                </c:pt>
                <c:pt idx="28">
                  <c:v>42837</c:v>
                </c:pt>
                <c:pt idx="29">
                  <c:v>42838</c:v>
                </c:pt>
                <c:pt idx="30">
                  <c:v>42843</c:v>
                </c:pt>
                <c:pt idx="31">
                  <c:v>42844</c:v>
                </c:pt>
                <c:pt idx="32">
                  <c:v>42845</c:v>
                </c:pt>
                <c:pt idx="33">
                  <c:v>42846</c:v>
                </c:pt>
                <c:pt idx="34">
                  <c:v>42849</c:v>
                </c:pt>
                <c:pt idx="35">
                  <c:v>42850</c:v>
                </c:pt>
                <c:pt idx="36">
                  <c:v>42851</c:v>
                </c:pt>
                <c:pt idx="37">
                  <c:v>42852</c:v>
                </c:pt>
                <c:pt idx="38">
                  <c:v>42853</c:v>
                </c:pt>
                <c:pt idx="39">
                  <c:v>42857</c:v>
                </c:pt>
                <c:pt idx="40">
                  <c:v>42858</c:v>
                </c:pt>
                <c:pt idx="41">
                  <c:v>42859</c:v>
                </c:pt>
                <c:pt idx="42">
                  <c:v>42860</c:v>
                </c:pt>
                <c:pt idx="43">
                  <c:v>42863</c:v>
                </c:pt>
                <c:pt idx="44">
                  <c:v>42864</c:v>
                </c:pt>
                <c:pt idx="45">
                  <c:v>42865</c:v>
                </c:pt>
                <c:pt idx="46">
                  <c:v>42866</c:v>
                </c:pt>
                <c:pt idx="47">
                  <c:v>42867</c:v>
                </c:pt>
                <c:pt idx="48">
                  <c:v>42870</c:v>
                </c:pt>
                <c:pt idx="49">
                  <c:v>42871</c:v>
                </c:pt>
                <c:pt idx="50">
                  <c:v>42872</c:v>
                </c:pt>
                <c:pt idx="51">
                  <c:v>42873</c:v>
                </c:pt>
                <c:pt idx="52">
                  <c:v>42874</c:v>
                </c:pt>
                <c:pt idx="53">
                  <c:v>42877</c:v>
                </c:pt>
                <c:pt idx="54">
                  <c:v>42878</c:v>
                </c:pt>
                <c:pt idx="55">
                  <c:v>42879</c:v>
                </c:pt>
                <c:pt idx="56">
                  <c:v>42880</c:v>
                </c:pt>
                <c:pt idx="57">
                  <c:v>42881</c:v>
                </c:pt>
                <c:pt idx="58">
                  <c:v>42884</c:v>
                </c:pt>
                <c:pt idx="59">
                  <c:v>42885</c:v>
                </c:pt>
                <c:pt idx="60">
                  <c:v>42886</c:v>
                </c:pt>
                <c:pt idx="61">
                  <c:v>42887</c:v>
                </c:pt>
                <c:pt idx="62">
                  <c:v>42888</c:v>
                </c:pt>
                <c:pt idx="63">
                  <c:v>42891</c:v>
                </c:pt>
                <c:pt idx="64">
                  <c:v>42892</c:v>
                </c:pt>
                <c:pt idx="65">
                  <c:v>42893</c:v>
                </c:pt>
                <c:pt idx="66">
                  <c:v>42894</c:v>
                </c:pt>
                <c:pt idx="67">
                  <c:v>42895</c:v>
                </c:pt>
                <c:pt idx="68">
                  <c:v>42898</c:v>
                </c:pt>
                <c:pt idx="69">
                  <c:v>42899</c:v>
                </c:pt>
                <c:pt idx="70">
                  <c:v>42900</c:v>
                </c:pt>
                <c:pt idx="71">
                  <c:v>42901</c:v>
                </c:pt>
                <c:pt idx="72">
                  <c:v>42902</c:v>
                </c:pt>
                <c:pt idx="73">
                  <c:v>42905</c:v>
                </c:pt>
                <c:pt idx="74">
                  <c:v>42906</c:v>
                </c:pt>
                <c:pt idx="75">
                  <c:v>42907</c:v>
                </c:pt>
                <c:pt idx="76">
                  <c:v>42908</c:v>
                </c:pt>
                <c:pt idx="77">
                  <c:v>42909</c:v>
                </c:pt>
                <c:pt idx="78">
                  <c:v>42912</c:v>
                </c:pt>
                <c:pt idx="79">
                  <c:v>42913</c:v>
                </c:pt>
                <c:pt idx="80">
                  <c:v>42914</c:v>
                </c:pt>
                <c:pt idx="81">
                  <c:v>42915</c:v>
                </c:pt>
                <c:pt idx="82">
                  <c:v>42916</c:v>
                </c:pt>
                <c:pt idx="83">
                  <c:v>42919</c:v>
                </c:pt>
                <c:pt idx="84">
                  <c:v>42920</c:v>
                </c:pt>
                <c:pt idx="85">
                  <c:v>42921</c:v>
                </c:pt>
                <c:pt idx="86">
                  <c:v>42922</c:v>
                </c:pt>
                <c:pt idx="87">
                  <c:v>42923</c:v>
                </c:pt>
                <c:pt idx="88">
                  <c:v>42926</c:v>
                </c:pt>
                <c:pt idx="89">
                  <c:v>42927</c:v>
                </c:pt>
                <c:pt idx="90">
                  <c:v>42928</c:v>
                </c:pt>
                <c:pt idx="91">
                  <c:v>42929</c:v>
                </c:pt>
                <c:pt idx="92">
                  <c:v>42930</c:v>
                </c:pt>
                <c:pt idx="93">
                  <c:v>42933</c:v>
                </c:pt>
                <c:pt idx="94">
                  <c:v>42934</c:v>
                </c:pt>
                <c:pt idx="95">
                  <c:v>42935</c:v>
                </c:pt>
                <c:pt idx="96">
                  <c:v>42936</c:v>
                </c:pt>
                <c:pt idx="97">
                  <c:v>42937</c:v>
                </c:pt>
                <c:pt idx="98">
                  <c:v>42940</c:v>
                </c:pt>
                <c:pt idx="99">
                  <c:v>42941</c:v>
                </c:pt>
                <c:pt idx="100">
                  <c:v>42942</c:v>
                </c:pt>
                <c:pt idx="101">
                  <c:v>42943</c:v>
                </c:pt>
                <c:pt idx="102">
                  <c:v>42944</c:v>
                </c:pt>
                <c:pt idx="103">
                  <c:v>42947</c:v>
                </c:pt>
                <c:pt idx="104">
                  <c:v>42948</c:v>
                </c:pt>
                <c:pt idx="105">
                  <c:v>42949</c:v>
                </c:pt>
                <c:pt idx="106">
                  <c:v>42950</c:v>
                </c:pt>
                <c:pt idx="107">
                  <c:v>42951</c:v>
                </c:pt>
                <c:pt idx="108">
                  <c:v>42954</c:v>
                </c:pt>
                <c:pt idx="109">
                  <c:v>42955</c:v>
                </c:pt>
                <c:pt idx="110">
                  <c:v>42956</c:v>
                </c:pt>
                <c:pt idx="111">
                  <c:v>42957</c:v>
                </c:pt>
                <c:pt idx="112">
                  <c:v>42958</c:v>
                </c:pt>
                <c:pt idx="113">
                  <c:v>42961</c:v>
                </c:pt>
                <c:pt idx="114">
                  <c:v>42962</c:v>
                </c:pt>
                <c:pt idx="115">
                  <c:v>42963</c:v>
                </c:pt>
                <c:pt idx="116">
                  <c:v>42964</c:v>
                </c:pt>
                <c:pt idx="117">
                  <c:v>42965</c:v>
                </c:pt>
                <c:pt idx="118">
                  <c:v>42968</c:v>
                </c:pt>
                <c:pt idx="119">
                  <c:v>42969</c:v>
                </c:pt>
                <c:pt idx="120">
                  <c:v>42970</c:v>
                </c:pt>
                <c:pt idx="121">
                  <c:v>42971</c:v>
                </c:pt>
                <c:pt idx="122">
                  <c:v>42972</c:v>
                </c:pt>
                <c:pt idx="123">
                  <c:v>42975</c:v>
                </c:pt>
                <c:pt idx="124">
                  <c:v>42976</c:v>
                </c:pt>
                <c:pt idx="125">
                  <c:v>42977</c:v>
                </c:pt>
                <c:pt idx="126">
                  <c:v>42978</c:v>
                </c:pt>
                <c:pt idx="127">
                  <c:v>42979</c:v>
                </c:pt>
                <c:pt idx="128">
                  <c:v>42982</c:v>
                </c:pt>
                <c:pt idx="129">
                  <c:v>42983</c:v>
                </c:pt>
                <c:pt idx="130">
                  <c:v>42984</c:v>
                </c:pt>
                <c:pt idx="131">
                  <c:v>42985</c:v>
                </c:pt>
                <c:pt idx="132">
                  <c:v>42986</c:v>
                </c:pt>
                <c:pt idx="133">
                  <c:v>42989</c:v>
                </c:pt>
                <c:pt idx="134">
                  <c:v>42990</c:v>
                </c:pt>
                <c:pt idx="135">
                  <c:v>42991</c:v>
                </c:pt>
                <c:pt idx="136">
                  <c:v>42992</c:v>
                </c:pt>
                <c:pt idx="137">
                  <c:v>42993</c:v>
                </c:pt>
                <c:pt idx="138">
                  <c:v>42996</c:v>
                </c:pt>
                <c:pt idx="139">
                  <c:v>42997</c:v>
                </c:pt>
                <c:pt idx="140">
                  <c:v>42998</c:v>
                </c:pt>
                <c:pt idx="141">
                  <c:v>42999</c:v>
                </c:pt>
                <c:pt idx="142">
                  <c:v>43000</c:v>
                </c:pt>
                <c:pt idx="143">
                  <c:v>43003</c:v>
                </c:pt>
                <c:pt idx="144">
                  <c:v>43004</c:v>
                </c:pt>
                <c:pt idx="145">
                  <c:v>43005</c:v>
                </c:pt>
                <c:pt idx="146">
                  <c:v>43006</c:v>
                </c:pt>
                <c:pt idx="147">
                  <c:v>43007</c:v>
                </c:pt>
                <c:pt idx="148">
                  <c:v>43010</c:v>
                </c:pt>
                <c:pt idx="149">
                  <c:v>43011</c:v>
                </c:pt>
                <c:pt idx="150">
                  <c:v>43012</c:v>
                </c:pt>
                <c:pt idx="151">
                  <c:v>43013</c:v>
                </c:pt>
                <c:pt idx="152">
                  <c:v>43014</c:v>
                </c:pt>
                <c:pt idx="153">
                  <c:v>43017</c:v>
                </c:pt>
                <c:pt idx="154">
                  <c:v>43018</c:v>
                </c:pt>
                <c:pt idx="155">
                  <c:v>43019</c:v>
                </c:pt>
                <c:pt idx="156">
                  <c:v>43020</c:v>
                </c:pt>
                <c:pt idx="157">
                  <c:v>43021</c:v>
                </c:pt>
                <c:pt idx="158">
                  <c:v>43024</c:v>
                </c:pt>
                <c:pt idx="159">
                  <c:v>43025</c:v>
                </c:pt>
                <c:pt idx="160">
                  <c:v>43026</c:v>
                </c:pt>
                <c:pt idx="161">
                  <c:v>43027</c:v>
                </c:pt>
                <c:pt idx="162">
                  <c:v>43028</c:v>
                </c:pt>
                <c:pt idx="163">
                  <c:v>43031</c:v>
                </c:pt>
                <c:pt idx="164">
                  <c:v>43032</c:v>
                </c:pt>
                <c:pt idx="165">
                  <c:v>43033</c:v>
                </c:pt>
                <c:pt idx="166">
                  <c:v>43034</c:v>
                </c:pt>
                <c:pt idx="167">
                  <c:v>43035</c:v>
                </c:pt>
                <c:pt idx="168">
                  <c:v>43038</c:v>
                </c:pt>
                <c:pt idx="169">
                  <c:v>43039</c:v>
                </c:pt>
                <c:pt idx="170">
                  <c:v>43040</c:v>
                </c:pt>
                <c:pt idx="171">
                  <c:v>43041</c:v>
                </c:pt>
                <c:pt idx="172">
                  <c:v>43042</c:v>
                </c:pt>
                <c:pt idx="173">
                  <c:v>43045</c:v>
                </c:pt>
                <c:pt idx="174">
                  <c:v>43046</c:v>
                </c:pt>
                <c:pt idx="175">
                  <c:v>43047</c:v>
                </c:pt>
                <c:pt idx="176">
                  <c:v>43048</c:v>
                </c:pt>
                <c:pt idx="177">
                  <c:v>43049</c:v>
                </c:pt>
                <c:pt idx="178">
                  <c:v>43052</c:v>
                </c:pt>
                <c:pt idx="179">
                  <c:v>43053</c:v>
                </c:pt>
                <c:pt idx="180">
                  <c:v>43054</c:v>
                </c:pt>
                <c:pt idx="181">
                  <c:v>43055</c:v>
                </c:pt>
                <c:pt idx="182">
                  <c:v>43056</c:v>
                </c:pt>
                <c:pt idx="183">
                  <c:v>43059</c:v>
                </c:pt>
                <c:pt idx="184">
                  <c:v>43060</c:v>
                </c:pt>
                <c:pt idx="185">
                  <c:v>43061</c:v>
                </c:pt>
                <c:pt idx="186">
                  <c:v>43062</c:v>
                </c:pt>
                <c:pt idx="187">
                  <c:v>43063</c:v>
                </c:pt>
                <c:pt idx="188">
                  <c:v>43066</c:v>
                </c:pt>
                <c:pt idx="189">
                  <c:v>43067</c:v>
                </c:pt>
                <c:pt idx="190">
                  <c:v>43068</c:v>
                </c:pt>
                <c:pt idx="191">
                  <c:v>43069</c:v>
                </c:pt>
                <c:pt idx="192">
                  <c:v>43070</c:v>
                </c:pt>
                <c:pt idx="193">
                  <c:v>43073</c:v>
                </c:pt>
                <c:pt idx="194">
                  <c:v>43074</c:v>
                </c:pt>
                <c:pt idx="195">
                  <c:v>43075</c:v>
                </c:pt>
                <c:pt idx="196">
                  <c:v>43076</c:v>
                </c:pt>
                <c:pt idx="197">
                  <c:v>43077</c:v>
                </c:pt>
                <c:pt idx="198">
                  <c:v>43080</c:v>
                </c:pt>
                <c:pt idx="199">
                  <c:v>43081</c:v>
                </c:pt>
                <c:pt idx="200">
                  <c:v>43082</c:v>
                </c:pt>
                <c:pt idx="201">
                  <c:v>43083</c:v>
                </c:pt>
                <c:pt idx="202">
                  <c:v>43084</c:v>
                </c:pt>
                <c:pt idx="203">
                  <c:v>43087</c:v>
                </c:pt>
                <c:pt idx="204">
                  <c:v>43088</c:v>
                </c:pt>
                <c:pt idx="205">
                  <c:v>43089</c:v>
                </c:pt>
                <c:pt idx="206">
                  <c:v>43090</c:v>
                </c:pt>
                <c:pt idx="207">
                  <c:v>43091</c:v>
                </c:pt>
                <c:pt idx="208">
                  <c:v>43096</c:v>
                </c:pt>
                <c:pt idx="209">
                  <c:v>43097</c:v>
                </c:pt>
                <c:pt idx="210">
                  <c:v>43098</c:v>
                </c:pt>
                <c:pt idx="211">
                  <c:v>43102</c:v>
                </c:pt>
                <c:pt idx="212">
                  <c:v>43103</c:v>
                </c:pt>
                <c:pt idx="213">
                  <c:v>43104</c:v>
                </c:pt>
                <c:pt idx="214">
                  <c:v>43105</c:v>
                </c:pt>
                <c:pt idx="215">
                  <c:v>43108</c:v>
                </c:pt>
                <c:pt idx="216">
                  <c:v>43109</c:v>
                </c:pt>
                <c:pt idx="217">
                  <c:v>43110</c:v>
                </c:pt>
                <c:pt idx="218">
                  <c:v>43111</c:v>
                </c:pt>
                <c:pt idx="219">
                  <c:v>43112</c:v>
                </c:pt>
                <c:pt idx="220">
                  <c:v>43115</c:v>
                </c:pt>
                <c:pt idx="221">
                  <c:v>43116</c:v>
                </c:pt>
                <c:pt idx="222">
                  <c:v>43117</c:v>
                </c:pt>
                <c:pt idx="223">
                  <c:v>43118</c:v>
                </c:pt>
                <c:pt idx="224">
                  <c:v>43119</c:v>
                </c:pt>
                <c:pt idx="225">
                  <c:v>43122</c:v>
                </c:pt>
                <c:pt idx="226">
                  <c:v>43123</c:v>
                </c:pt>
                <c:pt idx="227">
                  <c:v>43124</c:v>
                </c:pt>
                <c:pt idx="228">
                  <c:v>43125</c:v>
                </c:pt>
                <c:pt idx="229">
                  <c:v>43126</c:v>
                </c:pt>
                <c:pt idx="230">
                  <c:v>43129</c:v>
                </c:pt>
                <c:pt idx="231">
                  <c:v>43130</c:v>
                </c:pt>
                <c:pt idx="232">
                  <c:v>43131</c:v>
                </c:pt>
                <c:pt idx="233">
                  <c:v>43132</c:v>
                </c:pt>
                <c:pt idx="234">
                  <c:v>43133</c:v>
                </c:pt>
                <c:pt idx="235">
                  <c:v>43136</c:v>
                </c:pt>
                <c:pt idx="236">
                  <c:v>43137</c:v>
                </c:pt>
                <c:pt idx="237">
                  <c:v>43138</c:v>
                </c:pt>
                <c:pt idx="238">
                  <c:v>43139</c:v>
                </c:pt>
                <c:pt idx="239">
                  <c:v>43140</c:v>
                </c:pt>
                <c:pt idx="240">
                  <c:v>43143</c:v>
                </c:pt>
                <c:pt idx="241">
                  <c:v>43144</c:v>
                </c:pt>
                <c:pt idx="242">
                  <c:v>43145</c:v>
                </c:pt>
                <c:pt idx="243">
                  <c:v>43146</c:v>
                </c:pt>
                <c:pt idx="244">
                  <c:v>43147</c:v>
                </c:pt>
                <c:pt idx="245">
                  <c:v>43150</c:v>
                </c:pt>
                <c:pt idx="246">
                  <c:v>43151</c:v>
                </c:pt>
                <c:pt idx="247">
                  <c:v>43152</c:v>
                </c:pt>
                <c:pt idx="248">
                  <c:v>43153</c:v>
                </c:pt>
                <c:pt idx="249">
                  <c:v>43154</c:v>
                </c:pt>
                <c:pt idx="250">
                  <c:v>43157</c:v>
                </c:pt>
                <c:pt idx="251">
                  <c:v>43158</c:v>
                </c:pt>
                <c:pt idx="252">
                  <c:v>43159</c:v>
                </c:pt>
                <c:pt idx="253">
                  <c:v>43160</c:v>
                </c:pt>
                <c:pt idx="254">
                  <c:v>43161</c:v>
                </c:pt>
                <c:pt idx="255">
                  <c:v>43164</c:v>
                </c:pt>
                <c:pt idx="256">
                  <c:v>43165</c:v>
                </c:pt>
                <c:pt idx="257">
                  <c:v>43166</c:v>
                </c:pt>
                <c:pt idx="258">
                  <c:v>43167</c:v>
                </c:pt>
                <c:pt idx="259">
                  <c:v>43168</c:v>
                </c:pt>
              </c:numCache>
            </c:numRef>
          </c:xVal>
          <c:yVal>
            <c:numRef>
              <c:f>'Delta 6M '!$Y$3:$Y$262</c:f>
              <c:numCache>
                <c:formatCode>0.0000%</c:formatCode>
                <c:ptCount val="260"/>
                <c:pt idx="0">
                  <c:v>1.1323934431734122E-3</c:v>
                </c:pt>
                <c:pt idx="1">
                  <c:v>1.1427385393831728E-3</c:v>
                </c:pt>
                <c:pt idx="2">
                  <c:v>1.1461714171475213E-3</c:v>
                </c:pt>
                <c:pt idx="3">
                  <c:v>1.1495964896459565E-3</c:v>
                </c:pt>
                <c:pt idx="4">
                  <c:v>1.1530137221504883E-3</c:v>
                </c:pt>
                <c:pt idx="5">
                  <c:v>1.1564230813121714E-3</c:v>
                </c:pt>
                <c:pt idx="6">
                  <c:v>1.1666036052518387E-3</c:v>
                </c:pt>
                <c:pt idx="7">
                  <c:v>1.169981164000087E-3</c:v>
                </c:pt>
                <c:pt idx="8">
                  <c:v>1.173350702223805E-3</c:v>
                </c:pt>
                <c:pt idx="9">
                  <c:v>1.1767121941854339E-3</c:v>
                </c:pt>
                <c:pt idx="10">
                  <c:v>1.1800656153124511E-3</c:v>
                </c:pt>
                <c:pt idx="11">
                  <c:v>1.190077224859201E-3</c:v>
                </c:pt>
                <c:pt idx="12">
                  <c:v>1.1933981392677616E-3</c:v>
                </c:pt>
                <c:pt idx="13">
                  <c:v>1.1967108765081572E-3</c:v>
                </c:pt>
                <c:pt idx="14">
                  <c:v>1.2000154184390955E-3</c:v>
                </c:pt>
                <c:pt idx="15">
                  <c:v>1.2033117479037919E-3</c:v>
                </c:pt>
                <c:pt idx="16">
                  <c:v>1.2131513042129758E-3</c:v>
                </c:pt>
                <c:pt idx="17">
                  <c:v>1.2164146311280106E-3</c:v>
                </c:pt>
                <c:pt idx="18">
                  <c:v>1.2196696737610138E-3</c:v>
                </c:pt>
                <c:pt idx="19">
                  <c:v>1.2229164203899914E-3</c:v>
                </c:pt>
                <c:pt idx="20">
                  <c:v>1.2261548601248924E-3</c:v>
                </c:pt>
                <c:pt idx="21">
                  <c:v>1.2358202411313704E-3</c:v>
                </c:pt>
                <c:pt idx="22">
                  <c:v>1.239025360345272E-3</c:v>
                </c:pt>
                <c:pt idx="23">
                  <c:v>1.2422221300172924E-3</c:v>
                </c:pt>
                <c:pt idx="24">
                  <c:v>1.2454105438492705E-3</c:v>
                </c:pt>
                <c:pt idx="25">
                  <c:v>1.2485905962458012E-3</c:v>
                </c:pt>
                <c:pt idx="26">
                  <c:v>1.258080539060372E-3</c:v>
                </c:pt>
                <c:pt idx="27">
                  <c:v>1.2612271032370849E-3</c:v>
                </c:pt>
                <c:pt idx="28">
                  <c:v>1.2643652879688961E-3</c:v>
                </c:pt>
                <c:pt idx="29">
                  <c:v>1.2674950915379118E-3</c:v>
                </c:pt>
                <c:pt idx="30">
                  <c:v>1.283018372547233E-3</c:v>
                </c:pt>
                <c:pt idx="31">
                  <c:v>1.286097885301412E-3</c:v>
                </c:pt>
                <c:pt idx="32">
                  <c:v>1.2891690207005656E-3</c:v>
                </c:pt>
                <c:pt idx="33">
                  <c:v>1.2922317813908728E-3</c:v>
                </c:pt>
                <c:pt idx="34">
                  <c:v>1.3013698489180209E-3</c:v>
                </c:pt>
                <c:pt idx="35">
                  <c:v>1.3043991468163661E-3</c:v>
                </c:pt>
                <c:pt idx="36">
                  <c:v>1.3074200903220746E-3</c:v>
                </c:pt>
                <c:pt idx="37">
                  <c:v>1.310432684836178E-3</c:v>
                </c:pt>
                <c:pt idx="38">
                  <c:v>1.313436936180397E-3</c:v>
                </c:pt>
                <c:pt idx="39">
                  <c:v>1.3253706404446218E-3</c:v>
                </c:pt>
                <c:pt idx="40">
                  <c:v>1.3283332772787179E-3</c:v>
                </c:pt>
                <c:pt idx="41">
                  <c:v>1.3312876141448966E-3</c:v>
                </c:pt>
                <c:pt idx="42">
                  <c:v>1.3342336595329287E-3</c:v>
                </c:pt>
                <c:pt idx="43">
                  <c:v>1.3430221368373374E-3</c:v>
                </c:pt>
                <c:pt idx="44">
                  <c:v>1.3459351079662797E-3</c:v>
                </c:pt>
                <c:pt idx="45">
                  <c:v>1.3488398350592473E-3</c:v>
                </c:pt>
                <c:pt idx="46">
                  <c:v>1.3517363285455593E-3</c:v>
                </c:pt>
                <c:pt idx="47">
                  <c:v>1.3546245991497439E-3</c:v>
                </c:pt>
                <c:pt idx="48">
                  <c:v>1.3632401851857035E-3</c:v>
                </c:pt>
                <c:pt idx="49">
                  <c:v>1.3660956771502553E-3</c:v>
                </c:pt>
                <c:pt idx="50">
                  <c:v>1.3689430040251119E-3</c:v>
                </c:pt>
                <c:pt idx="51">
                  <c:v>1.3717821781532719E-3</c:v>
                </c:pt>
                <c:pt idx="52">
                  <c:v>1.3746132121234731E-3</c:v>
                </c:pt>
                <c:pt idx="53">
                  <c:v>1.3830576025250262E-3</c:v>
                </c:pt>
                <c:pt idx="54">
                  <c:v>1.3858562064422517E-3</c:v>
                </c:pt>
                <c:pt idx="55">
                  <c:v>1.3886467366099279E-3</c:v>
                </c:pt>
                <c:pt idx="56">
                  <c:v>1.3914292069603081E-3</c:v>
                </c:pt>
                <c:pt idx="57">
                  <c:v>1.3942036316289886E-3</c:v>
                </c:pt>
                <c:pt idx="58">
                  <c:v>1.402478775835372E-3</c:v>
                </c:pt>
                <c:pt idx="59">
                  <c:v>1.4052211630085616E-3</c:v>
                </c:pt>
                <c:pt idx="60">
                  <c:v>1.4079555780383026E-3</c:v>
                </c:pt>
                <c:pt idx="61">
                  <c:v>1.4106820361679435E-3</c:v>
                </c:pt>
                <c:pt idx="62">
                  <c:v>1.4134005528077982E-3</c:v>
                </c:pt>
                <c:pt idx="63">
                  <c:v>1.4215086102970364E-3</c:v>
                </c:pt>
                <c:pt idx="64">
                  <c:v>1.4241955182557561E-3</c:v>
                </c:pt>
                <c:pt idx="65">
                  <c:v>1.4268745641177053E-3</c:v>
                </c:pt>
                <c:pt idx="66">
                  <c:v>1.4295457641985497E-3</c:v>
                </c:pt>
                <c:pt idx="67">
                  <c:v>1.4322091349496739E-3</c:v>
                </c:pt>
                <c:pt idx="68">
                  <c:v>1.4401524376891318E-3</c:v>
                </c:pt>
                <c:pt idx="69">
                  <c:v>1.442784658208333E-3</c:v>
                </c:pt>
                <c:pt idx="70">
                  <c:v>1.4454091335504289E-3</c:v>
                </c:pt>
                <c:pt idx="71">
                  <c:v>1.4480258808982327E-3</c:v>
                </c:pt>
                <c:pt idx="72">
                  <c:v>1.4506349175434185E-3</c:v>
                </c:pt>
                <c:pt idx="73">
                  <c:v>1.4584159377395542E-3</c:v>
                </c:pt>
                <c:pt idx="74">
                  <c:v>1.4609943065466468E-3</c:v>
                </c:pt>
                <c:pt idx="75">
                  <c:v>1.4635650526218589E-3</c:v>
                </c:pt>
                <c:pt idx="76">
                  <c:v>1.466128193838718E-3</c:v>
                </c:pt>
                <c:pt idx="77">
                  <c:v>1.4686837481565022E-3</c:v>
                </c:pt>
                <c:pt idx="78">
                  <c:v>1.4763050705313807E-3</c:v>
                </c:pt>
                <c:pt idx="79">
                  <c:v>1.4788304584561123E-3</c:v>
                </c:pt>
                <c:pt idx="80">
                  <c:v>1.4813483504607322E-3</c:v>
                </c:pt>
                <c:pt idx="81">
                  <c:v>1.483858764957668E-3</c:v>
                </c:pt>
                <c:pt idx="82">
                  <c:v>1.4863617204252128E-3</c:v>
                </c:pt>
                <c:pt idx="83">
                  <c:v>1.4938260183680757E-3</c:v>
                </c:pt>
                <c:pt idx="84">
                  <c:v>1.4962993237282423E-3</c:v>
                </c:pt>
                <c:pt idx="85">
                  <c:v>1.4987652633491693E-3</c:v>
                </c:pt>
                <c:pt idx="86">
                  <c:v>1.5012238560515115E-3</c:v>
                </c:pt>
                <c:pt idx="87">
                  <c:v>1.5036751207046721E-3</c:v>
                </c:pt>
                <c:pt idx="88">
                  <c:v>1.5109851357474724E-3</c:v>
                </c:pt>
                <c:pt idx="89">
                  <c:v>1.513407277795297E-3</c:v>
                </c:pt>
                <c:pt idx="90">
                  <c:v>1.515822186795254E-3</c:v>
                </c:pt>
                <c:pt idx="91">
                  <c:v>1.5182298818637403E-3</c:v>
                </c:pt>
                <c:pt idx="92">
                  <c:v>1.5206303821511593E-3</c:v>
                </c:pt>
                <c:pt idx="93">
                  <c:v>1.5277889063009141E-3</c:v>
                </c:pt>
                <c:pt idx="94">
                  <c:v>1.5301608195815483E-3</c:v>
                </c:pt>
                <c:pt idx="95">
                  <c:v>1.5325256342771049E-3</c:v>
                </c:pt>
                <c:pt idx="96">
                  <c:v>1.5348833697029012E-3</c:v>
                </c:pt>
                <c:pt idx="97">
                  <c:v>1.5372340451955823E-3</c:v>
                </c:pt>
                <c:pt idx="98">
                  <c:v>1.5442439057266654E-3</c:v>
                </c:pt>
                <c:pt idx="99">
                  <c:v>1.5465665352224944E-3</c:v>
                </c:pt>
                <c:pt idx="100">
                  <c:v>1.5488822017314435E-3</c:v>
                </c:pt>
                <c:pt idx="101">
                  <c:v>1.5511909246844651E-3</c:v>
                </c:pt>
                <c:pt idx="102">
                  <c:v>1.5534927235229311E-3</c:v>
                </c:pt>
                <c:pt idx="103">
                  <c:v>1.5603567698913221E-3</c:v>
                </c:pt>
                <c:pt idx="104">
                  <c:v>1.5626310668444515E-3</c:v>
                </c:pt>
                <c:pt idx="105">
                  <c:v>1.5648985369973471E-3</c:v>
                </c:pt>
                <c:pt idx="106">
                  <c:v>1.5671591998250023E-3</c:v>
                </c:pt>
                <c:pt idx="107">
                  <c:v>1.569413074803467E-3</c:v>
                </c:pt>
                <c:pt idx="108">
                  <c:v>1.576134167394517E-3</c:v>
                </c:pt>
                <c:pt idx="109">
                  <c:v>1.578361085715519E-3</c:v>
                </c:pt>
                <c:pt idx="110">
                  <c:v>1.5805813135414686E-3</c:v>
                </c:pt>
                <c:pt idx="111">
                  <c:v>1.5827948703299422E-3</c:v>
                </c:pt>
                <c:pt idx="112">
                  <c:v>1.5850017755315363E-3</c:v>
                </c:pt>
                <c:pt idx="113">
                  <c:v>1.5915827759944885E-3</c:v>
                </c:pt>
                <c:pt idx="114">
                  <c:v>1.5937632691787485E-3</c:v>
                </c:pt>
                <c:pt idx="115">
                  <c:v>1.5959372078885232E-3</c:v>
                </c:pt>
                <c:pt idx="116">
                  <c:v>1.5981046115112977E-3</c:v>
                </c:pt>
                <c:pt idx="117">
                  <c:v>1.6002654994207032E-3</c:v>
                </c:pt>
                <c:pt idx="118">
                  <c:v>1.6067092623784887E-3</c:v>
                </c:pt>
                <c:pt idx="119">
                  <c:v>1.6088442808626475E-3</c:v>
                </c:pt>
                <c:pt idx="120">
                  <c:v>1.6109728802630643E-3</c:v>
                </c:pt>
                <c:pt idx="121">
                  <c:v>1.6130950798520902E-3</c:v>
                </c:pt>
                <c:pt idx="122">
                  <c:v>1.6152108988823496E-3</c:v>
                </c:pt>
                <c:pt idx="123">
                  <c:v>1.6215202648349474E-3</c:v>
                </c:pt>
                <c:pt idx="124">
                  <c:v>1.6236107537354627E-3</c:v>
                </c:pt>
                <c:pt idx="125">
                  <c:v>1.6256949580182802E-3</c:v>
                </c:pt>
                <c:pt idx="126">
                  <c:v>1.6277728968022071E-3</c:v>
                </c:pt>
                <c:pt idx="127">
                  <c:v>1.6298445891813279E-3</c:v>
                </c:pt>
                <c:pt idx="128">
                  <c:v>1.6360223784463114E-3</c:v>
                </c:pt>
                <c:pt idx="129">
                  <c:v>1.638069275630165E-3</c:v>
                </c:pt>
                <c:pt idx="130">
                  <c:v>1.6401100214865781E-3</c:v>
                </c:pt>
                <c:pt idx="131">
                  <c:v>1.6421446349481781E-3</c:v>
                </c:pt>
                <c:pt idx="132">
                  <c:v>1.6441731349186354E-3</c:v>
                </c:pt>
                <c:pt idx="133">
                  <c:v>1.6502221424740135E-3</c:v>
                </c:pt>
                <c:pt idx="134">
                  <c:v>1.652226376918471E-3</c:v>
                </c:pt>
                <c:pt idx="135">
                  <c:v>1.6542245919369902E-3</c:v>
                </c:pt>
                <c:pt idx="136">
                  <c:v>1.6562168062484173E-3</c:v>
                </c:pt>
                <c:pt idx="137">
                  <c:v>1.6582030385390641E-3</c:v>
                </c:pt>
                <c:pt idx="138">
                  <c:v>1.6641260296518818E-3</c:v>
                </c:pt>
                <c:pt idx="139">
                  <c:v>1.6660885200560152E-3</c:v>
                </c:pt>
                <c:pt idx="140">
                  <c:v>1.6680451213672265E-3</c:v>
                </c:pt>
                <c:pt idx="141">
                  <c:v>1.6699958520673529E-3</c:v>
                </c:pt>
                <c:pt idx="142">
                  <c:v>1.6719407306027131E-3</c:v>
                </c:pt>
                <c:pt idx="143">
                  <c:v>1.6777404371424811E-3</c:v>
                </c:pt>
                <c:pt idx="144">
                  <c:v>1.6796620907581997E-3</c:v>
                </c:pt>
                <c:pt idx="145">
                  <c:v>1.6815779838947594E-3</c:v>
                </c:pt>
                <c:pt idx="146">
                  <c:v>1.6834881347776009E-3</c:v>
                </c:pt>
                <c:pt idx="147">
                  <c:v>1.6853925615941563E-3</c:v>
                </c:pt>
                <c:pt idx="148">
                  <c:v>1.6910716789436319E-3</c:v>
                </c:pt>
                <c:pt idx="149">
                  <c:v>1.6929533905981871E-3</c:v>
                </c:pt>
                <c:pt idx="150">
                  <c:v>1.6948294685426241E-3</c:v>
                </c:pt>
                <c:pt idx="151">
                  <c:v>1.6966999307299333E-3</c:v>
                </c:pt>
                <c:pt idx="152">
                  <c:v>1.6985647950730504E-3</c:v>
                </c:pt>
                <c:pt idx="153">
                  <c:v>1.7041259795603444E-3</c:v>
                </c:pt>
                <c:pt idx="154">
                  <c:v>1.7059686308459759E-3</c:v>
                </c:pt>
                <c:pt idx="155">
                  <c:v>1.7078057732424158E-3</c:v>
                </c:pt>
                <c:pt idx="156">
                  <c:v>1.7096374244170676E-3</c:v>
                </c:pt>
                <c:pt idx="157">
                  <c:v>1.7114636019956223E-3</c:v>
                </c:pt>
                <c:pt idx="158">
                  <c:v>1.7169094687814843E-3</c:v>
                </c:pt>
                <c:pt idx="159">
                  <c:v>1.7187139273910177E-3</c:v>
                </c:pt>
                <c:pt idx="160">
                  <c:v>1.7205129999000612E-3</c:v>
                </c:pt>
                <c:pt idx="161">
                  <c:v>1.722306703679849E-3</c:v>
                </c:pt>
                <c:pt idx="162">
                  <c:v>1.7240950560585694E-3</c:v>
                </c:pt>
                <c:pt idx="163">
                  <c:v>1.7294281774212182E-3</c:v>
                </c:pt>
                <c:pt idx="164">
                  <c:v>1.7311952966111337E-3</c:v>
                </c:pt>
                <c:pt idx="165">
                  <c:v>1.7329571503897734E-3</c:v>
                </c:pt>
                <c:pt idx="166">
                  <c:v>1.7347137558238342E-3</c:v>
                </c:pt>
                <c:pt idx="167">
                  <c:v>1.7364651299359415E-3</c:v>
                </c:pt>
                <c:pt idx="168">
                  <c:v>1.7416880339031315E-3</c:v>
                </c:pt>
                <c:pt idx="169">
                  <c:v>1.7434186520679726E-3</c:v>
                </c:pt>
                <c:pt idx="170">
                  <c:v>1.7451441233587097E-3</c:v>
                </c:pt>
                <c:pt idx="171">
                  <c:v>1.7468644645310836E-3</c:v>
                </c:pt>
                <c:pt idx="172">
                  <c:v>1.7485796922959919E-3</c:v>
                </c:pt>
                <c:pt idx="173">
                  <c:v>1.7536948615803438E-3</c:v>
                </c:pt>
                <c:pt idx="174">
                  <c:v>1.755389801924372E-3</c:v>
                </c:pt>
                <c:pt idx="175">
                  <c:v>1.7570797117397114E-3</c:v>
                </c:pt>
                <c:pt idx="176">
                  <c:v>1.7587646074664278E-3</c:v>
                </c:pt>
                <c:pt idx="177">
                  <c:v>1.7604445054991932E-3</c:v>
                </c:pt>
                <c:pt idx="178">
                  <c:v>1.7654543766983249E-3</c:v>
                </c:pt>
                <c:pt idx="179">
                  <c:v>1.767114446992051E-3</c:v>
                </c:pt>
                <c:pt idx="180">
                  <c:v>1.7687696008822542E-3</c:v>
                </c:pt>
                <c:pt idx="181">
                  <c:v>1.7704198544900795E-3</c:v>
                </c:pt>
                <c:pt idx="182">
                  <c:v>1.7720652238909273E-3</c:v>
                </c:pt>
                <c:pt idx="183">
                  <c:v>1.7769721869186576E-3</c:v>
                </c:pt>
                <c:pt idx="184">
                  <c:v>1.7785981793294553E-3</c:v>
                </c:pt>
                <c:pt idx="185">
                  <c:v>1.7802193672229205E-3</c:v>
                </c:pt>
                <c:pt idx="186">
                  <c:v>1.7818357663993293E-3</c:v>
                </c:pt>
                <c:pt idx="187">
                  <c:v>1.7834473926130272E-3</c:v>
                </c:pt>
                <c:pt idx="188">
                  <c:v>1.7882537903320859E-3</c:v>
                </c:pt>
                <c:pt idx="189">
                  <c:v>1.7898464813193671E-3</c:v>
                </c:pt>
                <c:pt idx="190">
                  <c:v>1.7914344774263317E-3</c:v>
                </c:pt>
                <c:pt idx="191">
                  <c:v>1.7930177941315548E-3</c:v>
                </c:pt>
                <c:pt idx="192">
                  <c:v>1.7945964468676493E-3</c:v>
                </c:pt>
                <c:pt idx="193">
                  <c:v>1.7993045748979182E-3</c:v>
                </c:pt>
                <c:pt idx="194">
                  <c:v>1.8008647251645444E-3</c:v>
                </c:pt>
                <c:pt idx="195">
                  <c:v>1.8024202879359011E-3</c:v>
                </c:pt>
                <c:pt idx="196">
                  <c:v>1.8039712783690133E-3</c:v>
                </c:pt>
                <c:pt idx="197">
                  <c:v>1.8055177115750356E-3</c:v>
                </c:pt>
                <c:pt idx="198">
                  <c:v>1.8101298182544947E-3</c:v>
                </c:pt>
                <c:pt idx="199">
                  <c:v>1.8116581727470754E-3</c:v>
                </c:pt>
                <c:pt idx="200">
                  <c:v>1.8131820448811142E-3</c:v>
                </c:pt>
                <c:pt idx="201">
                  <c:v>1.814701449493082E-3</c:v>
                </c:pt>
                <c:pt idx="202">
                  <c:v>1.8162164013737806E-3</c:v>
                </c:pt>
                <c:pt idx="203">
                  <c:v>1.820734687852066E-3</c:v>
                </c:pt>
                <c:pt idx="204">
                  <c:v>1.8222319758037001E-3</c:v>
                </c:pt>
                <c:pt idx="205">
                  <c:v>1.823724884294429E-3</c:v>
                </c:pt>
                <c:pt idx="206">
                  <c:v>1.8252134278418991E-3</c:v>
                </c:pt>
                <c:pt idx="207">
                  <c:v>1.8266976209183863E-3</c:v>
                </c:pt>
                <c:pt idx="208">
                  <c:v>1.8340538325965E-3</c:v>
                </c:pt>
                <c:pt idx="209">
                  <c:v>1.835512224230844E-3</c:v>
                </c:pt>
                <c:pt idx="210">
                  <c:v>1.8369663654342642E-3</c:v>
                </c:pt>
                <c:pt idx="211">
                  <c:v>1.8427407074916692E-3</c:v>
                </c:pt>
                <c:pt idx="212">
                  <c:v>1.8441738073133381E-3</c:v>
                </c:pt>
                <c:pt idx="213">
                  <c:v>1.8456027407001171E-3</c:v>
                </c:pt>
                <c:pt idx="214">
                  <c:v>1.8470275214950995E-3</c:v>
                </c:pt>
                <c:pt idx="215">
                  <c:v>1.8512770860937674E-3</c:v>
                </c:pt>
                <c:pt idx="216">
                  <c:v>1.8526853940644195E-3</c:v>
                </c:pt>
                <c:pt idx="217">
                  <c:v>1.8540896179933181E-3</c:v>
                </c:pt>
                <c:pt idx="218">
                  <c:v>1.8554897714579016E-3</c:v>
                </c:pt>
                <c:pt idx="219">
                  <c:v>1.8568858679915967E-3</c:v>
                </c:pt>
                <c:pt idx="220">
                  <c:v>1.8610499506830724E-3</c:v>
                </c:pt>
                <c:pt idx="221">
                  <c:v>1.8624299539499796E-3</c:v>
                </c:pt>
                <c:pt idx="222">
                  <c:v>1.8638059672957102E-3</c:v>
                </c:pt>
                <c:pt idx="223">
                  <c:v>1.8651780039912905E-3</c:v>
                </c:pt>
                <c:pt idx="224">
                  <c:v>1.8665460772643017E-3</c:v>
                </c:pt>
                <c:pt idx="225">
                  <c:v>1.8706266481738447E-3</c:v>
                </c:pt>
                <c:pt idx="226">
                  <c:v>1.8719789991664777E-3</c:v>
                </c:pt>
                <c:pt idx="227">
                  <c:v>1.8733274522257698E-3</c:v>
                </c:pt>
                <c:pt idx="228">
                  <c:v>1.8746720203204443E-3</c:v>
                </c:pt>
                <c:pt idx="229">
                  <c:v>1.8760127163763875E-3</c:v>
                </c:pt>
                <c:pt idx="230">
                  <c:v>1.8800117009301072E-3</c:v>
                </c:pt>
                <c:pt idx="231">
                  <c:v>1.8813370372365084E-3</c:v>
                </c:pt>
                <c:pt idx="232">
                  <c:v>1.8826585654943002E-3</c:v>
                </c:pt>
                <c:pt idx="233">
                  <c:v>1.8839762983742902E-3</c:v>
                </c:pt>
                <c:pt idx="234">
                  <c:v>1.8852902485051006E-3</c:v>
                </c:pt>
                <c:pt idx="235">
                  <c:v>1.889209528057881E-3</c:v>
                </c:pt>
                <c:pt idx="236">
                  <c:v>1.8905084726378077E-3</c:v>
                </c:pt>
                <c:pt idx="237">
                  <c:v>1.89180369698222E-3</c:v>
                </c:pt>
                <c:pt idx="238">
                  <c:v>1.8930952134686384E-3</c:v>
                </c:pt>
                <c:pt idx="239">
                  <c:v>1.8943830344330768E-3</c:v>
                </c:pt>
                <c:pt idx="240">
                  <c:v>1.8982244469340917E-3</c:v>
                </c:pt>
                <c:pt idx="241">
                  <c:v>1.8994976083440394E-3</c:v>
                </c:pt>
                <c:pt idx="242">
                  <c:v>1.9007671352929219E-3</c:v>
                </c:pt>
                <c:pt idx="243">
                  <c:v>1.9020330398697954E-3</c:v>
                </c:pt>
                <c:pt idx="244">
                  <c:v>1.9032953341229088E-3</c:v>
                </c:pt>
                <c:pt idx="245">
                  <c:v>1.9070606748122251E-3</c:v>
                </c:pt>
                <c:pt idx="246">
                  <c:v>1.9083086474402395E-3</c:v>
                </c:pt>
                <c:pt idx="247">
                  <c:v>1.9095530693772267E-3</c:v>
                </c:pt>
                <c:pt idx="248">
                  <c:v>1.9107939524287531E-3</c:v>
                </c:pt>
                <c:pt idx="249">
                  <c:v>1.9120313083603019E-3</c:v>
                </c:pt>
                <c:pt idx="250">
                  <c:v>1.9157223304908245E-3</c:v>
                </c:pt>
                <c:pt idx="251">
                  <c:v>1.9169456947992511E-3</c:v>
                </c:pt>
                <c:pt idx="252">
                  <c:v>1.9181655902175063E-3</c:v>
                </c:pt>
                <c:pt idx="253">
                  <c:v>1.9193820282727692E-3</c:v>
                </c:pt>
                <c:pt idx="254">
                  <c:v>1.9205950204528714E-3</c:v>
                </c:pt>
                <c:pt idx="255">
                  <c:v>1.9242134360325433E-3</c:v>
                </c:pt>
                <c:pt idx="256">
                  <c:v>1.9254127588070882E-3</c:v>
                </c:pt>
                <c:pt idx="257">
                  <c:v>1.9266086925591446E-3</c:v>
                </c:pt>
                <c:pt idx="258">
                  <c:v>1.9278012485426995E-3</c:v>
                </c:pt>
                <c:pt idx="259">
                  <c:v>1.9289904379731397E-3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43552"/>
        <c:axId val="633945088"/>
      </c:scatterChart>
      <c:valAx>
        <c:axId val="6339435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3945088"/>
        <c:crosses val="autoZero"/>
        <c:crossBetween val="midCat"/>
      </c:valAx>
      <c:valAx>
        <c:axId val="6339450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394355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2447487373737373"/>
          <c:h val="0.191377500000000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  <a:r>
              <a:rPr lang="en-US" baseline="0"/>
              <a:t> Interp Exact-Fit</a:t>
            </a:r>
            <a:endParaRPr lang="en-US"/>
          </a:p>
        </c:rich>
      </c:tx>
      <c:layout>
        <c:manualLayout>
          <c:xMode val="edge"/>
          <c:yMode val="edge"/>
          <c:x val="0.39596666666666669"/>
          <c:y val="4.58611111111111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42797</c:v>
                </c:pt>
              </c:numCache>
            </c:numRef>
          </c:xVal>
          <c:yVal>
            <c:numRef>
              <c:f>'Delta 12M'!$M$3</c:f>
              <c:numCache>
                <c:formatCode>0.0000%</c:formatCode>
                <c:ptCount val="1"/>
                <c:pt idx="0">
                  <c:v>2.3674803347229281E-3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42828</c:v>
                </c:pt>
                <c:pt idx="1">
                  <c:v>42858</c:v>
                </c:pt>
                <c:pt idx="2">
                  <c:v>42891</c:v>
                </c:pt>
                <c:pt idx="3">
                  <c:v>42919</c:v>
                </c:pt>
                <c:pt idx="4">
                  <c:v>42950</c:v>
                </c:pt>
                <c:pt idx="5">
                  <c:v>42982</c:v>
                </c:pt>
                <c:pt idx="6">
                  <c:v>43011</c:v>
                </c:pt>
                <c:pt idx="7">
                  <c:v>43042</c:v>
                </c:pt>
                <c:pt idx="8">
                  <c:v>43073</c:v>
                </c:pt>
                <c:pt idx="9">
                  <c:v>43103</c:v>
                </c:pt>
                <c:pt idx="10">
                  <c:v>43136</c:v>
                </c:pt>
                <c:pt idx="11">
                  <c:v>43164</c:v>
                </c:pt>
              </c:numCache>
            </c:numRef>
          </c:xVal>
          <c:yVal>
            <c:numRef>
              <c:f>'Delta 12M'!$M$4:$M$15</c:f>
              <c:numCache>
                <c:formatCode>0.0000%</c:formatCode>
                <c:ptCount val="12"/>
                <c:pt idx="0">
                  <c:v>2.4351788711613181E-3</c:v>
                </c:pt>
                <c:pt idx="1">
                  <c:v>2.5175909451915614E-3</c:v>
                </c:pt>
                <c:pt idx="2">
                  <c:v>2.6127838150499199E-3</c:v>
                </c:pt>
                <c:pt idx="3">
                  <c:v>2.6875338151398044E-3</c:v>
                </c:pt>
                <c:pt idx="4">
                  <c:v>2.7670742272071299E-3</c:v>
                </c:pt>
                <c:pt idx="5">
                  <c:v>2.8330569490842266E-3</c:v>
                </c:pt>
                <c:pt idx="6">
                  <c:v>2.8925668572206643E-3</c:v>
                </c:pt>
                <c:pt idx="7">
                  <c:v>2.9459628032393981E-3</c:v>
                </c:pt>
                <c:pt idx="8">
                  <c:v>2.992981443846101E-3</c:v>
                </c:pt>
                <c:pt idx="9">
                  <c:v>3.0295658819959295E-3</c:v>
                </c:pt>
                <c:pt idx="10">
                  <c:v>3.0621043399530041E-3</c:v>
                </c:pt>
                <c:pt idx="11">
                  <c:v>3.0900156841925938E-3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12M'!$V$3:$V$262</c:f>
              <c:numCache>
                <c:formatCode>ddd\,\ dd\-mmm\-yyyy</c:formatCode>
                <c:ptCount val="260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  <c:pt idx="24">
                  <c:v>42831</c:v>
                </c:pt>
                <c:pt idx="25">
                  <c:v>42832</c:v>
                </c:pt>
                <c:pt idx="26">
                  <c:v>42835</c:v>
                </c:pt>
                <c:pt idx="27">
                  <c:v>42836</c:v>
                </c:pt>
                <c:pt idx="28">
                  <c:v>42837</c:v>
                </c:pt>
                <c:pt idx="29">
                  <c:v>42838</c:v>
                </c:pt>
                <c:pt idx="30">
                  <c:v>42843</c:v>
                </c:pt>
                <c:pt idx="31">
                  <c:v>42844</c:v>
                </c:pt>
                <c:pt idx="32">
                  <c:v>42845</c:v>
                </c:pt>
                <c:pt idx="33">
                  <c:v>42846</c:v>
                </c:pt>
                <c:pt idx="34">
                  <c:v>42849</c:v>
                </c:pt>
                <c:pt idx="35">
                  <c:v>42850</c:v>
                </c:pt>
                <c:pt idx="36">
                  <c:v>42851</c:v>
                </c:pt>
                <c:pt idx="37">
                  <c:v>42852</c:v>
                </c:pt>
                <c:pt idx="38">
                  <c:v>42853</c:v>
                </c:pt>
                <c:pt idx="39">
                  <c:v>42857</c:v>
                </c:pt>
                <c:pt idx="40">
                  <c:v>42858</c:v>
                </c:pt>
                <c:pt idx="41">
                  <c:v>42859</c:v>
                </c:pt>
                <c:pt idx="42">
                  <c:v>42860</c:v>
                </c:pt>
                <c:pt idx="43">
                  <c:v>42863</c:v>
                </c:pt>
                <c:pt idx="44">
                  <c:v>42864</c:v>
                </c:pt>
                <c:pt idx="45">
                  <c:v>42865</c:v>
                </c:pt>
                <c:pt idx="46">
                  <c:v>42866</c:v>
                </c:pt>
                <c:pt idx="47">
                  <c:v>42867</c:v>
                </c:pt>
                <c:pt idx="48">
                  <c:v>42870</c:v>
                </c:pt>
                <c:pt idx="49">
                  <c:v>42871</c:v>
                </c:pt>
                <c:pt idx="50">
                  <c:v>42872</c:v>
                </c:pt>
                <c:pt idx="51">
                  <c:v>42873</c:v>
                </c:pt>
                <c:pt idx="52">
                  <c:v>42874</c:v>
                </c:pt>
                <c:pt idx="53">
                  <c:v>42877</c:v>
                </c:pt>
                <c:pt idx="54">
                  <c:v>42878</c:v>
                </c:pt>
                <c:pt idx="55">
                  <c:v>42879</c:v>
                </c:pt>
                <c:pt idx="56">
                  <c:v>42880</c:v>
                </c:pt>
                <c:pt idx="57">
                  <c:v>42881</c:v>
                </c:pt>
                <c:pt idx="58">
                  <c:v>42884</c:v>
                </c:pt>
                <c:pt idx="59">
                  <c:v>42885</c:v>
                </c:pt>
                <c:pt idx="60">
                  <c:v>42886</c:v>
                </c:pt>
                <c:pt idx="61">
                  <c:v>42887</c:v>
                </c:pt>
                <c:pt idx="62">
                  <c:v>42888</c:v>
                </c:pt>
                <c:pt idx="63">
                  <c:v>42891</c:v>
                </c:pt>
                <c:pt idx="64">
                  <c:v>42892</c:v>
                </c:pt>
                <c:pt idx="65">
                  <c:v>42893</c:v>
                </c:pt>
                <c:pt idx="66">
                  <c:v>42894</c:v>
                </c:pt>
                <c:pt idx="67">
                  <c:v>42895</c:v>
                </c:pt>
                <c:pt idx="68">
                  <c:v>42898</c:v>
                </c:pt>
                <c:pt idx="69">
                  <c:v>42899</c:v>
                </c:pt>
                <c:pt idx="70">
                  <c:v>42900</c:v>
                </c:pt>
                <c:pt idx="71">
                  <c:v>42901</c:v>
                </c:pt>
                <c:pt idx="72">
                  <c:v>42902</c:v>
                </c:pt>
                <c:pt idx="73">
                  <c:v>42905</c:v>
                </c:pt>
                <c:pt idx="74">
                  <c:v>42906</c:v>
                </c:pt>
                <c:pt idx="75">
                  <c:v>42907</c:v>
                </c:pt>
                <c:pt idx="76">
                  <c:v>42908</c:v>
                </c:pt>
                <c:pt idx="77">
                  <c:v>42909</c:v>
                </c:pt>
                <c:pt idx="78">
                  <c:v>42912</c:v>
                </c:pt>
                <c:pt idx="79">
                  <c:v>42913</c:v>
                </c:pt>
                <c:pt idx="80">
                  <c:v>42914</c:v>
                </c:pt>
                <c:pt idx="81">
                  <c:v>42915</c:v>
                </c:pt>
                <c:pt idx="82">
                  <c:v>42916</c:v>
                </c:pt>
                <c:pt idx="83">
                  <c:v>42919</c:v>
                </c:pt>
                <c:pt idx="84">
                  <c:v>42920</c:v>
                </c:pt>
                <c:pt idx="85">
                  <c:v>42921</c:v>
                </c:pt>
                <c:pt idx="86">
                  <c:v>42922</c:v>
                </c:pt>
                <c:pt idx="87">
                  <c:v>42923</c:v>
                </c:pt>
                <c:pt idx="88">
                  <c:v>42926</c:v>
                </c:pt>
                <c:pt idx="89">
                  <c:v>42927</c:v>
                </c:pt>
                <c:pt idx="90">
                  <c:v>42928</c:v>
                </c:pt>
                <c:pt idx="91">
                  <c:v>42929</c:v>
                </c:pt>
                <c:pt idx="92">
                  <c:v>42930</c:v>
                </c:pt>
                <c:pt idx="93">
                  <c:v>42933</c:v>
                </c:pt>
                <c:pt idx="94">
                  <c:v>42934</c:v>
                </c:pt>
                <c:pt idx="95">
                  <c:v>42935</c:v>
                </c:pt>
                <c:pt idx="96">
                  <c:v>42936</c:v>
                </c:pt>
                <c:pt idx="97">
                  <c:v>42937</c:v>
                </c:pt>
                <c:pt idx="98">
                  <c:v>42940</c:v>
                </c:pt>
                <c:pt idx="99">
                  <c:v>42941</c:v>
                </c:pt>
                <c:pt idx="100">
                  <c:v>42942</c:v>
                </c:pt>
                <c:pt idx="101">
                  <c:v>42943</c:v>
                </c:pt>
                <c:pt idx="102">
                  <c:v>42944</c:v>
                </c:pt>
                <c:pt idx="103">
                  <c:v>42947</c:v>
                </c:pt>
                <c:pt idx="104">
                  <c:v>42948</c:v>
                </c:pt>
                <c:pt idx="105">
                  <c:v>42949</c:v>
                </c:pt>
                <c:pt idx="106">
                  <c:v>42950</c:v>
                </c:pt>
                <c:pt idx="107">
                  <c:v>42951</c:v>
                </c:pt>
                <c:pt idx="108">
                  <c:v>42954</c:v>
                </c:pt>
                <c:pt idx="109">
                  <c:v>42955</c:v>
                </c:pt>
                <c:pt idx="110">
                  <c:v>42956</c:v>
                </c:pt>
                <c:pt idx="111">
                  <c:v>42957</c:v>
                </c:pt>
                <c:pt idx="112">
                  <c:v>42958</c:v>
                </c:pt>
                <c:pt idx="113">
                  <c:v>42961</c:v>
                </c:pt>
                <c:pt idx="114">
                  <c:v>42962</c:v>
                </c:pt>
                <c:pt idx="115">
                  <c:v>42963</c:v>
                </c:pt>
                <c:pt idx="116">
                  <c:v>42964</c:v>
                </c:pt>
                <c:pt idx="117">
                  <c:v>42965</c:v>
                </c:pt>
                <c:pt idx="118">
                  <c:v>42968</c:v>
                </c:pt>
                <c:pt idx="119">
                  <c:v>42969</c:v>
                </c:pt>
                <c:pt idx="120">
                  <c:v>42970</c:v>
                </c:pt>
                <c:pt idx="121">
                  <c:v>42971</c:v>
                </c:pt>
                <c:pt idx="122">
                  <c:v>42972</c:v>
                </c:pt>
                <c:pt idx="123">
                  <c:v>42975</c:v>
                </c:pt>
                <c:pt idx="124">
                  <c:v>42976</c:v>
                </c:pt>
                <c:pt idx="125">
                  <c:v>42977</c:v>
                </c:pt>
                <c:pt idx="126">
                  <c:v>42978</c:v>
                </c:pt>
                <c:pt idx="127">
                  <c:v>42979</c:v>
                </c:pt>
                <c:pt idx="128">
                  <c:v>42982</c:v>
                </c:pt>
                <c:pt idx="129">
                  <c:v>42983</c:v>
                </c:pt>
                <c:pt idx="130">
                  <c:v>42984</c:v>
                </c:pt>
                <c:pt idx="131">
                  <c:v>42985</c:v>
                </c:pt>
                <c:pt idx="132">
                  <c:v>42986</c:v>
                </c:pt>
                <c:pt idx="133">
                  <c:v>42989</c:v>
                </c:pt>
                <c:pt idx="134">
                  <c:v>42990</c:v>
                </c:pt>
                <c:pt idx="135">
                  <c:v>42991</c:v>
                </c:pt>
                <c:pt idx="136">
                  <c:v>42992</c:v>
                </c:pt>
                <c:pt idx="137">
                  <c:v>42993</c:v>
                </c:pt>
                <c:pt idx="138">
                  <c:v>42996</c:v>
                </c:pt>
                <c:pt idx="139">
                  <c:v>42997</c:v>
                </c:pt>
                <c:pt idx="140">
                  <c:v>42998</c:v>
                </c:pt>
                <c:pt idx="141">
                  <c:v>42999</c:v>
                </c:pt>
                <c:pt idx="142">
                  <c:v>43000</c:v>
                </c:pt>
                <c:pt idx="143">
                  <c:v>43003</c:v>
                </c:pt>
                <c:pt idx="144">
                  <c:v>43004</c:v>
                </c:pt>
                <c:pt idx="145">
                  <c:v>43005</c:v>
                </c:pt>
                <c:pt idx="146">
                  <c:v>43006</c:v>
                </c:pt>
                <c:pt idx="147">
                  <c:v>43007</c:v>
                </c:pt>
                <c:pt idx="148">
                  <c:v>43010</c:v>
                </c:pt>
                <c:pt idx="149">
                  <c:v>43011</c:v>
                </c:pt>
                <c:pt idx="150">
                  <c:v>43012</c:v>
                </c:pt>
                <c:pt idx="151">
                  <c:v>43013</c:v>
                </c:pt>
                <c:pt idx="152">
                  <c:v>43014</c:v>
                </c:pt>
                <c:pt idx="153">
                  <c:v>43017</c:v>
                </c:pt>
                <c:pt idx="154">
                  <c:v>43018</c:v>
                </c:pt>
                <c:pt idx="155">
                  <c:v>43019</c:v>
                </c:pt>
                <c:pt idx="156">
                  <c:v>43020</c:v>
                </c:pt>
                <c:pt idx="157">
                  <c:v>43021</c:v>
                </c:pt>
                <c:pt idx="158">
                  <c:v>43024</c:v>
                </c:pt>
                <c:pt idx="159">
                  <c:v>43025</c:v>
                </c:pt>
                <c:pt idx="160">
                  <c:v>43026</c:v>
                </c:pt>
                <c:pt idx="161">
                  <c:v>43027</c:v>
                </c:pt>
                <c:pt idx="162">
                  <c:v>43028</c:v>
                </c:pt>
                <c:pt idx="163">
                  <c:v>43031</c:v>
                </c:pt>
                <c:pt idx="164">
                  <c:v>43032</c:v>
                </c:pt>
                <c:pt idx="165">
                  <c:v>43033</c:v>
                </c:pt>
                <c:pt idx="166">
                  <c:v>43034</c:v>
                </c:pt>
                <c:pt idx="167">
                  <c:v>43035</c:v>
                </c:pt>
                <c:pt idx="168">
                  <c:v>43038</c:v>
                </c:pt>
                <c:pt idx="169">
                  <c:v>43039</c:v>
                </c:pt>
                <c:pt idx="170">
                  <c:v>43040</c:v>
                </c:pt>
                <c:pt idx="171">
                  <c:v>43041</c:v>
                </c:pt>
                <c:pt idx="172">
                  <c:v>43042</c:v>
                </c:pt>
                <c:pt idx="173">
                  <c:v>43045</c:v>
                </c:pt>
                <c:pt idx="174">
                  <c:v>43046</c:v>
                </c:pt>
                <c:pt idx="175">
                  <c:v>43047</c:v>
                </c:pt>
                <c:pt idx="176">
                  <c:v>43048</c:v>
                </c:pt>
                <c:pt idx="177">
                  <c:v>43049</c:v>
                </c:pt>
                <c:pt idx="178">
                  <c:v>43052</c:v>
                </c:pt>
                <c:pt idx="179">
                  <c:v>43053</c:v>
                </c:pt>
                <c:pt idx="180">
                  <c:v>43054</c:v>
                </c:pt>
                <c:pt idx="181">
                  <c:v>43055</c:v>
                </c:pt>
                <c:pt idx="182">
                  <c:v>43056</c:v>
                </c:pt>
                <c:pt idx="183">
                  <c:v>43059</c:v>
                </c:pt>
                <c:pt idx="184">
                  <c:v>43060</c:v>
                </c:pt>
                <c:pt idx="185">
                  <c:v>43061</c:v>
                </c:pt>
                <c:pt idx="186">
                  <c:v>43062</c:v>
                </c:pt>
                <c:pt idx="187">
                  <c:v>43063</c:v>
                </c:pt>
                <c:pt idx="188">
                  <c:v>43066</c:v>
                </c:pt>
                <c:pt idx="189">
                  <c:v>43067</c:v>
                </c:pt>
                <c:pt idx="190">
                  <c:v>43068</c:v>
                </c:pt>
                <c:pt idx="191">
                  <c:v>43069</c:v>
                </c:pt>
                <c:pt idx="192">
                  <c:v>43070</c:v>
                </c:pt>
                <c:pt idx="193">
                  <c:v>43073</c:v>
                </c:pt>
                <c:pt idx="194">
                  <c:v>43074</c:v>
                </c:pt>
                <c:pt idx="195">
                  <c:v>43075</c:v>
                </c:pt>
                <c:pt idx="196">
                  <c:v>43076</c:v>
                </c:pt>
                <c:pt idx="197">
                  <c:v>43077</c:v>
                </c:pt>
                <c:pt idx="198">
                  <c:v>43080</c:v>
                </c:pt>
                <c:pt idx="199">
                  <c:v>43081</c:v>
                </c:pt>
                <c:pt idx="200">
                  <c:v>43082</c:v>
                </c:pt>
                <c:pt idx="201">
                  <c:v>43083</c:v>
                </c:pt>
                <c:pt idx="202">
                  <c:v>43084</c:v>
                </c:pt>
                <c:pt idx="203">
                  <c:v>43087</c:v>
                </c:pt>
                <c:pt idx="204">
                  <c:v>43088</c:v>
                </c:pt>
                <c:pt idx="205">
                  <c:v>43089</c:v>
                </c:pt>
                <c:pt idx="206">
                  <c:v>43090</c:v>
                </c:pt>
                <c:pt idx="207">
                  <c:v>43091</c:v>
                </c:pt>
                <c:pt idx="208">
                  <c:v>43096</c:v>
                </c:pt>
                <c:pt idx="209">
                  <c:v>43097</c:v>
                </c:pt>
                <c:pt idx="210">
                  <c:v>43098</c:v>
                </c:pt>
                <c:pt idx="211">
                  <c:v>43102</c:v>
                </c:pt>
                <c:pt idx="212">
                  <c:v>43103</c:v>
                </c:pt>
                <c:pt idx="213">
                  <c:v>43104</c:v>
                </c:pt>
                <c:pt idx="214">
                  <c:v>43105</c:v>
                </c:pt>
                <c:pt idx="215">
                  <c:v>43108</c:v>
                </c:pt>
                <c:pt idx="216">
                  <c:v>43109</c:v>
                </c:pt>
                <c:pt idx="217">
                  <c:v>43110</c:v>
                </c:pt>
                <c:pt idx="218">
                  <c:v>43111</c:v>
                </c:pt>
                <c:pt idx="219">
                  <c:v>43112</c:v>
                </c:pt>
                <c:pt idx="220">
                  <c:v>43115</c:v>
                </c:pt>
                <c:pt idx="221">
                  <c:v>43116</c:v>
                </c:pt>
                <c:pt idx="222">
                  <c:v>43117</c:v>
                </c:pt>
                <c:pt idx="223">
                  <c:v>43118</c:v>
                </c:pt>
                <c:pt idx="224">
                  <c:v>43119</c:v>
                </c:pt>
                <c:pt idx="225">
                  <c:v>43122</c:v>
                </c:pt>
                <c:pt idx="226">
                  <c:v>43123</c:v>
                </c:pt>
                <c:pt idx="227">
                  <c:v>43124</c:v>
                </c:pt>
                <c:pt idx="228">
                  <c:v>43125</c:v>
                </c:pt>
                <c:pt idx="229">
                  <c:v>43126</c:v>
                </c:pt>
                <c:pt idx="230">
                  <c:v>43129</c:v>
                </c:pt>
                <c:pt idx="231">
                  <c:v>43130</c:v>
                </c:pt>
                <c:pt idx="232">
                  <c:v>43131</c:v>
                </c:pt>
                <c:pt idx="233">
                  <c:v>43132</c:v>
                </c:pt>
                <c:pt idx="234">
                  <c:v>43133</c:v>
                </c:pt>
                <c:pt idx="235">
                  <c:v>43136</c:v>
                </c:pt>
                <c:pt idx="236">
                  <c:v>43137</c:v>
                </c:pt>
                <c:pt idx="237">
                  <c:v>43138</c:v>
                </c:pt>
                <c:pt idx="238">
                  <c:v>43139</c:v>
                </c:pt>
                <c:pt idx="239">
                  <c:v>43140</c:v>
                </c:pt>
                <c:pt idx="240">
                  <c:v>43143</c:v>
                </c:pt>
                <c:pt idx="241">
                  <c:v>43144</c:v>
                </c:pt>
                <c:pt idx="242">
                  <c:v>43145</c:v>
                </c:pt>
                <c:pt idx="243">
                  <c:v>43146</c:v>
                </c:pt>
                <c:pt idx="244">
                  <c:v>43147</c:v>
                </c:pt>
                <c:pt idx="245">
                  <c:v>43150</c:v>
                </c:pt>
                <c:pt idx="246">
                  <c:v>43151</c:v>
                </c:pt>
                <c:pt idx="247">
                  <c:v>43152</c:v>
                </c:pt>
                <c:pt idx="248">
                  <c:v>43153</c:v>
                </c:pt>
                <c:pt idx="249">
                  <c:v>43154</c:v>
                </c:pt>
                <c:pt idx="250">
                  <c:v>43157</c:v>
                </c:pt>
                <c:pt idx="251">
                  <c:v>43158</c:v>
                </c:pt>
                <c:pt idx="252">
                  <c:v>43159</c:v>
                </c:pt>
                <c:pt idx="253">
                  <c:v>43160</c:v>
                </c:pt>
                <c:pt idx="254">
                  <c:v>43161</c:v>
                </c:pt>
                <c:pt idx="255">
                  <c:v>43164</c:v>
                </c:pt>
                <c:pt idx="256">
                  <c:v>43165</c:v>
                </c:pt>
                <c:pt idx="257">
                  <c:v>43166</c:v>
                </c:pt>
                <c:pt idx="258">
                  <c:v>43167</c:v>
                </c:pt>
                <c:pt idx="259">
                  <c:v>43168</c:v>
                </c:pt>
              </c:numCache>
            </c:numRef>
          </c:xVal>
          <c:yVal>
            <c:numRef>
              <c:f>'Delta 12M'!$X$3:$X$262</c:f>
              <c:numCache>
                <c:formatCode>0.0000%</c:formatCode>
                <c:ptCount val="260"/>
                <c:pt idx="0">
                  <c:v>2.3499105291959798E-3</c:v>
                </c:pt>
                <c:pt idx="1">
                  <c:v>2.3584484963224692E-3</c:v>
                </c:pt>
                <c:pt idx="2">
                  <c:v>2.3612746205378425E-3</c:v>
                </c:pt>
                <c:pt idx="3">
                  <c:v>2.3640913898057164E-3</c:v>
                </c:pt>
                <c:pt idx="4">
                  <c:v>2.3668991506056274E-3</c:v>
                </c:pt>
                <c:pt idx="5">
                  <c:v>2.3696982494171128E-3</c:v>
                </c:pt>
                <c:pt idx="6">
                  <c:v>2.3780470387163842E-3</c:v>
                </c:pt>
                <c:pt idx="7">
                  <c:v>2.3808149543695372E-3</c:v>
                </c:pt>
                <c:pt idx="8">
                  <c:v>2.3835759404319491E-3</c:v>
                </c:pt>
                <c:pt idx="9">
                  <c:v>2.3863303433831577E-3</c:v>
                </c:pt>
                <c:pt idx="10">
                  <c:v>2.3890785097026995E-3</c:v>
                </c:pt>
                <c:pt idx="11">
                  <c:v>2.3972890536666969E-3</c:v>
                </c:pt>
                <c:pt idx="12">
                  <c:v>2.4000157382549434E-3</c:v>
                </c:pt>
                <c:pt idx="13">
                  <c:v>2.4027379186092081E-3</c:v>
                </c:pt>
                <c:pt idx="14">
                  <c:v>2.4054559412090286E-3</c:v>
                </c:pt>
                <c:pt idx="15">
                  <c:v>2.4081701525339419E-3</c:v>
                </c:pt>
                <c:pt idx="16">
                  <c:v>2.416293383654608E-3</c:v>
                </c:pt>
                <c:pt idx="17">
                  <c:v>2.4189958146752623E-3</c:v>
                </c:pt>
                <c:pt idx="18">
                  <c:v>2.4216961668186944E-3</c:v>
                </c:pt>
                <c:pt idx="19">
                  <c:v>2.424394786564441E-3</c:v>
                </c:pt>
                <c:pt idx="20">
                  <c:v>2.4270920203920401E-3</c:v>
                </c:pt>
                <c:pt idx="21">
                  <c:v>2.4351788711613181E-3</c:v>
                </c:pt>
                <c:pt idx="22">
                  <c:v>2.4378740261116949E-3</c:v>
                </c:pt>
                <c:pt idx="23">
                  <c:v>2.4405695275416086E-3</c:v>
                </c:pt>
                <c:pt idx="24">
                  <c:v>2.4432657219305961E-3</c:v>
                </c:pt>
                <c:pt idx="25">
                  <c:v>2.4459629557581951E-3</c:v>
                </c:pt>
                <c:pt idx="26">
                  <c:v>2.4540643586680282E-3</c:v>
                </c:pt>
                <c:pt idx="27">
                  <c:v>2.4567692150454417E-3</c:v>
                </c:pt>
                <c:pt idx="28">
                  <c:v>2.4594768432591512E-3</c:v>
                </c:pt>
                <c:pt idx="29">
                  <c:v>2.4621875897886942E-3</c:v>
                </c:pt>
                <c:pt idx="30">
                  <c:v>2.4758002239577037E-3</c:v>
                </c:pt>
                <c:pt idx="31">
                  <c:v>2.4785369564525239E-3</c:v>
                </c:pt>
                <c:pt idx="32">
                  <c:v>2.4812792326199366E-3</c:v>
                </c:pt>
                <c:pt idx="33">
                  <c:v>2.4840273989394784E-3</c:v>
                </c:pt>
                <c:pt idx="34">
                  <c:v>2.492310703606252E-3</c:v>
                </c:pt>
                <c:pt idx="35">
                  <c:v>2.4950858953296821E-3</c:v>
                </c:pt>
                <c:pt idx="36">
                  <c:v>2.4978687096029271E-3</c:v>
                </c:pt>
                <c:pt idx="37">
                  <c:v>2.5006594929055234E-3</c:v>
                </c:pt>
                <c:pt idx="38">
                  <c:v>2.5034585917170088E-3</c:v>
                </c:pt>
                <c:pt idx="39">
                  <c:v>2.5147450716425774E-3</c:v>
                </c:pt>
                <c:pt idx="40">
                  <c:v>2.5175909451915614E-3</c:v>
                </c:pt>
                <c:pt idx="41">
                  <c:v>2.5204470287611999E-3</c:v>
                </c:pt>
                <c:pt idx="42">
                  <c:v>2.523312747003746E-3</c:v>
                </c:pt>
                <c:pt idx="43">
                  <c:v>2.5319601126368033E-3</c:v>
                </c:pt>
                <c:pt idx="44">
                  <c:v>2.5348567724389525E-3</c:v>
                </c:pt>
                <c:pt idx="45">
                  <c:v>2.5377592683479945E-3</c:v>
                </c:pt>
                <c:pt idx="46">
                  <c:v>2.5406668406507274E-3</c:v>
                </c:pt>
                <c:pt idx="47">
                  <c:v>2.5435787296339478E-3</c:v>
                </c:pt>
                <c:pt idx="48">
                  <c:v>2.5523326995345046E-3</c:v>
                </c:pt>
                <c:pt idx="49">
                  <c:v>2.5552542581076458E-3</c:v>
                </c:pt>
                <c:pt idx="50">
                  <c:v>2.5581763347952602E-3</c:v>
                </c:pt>
                <c:pt idx="51">
                  <c:v>2.5610981698841444E-3</c:v>
                </c:pt>
                <c:pt idx="52">
                  <c:v>2.564019003661096E-3</c:v>
                </c:pt>
                <c:pt idx="53">
                  <c:v>2.5727678999883244E-3</c:v>
                </c:pt>
                <c:pt idx="54">
                  <c:v>2.5756771313855151E-3</c:v>
                </c:pt>
                <c:pt idx="55">
                  <c:v>2.5785815629047588E-3</c:v>
                </c:pt>
                <c:pt idx="56">
                  <c:v>2.5814804348328517E-3</c:v>
                </c:pt>
                <c:pt idx="57">
                  <c:v>2.5843729874565915E-3</c:v>
                </c:pt>
                <c:pt idx="58">
                  <c:v>2.5930051323696628E-3</c:v>
                </c:pt>
                <c:pt idx="59">
                  <c:v>2.5958648106439602E-3</c:v>
                </c:pt>
                <c:pt idx="60">
                  <c:v>2.5987143710478901E-3</c:v>
                </c:pt>
                <c:pt idx="61">
                  <c:v>2.6015530538682492E-3</c:v>
                </c:pt>
                <c:pt idx="62">
                  <c:v>2.6043800993918345E-3</c:v>
                </c:pt>
                <c:pt idx="63">
                  <c:v>2.6127838150499199E-3</c:v>
                </c:pt>
                <c:pt idx="64">
                  <c:v>2.6155569617215351E-3</c:v>
                </c:pt>
                <c:pt idx="65">
                  <c:v>2.6183161573332821E-3</c:v>
                </c:pt>
                <c:pt idx="66">
                  <c:v>2.6210621269748794E-3</c:v>
                </c:pt>
                <c:pt idx="67">
                  <c:v>2.6237955957360438E-3</c:v>
                </c:pt>
                <c:pt idx="68">
                  <c:v>2.6319282476341163E-3</c:v>
                </c:pt>
                <c:pt idx="69">
                  <c:v>2.6346189637707256E-3</c:v>
                </c:pt>
                <c:pt idx="70">
                  <c:v>2.6373008044754897E-3</c:v>
                </c:pt>
                <c:pt idx="71">
                  <c:v>2.6399744948381264E-3</c:v>
                </c:pt>
                <c:pt idx="72">
                  <c:v>2.6426407599483533E-3</c:v>
                </c:pt>
                <c:pt idx="73">
                  <c:v>2.6506022546617502E-3</c:v>
                </c:pt>
                <c:pt idx="74">
                  <c:v>2.6532460696595131E-3</c:v>
                </c:pt>
                <c:pt idx="75">
                  <c:v>2.6558860848534542E-3</c:v>
                </c:pt>
                <c:pt idx="76">
                  <c:v>2.6585230253332905E-3</c:v>
                </c:pt>
                <c:pt idx="77">
                  <c:v>2.6611576161887393E-3</c:v>
                </c:pt>
                <c:pt idx="78">
                  <c:v>2.6690545419059404E-3</c:v>
                </c:pt>
                <c:pt idx="79">
                  <c:v>2.6716869851610169E-3</c:v>
                </c:pt>
                <c:pt idx="80">
                  <c:v>2.6743207042402941E-3</c:v>
                </c:pt>
                <c:pt idx="81">
                  <c:v>2.6769564242334894E-3</c:v>
                </c:pt>
                <c:pt idx="82">
                  <c:v>2.6795948702303205E-3</c:v>
                </c:pt>
                <c:pt idx="83">
                  <c:v>2.6875338151398044E-3</c:v>
                </c:pt>
                <c:pt idx="84">
                  <c:v>2.6901901130400746E-3</c:v>
                </c:pt>
                <c:pt idx="85">
                  <c:v>2.6928509443428896E-3</c:v>
                </c:pt>
                <c:pt idx="86">
                  <c:v>2.6955152160882886E-3</c:v>
                </c:pt>
                <c:pt idx="87">
                  <c:v>2.6981818353163109E-3</c:v>
                </c:pt>
                <c:pt idx="88">
                  <c:v>2.7061848482965068E-3</c:v>
                </c:pt>
                <c:pt idx="89">
                  <c:v>2.708849927855412E-3</c:v>
                </c:pt>
                <c:pt idx="90">
                  <c:v>2.7115118900971355E-3</c:v>
                </c:pt>
                <c:pt idx="91">
                  <c:v>2.7141696420617165E-3</c:v>
                </c:pt>
                <c:pt idx="92">
                  <c:v>2.7168220907891937E-3</c:v>
                </c:pt>
                <c:pt idx="93">
                  <c:v>2.7247366879493951E-3</c:v>
                </c:pt>
                <c:pt idx="94">
                  <c:v>2.7273569941288489E-3</c:v>
                </c:pt>
                <c:pt idx="95">
                  <c:v>2.7299665322713944E-3</c:v>
                </c:pt>
                <c:pt idx="96">
                  <c:v>2.7325642094170703E-3</c:v>
                </c:pt>
                <c:pt idx="97">
                  <c:v>2.7351489326059163E-3</c:v>
                </c:pt>
                <c:pt idx="98">
                  <c:v>2.7428144488318628E-3</c:v>
                </c:pt>
                <c:pt idx="99">
                  <c:v>2.7453364265937787E-3</c:v>
                </c:pt>
                <c:pt idx="100">
                  <c:v>2.7478399855990591E-3</c:v>
                </c:pt>
                <c:pt idx="101">
                  <c:v>2.7503240328877435E-3</c:v>
                </c:pt>
                <c:pt idx="102">
                  <c:v>2.7527874754998713E-3</c:v>
                </c:pt>
                <c:pt idx="103">
                  <c:v>2.7600432456773038E-3</c:v>
                </c:pt>
                <c:pt idx="104">
                  <c:v>2.7624133399835943E-3</c:v>
                </c:pt>
                <c:pt idx="105">
                  <c:v>2.7647573648135232E-3</c:v>
                </c:pt>
                <c:pt idx="106">
                  <c:v>2.7670742272071299E-3</c:v>
                </c:pt>
                <c:pt idx="107">
                  <c:v>2.7693632225456411E-3</c:v>
                </c:pt>
                <c:pt idx="108">
                  <c:v>2.7760730470551779E-3</c:v>
                </c:pt>
                <c:pt idx="109">
                  <c:v>2.7782613916802583E-3</c:v>
                </c:pt>
                <c:pt idx="110">
                  <c:v>2.7804276663449074E-3</c:v>
                </c:pt>
                <c:pt idx="111">
                  <c:v>2.7825731081362946E-3</c:v>
                </c:pt>
                <c:pt idx="112">
                  <c:v>2.7846989541415908E-3</c:v>
                </c:pt>
                <c:pt idx="113">
                  <c:v>2.7909712883126356E-3</c:v>
                </c:pt>
                <c:pt idx="114">
                  <c:v>2.7930311220452702E-3</c:v>
                </c:pt>
                <c:pt idx="115">
                  <c:v>2.7950775454276657E-3</c:v>
                </c:pt>
                <c:pt idx="116">
                  <c:v>2.7971117955469917E-3</c:v>
                </c:pt>
                <c:pt idx="117">
                  <c:v>2.7991351094904192E-3</c:v>
                </c:pt>
                <c:pt idx="118">
                  <c:v>2.8051518051370123E-3</c:v>
                </c:pt>
                <c:pt idx="119">
                  <c:v>2.8071437452485476E-3</c:v>
                </c:pt>
                <c:pt idx="120">
                  <c:v>2.8091309346200363E-3</c:v>
                </c:pt>
                <c:pt idx="121">
                  <c:v>2.8111146103386477E-3</c:v>
                </c:pt>
                <c:pt idx="122">
                  <c:v>2.8130960094915531E-3</c:v>
                </c:pt>
                <c:pt idx="123">
                  <c:v>2.8190389184277339E-3</c:v>
                </c:pt>
                <c:pt idx="124">
                  <c:v>2.8210235821895168E-3</c:v>
                </c:pt>
                <c:pt idx="125">
                  <c:v>2.8230121548214449E-3</c:v>
                </c:pt>
                <c:pt idx="126">
                  <c:v>2.8250058734106886E-3</c:v>
                </c:pt>
                <c:pt idx="127">
                  <c:v>2.8270059750444185E-3</c:v>
                </c:pt>
                <c:pt idx="128">
                  <c:v>2.8330569490842266E-3</c:v>
                </c:pt>
                <c:pt idx="129">
                  <c:v>2.8350945759190974E-3</c:v>
                </c:pt>
                <c:pt idx="130">
                  <c:v>2.8371425041432679E-3</c:v>
                </c:pt>
                <c:pt idx="131">
                  <c:v>2.8391997037528717E-3</c:v>
                </c:pt>
                <c:pt idx="132">
                  <c:v>2.8412651447440409E-3</c:v>
                </c:pt>
                <c:pt idx="133">
                  <c:v>2.8475006159682723E-3</c:v>
                </c:pt>
                <c:pt idx="134">
                  <c:v>2.8495887224470329E-3</c:v>
                </c:pt>
                <c:pt idx="135">
                  <c:v>2.8516799202880235E-3</c:v>
                </c:pt>
                <c:pt idx="136">
                  <c:v>2.8537731794873772E-3</c:v>
                </c:pt>
                <c:pt idx="137">
                  <c:v>2.8558674700412258E-3</c:v>
                </c:pt>
                <c:pt idx="138">
                  <c:v>2.8621462297910741E-3</c:v>
                </c:pt>
                <c:pt idx="139">
                  <c:v>2.8642343457242333E-3</c:v>
                </c:pt>
                <c:pt idx="140">
                  <c:v>2.8663183429925524E-3</c:v>
                </c:pt>
                <c:pt idx="141">
                  <c:v>2.868397191592164E-3</c:v>
                </c:pt>
                <c:pt idx="142">
                  <c:v>2.8704698615192007E-3</c:v>
                </c:pt>
                <c:pt idx="143">
                  <c:v>2.8766404992261914E-3</c:v>
                </c:pt>
                <c:pt idx="144">
                  <c:v>2.8786781544242576E-3</c:v>
                </c:pt>
                <c:pt idx="145">
                  <c:v>2.8807044809304135E-3</c:v>
                </c:pt>
                <c:pt idx="146">
                  <c:v>2.8827184487407913E-3</c:v>
                </c:pt>
                <c:pt idx="147">
                  <c:v>2.8847190278515245E-3</c:v>
                </c:pt>
                <c:pt idx="148">
                  <c:v>2.8906301329471827E-3</c:v>
                </c:pt>
                <c:pt idx="149">
                  <c:v>2.8925668572206643E-3</c:v>
                </c:pt>
                <c:pt idx="150">
                  <c:v>2.8944852999507327E-3</c:v>
                </c:pt>
                <c:pt idx="151">
                  <c:v>2.8963857170113596E-3</c:v>
                </c:pt>
                <c:pt idx="152">
                  <c:v>2.8982686214520832E-3</c:v>
                </c:pt>
                <c:pt idx="153">
                  <c:v>2.9038173895502236E-3</c:v>
                </c:pt>
                <c:pt idx="154">
                  <c:v>2.9056353740067233E-3</c:v>
                </c:pt>
                <c:pt idx="155">
                  <c:v>2.9074384110910141E-3</c:v>
                </c:pt>
                <c:pt idx="156">
                  <c:v>2.9092270138526347E-3</c:v>
                </c:pt>
                <c:pt idx="157">
                  <c:v>2.9110016953411244E-3</c:v>
                </c:pt>
                <c:pt idx="158">
                  <c:v>2.9162473426631945E-3</c:v>
                </c:pt>
                <c:pt idx="159">
                  <c:v>2.9179714695545477E-3</c:v>
                </c:pt>
                <c:pt idx="160">
                  <c:v>2.919684240420464E-3</c:v>
                </c:pt>
                <c:pt idx="161">
                  <c:v>2.9213861683104821E-3</c:v>
                </c:pt>
                <c:pt idx="162">
                  <c:v>2.9230777662741414E-3</c:v>
                </c:pt>
                <c:pt idx="163">
                  <c:v>2.928095711102351E-3</c:v>
                </c:pt>
                <c:pt idx="164">
                  <c:v>2.9297511198559615E-3</c:v>
                </c:pt>
                <c:pt idx="165">
                  <c:v>2.9313987639309068E-3</c:v>
                </c:pt>
                <c:pt idx="166">
                  <c:v>2.9330391563767259E-3</c:v>
                </c:pt>
                <c:pt idx="167">
                  <c:v>2.9346728102429579E-3</c:v>
                </c:pt>
                <c:pt idx="168">
                  <c:v>2.9395384708595178E-3</c:v>
                </c:pt>
                <c:pt idx="169">
                  <c:v>2.9411503009027888E-3</c:v>
                </c:pt>
                <c:pt idx="170">
                  <c:v>2.9427579576141666E-3</c:v>
                </c:pt>
                <c:pt idx="171">
                  <c:v>2.9443619540431899E-3</c:v>
                </c:pt>
                <c:pt idx="172">
                  <c:v>2.9459628032393981E-3</c:v>
                </c:pt>
                <c:pt idx="173">
                  <c:v>2.9507481123740814E-3</c:v>
                </c:pt>
                <c:pt idx="174">
                  <c:v>2.9523367266366322E-3</c:v>
                </c:pt>
                <c:pt idx="175">
                  <c:v>2.9539216606452295E-3</c:v>
                </c:pt>
                <c:pt idx="176">
                  <c:v>2.9555026528822028E-3</c:v>
                </c:pt>
                <c:pt idx="177">
                  <c:v>2.9570794418298839E-3</c:v>
                </c:pt>
                <c:pt idx="178">
                  <c:v>2.9617819737604769E-3</c:v>
                </c:pt>
                <c:pt idx="179">
                  <c:v>2.9633393343742936E-3</c:v>
                </c:pt>
                <c:pt idx="180">
                  <c:v>2.9648911841104707E-3</c:v>
                </c:pt>
                <c:pt idx="181">
                  <c:v>2.966437261451339E-3</c:v>
                </c:pt>
                <c:pt idx="182">
                  <c:v>2.9679773048792292E-3</c:v>
                </c:pt>
                <c:pt idx="183">
                  <c:v>2.9725586165083376E-3</c:v>
                </c:pt>
                <c:pt idx="184">
                  <c:v>2.9740719091076217E-3</c:v>
                </c:pt>
                <c:pt idx="185">
                  <c:v>2.9755778602055805E-3</c:v>
                </c:pt>
                <c:pt idx="186">
                  <c:v>2.9770762082845454E-3</c:v>
                </c:pt>
                <c:pt idx="187">
                  <c:v>2.9785666918268464E-3</c:v>
                </c:pt>
                <c:pt idx="188">
                  <c:v>2.9829883400570747E-3</c:v>
                </c:pt>
                <c:pt idx="189">
                  <c:v>2.9844447502760277E-3</c:v>
                </c:pt>
                <c:pt idx="190">
                  <c:v>2.9858919883699706E-3</c:v>
                </c:pt>
                <c:pt idx="191">
                  <c:v>2.9873297928212335E-3</c:v>
                </c:pt>
                <c:pt idx="192">
                  <c:v>2.9887579021121474E-3</c:v>
                </c:pt>
                <c:pt idx="193">
                  <c:v>2.992981443846101E-3</c:v>
                </c:pt>
                <c:pt idx="194">
                  <c:v>2.9943682205777872E-3</c:v>
                </c:pt>
                <c:pt idx="195">
                  <c:v>2.9957443741139532E-3</c:v>
                </c:pt>
                <c:pt idx="196">
                  <c:v>2.9971100224901038E-3</c:v>
                </c:pt>
                <c:pt idx="197">
                  <c:v>2.9984652837417454E-3</c:v>
                </c:pt>
                <c:pt idx="198">
                  <c:v>3.0024699251046737E-3</c:v>
                </c:pt>
                <c:pt idx="199">
                  <c:v>3.0037848182133363E-3</c:v>
                </c:pt>
                <c:pt idx="200">
                  <c:v>3.0050899143750191E-3</c:v>
                </c:pt>
                <c:pt idx="201">
                  <c:v>3.0063853316252276E-3</c:v>
                </c:pt>
                <c:pt idx="202">
                  <c:v>3.0076711879994671E-3</c:v>
                </c:pt>
                <c:pt idx="203">
                  <c:v>3.0114725722214315E-3</c:v>
                </c:pt>
                <c:pt idx="204">
                  <c:v>3.0127213654468545E-3</c:v>
                </c:pt>
                <c:pt idx="205">
                  <c:v>3.0139611879738378E-3</c:v>
                </c:pt>
                <c:pt idx="206">
                  <c:v>3.0151921578378867E-3</c:v>
                </c:pt>
                <c:pt idx="207">
                  <c:v>3.0164143930745081E-3</c:v>
                </c:pt>
                <c:pt idx="208">
                  <c:v>3.0223986810888931E-3</c:v>
                </c:pt>
                <c:pt idx="209">
                  <c:v>3.023570987306567E-3</c:v>
                </c:pt>
                <c:pt idx="210">
                  <c:v>3.0247353851453529E-3</c:v>
                </c:pt>
                <c:pt idx="211">
                  <c:v>3.0293162534217361E-3</c:v>
                </c:pt>
                <c:pt idx="212">
                  <c:v>3.0304428798986704E-3</c:v>
                </c:pt>
                <c:pt idx="213">
                  <c:v>3.0315623062097518E-3</c:v>
                </c:pt>
                <c:pt idx="214">
                  <c:v>3.0326746503904862E-3</c:v>
                </c:pt>
                <c:pt idx="215">
                  <c:v>3.0359703705056646E-3</c:v>
                </c:pt>
                <c:pt idx="216">
                  <c:v>3.0370555665200681E-3</c:v>
                </c:pt>
                <c:pt idx="217">
                  <c:v>3.0381342705816539E-3</c:v>
                </c:pt>
                <c:pt idx="218">
                  <c:v>3.0392066007259269E-3</c:v>
                </c:pt>
                <c:pt idx="219">
                  <c:v>3.040272674988393E-3</c:v>
                </c:pt>
                <c:pt idx="220">
                  <c:v>3.0434345428400102E-3</c:v>
                </c:pt>
                <c:pt idx="221">
                  <c:v>3.0444767739303078E-3</c:v>
                </c:pt>
                <c:pt idx="222">
                  <c:v>3.0455133393163278E-3</c:v>
                </c:pt>
                <c:pt idx="223">
                  <c:v>3.0465443570335759E-3</c:v>
                </c:pt>
                <c:pt idx="224">
                  <c:v>3.0475699451175575E-3</c:v>
                </c:pt>
                <c:pt idx="225">
                  <c:v>3.0506153119249642E-3</c:v>
                </c:pt>
                <c:pt idx="226">
                  <c:v>3.051620361830939E-3</c:v>
                </c:pt>
                <c:pt idx="227">
                  <c:v>3.0526205722811771E-3</c:v>
                </c:pt>
                <c:pt idx="228">
                  <c:v>3.0536160613111834E-3</c:v>
                </c:pt>
                <c:pt idx="229">
                  <c:v>3.0546069469564643E-3</c:v>
                </c:pt>
                <c:pt idx="230">
                  <c:v>3.0575531639390106E-3</c:v>
                </c:pt>
                <c:pt idx="231">
                  <c:v>3.0585268164004466E-3</c:v>
                </c:pt>
                <c:pt idx="232">
                  <c:v>3.0594964556546859E-3</c:v>
                </c:pt>
                <c:pt idx="233">
                  <c:v>3.0604621997372345E-3</c:v>
                </c:pt>
                <c:pt idx="234">
                  <c:v>3.0614241666835976E-3</c:v>
                </c:pt>
                <c:pt idx="235">
                  <c:v>3.0642885850606346E-3</c:v>
                </c:pt>
                <c:pt idx="236">
                  <c:v>3.0652366238173149E-3</c:v>
                </c:pt>
                <c:pt idx="237">
                  <c:v>3.0661814756153395E-3</c:v>
                </c:pt>
                <c:pt idx="238">
                  <c:v>3.0671232584902133E-3</c:v>
                </c:pt>
                <c:pt idx="239">
                  <c:v>3.0680620904774427E-3</c:v>
                </c:pt>
                <c:pt idx="240">
                  <c:v>3.0708620614683202E-3</c:v>
                </c:pt>
                <c:pt idx="241">
                  <c:v>3.0717902702600288E-3</c:v>
                </c:pt>
                <c:pt idx="242">
                  <c:v>3.0727161183416217E-3</c:v>
                </c:pt>
                <c:pt idx="243">
                  <c:v>3.0736397237486044E-3</c:v>
                </c:pt>
                <c:pt idx="244">
                  <c:v>3.0745612045164831E-3</c:v>
                </c:pt>
                <c:pt idx="245">
                  <c:v>3.0773140793405522E-3</c:v>
                </c:pt>
                <c:pt idx="246">
                  <c:v>3.0782282419070722E-3</c:v>
                </c:pt>
                <c:pt idx="247">
                  <c:v>3.079140870012017E-3</c:v>
                </c:pt>
                <c:pt idx="248">
                  <c:v>3.0800520816908926E-3</c:v>
                </c:pt>
                <c:pt idx="249">
                  <c:v>3.0809619949792042E-3</c:v>
                </c:pt>
                <c:pt idx="250">
                  <c:v>3.0836851248558154E-3</c:v>
                </c:pt>
                <c:pt idx="251">
                  <c:v>3.0845910249369304E-3</c:v>
                </c:pt>
                <c:pt idx="252">
                  <c:v>3.0854962168050106E-3</c:v>
                </c:pt>
                <c:pt idx="253">
                  <c:v>3.0864008184955621E-3</c:v>
                </c:pt>
                <c:pt idx="254">
                  <c:v>3.0873049480440902E-3</c:v>
                </c:pt>
                <c:pt idx="255">
                  <c:v>3.0900156841925938E-3</c:v>
                </c:pt>
                <c:pt idx="256">
                  <c:v>3.0909191055280873E-3</c:v>
                </c:pt>
                <c:pt idx="257">
                  <c:v>3.0918226448990865E-3</c:v>
                </c:pt>
                <c:pt idx="258">
                  <c:v>3.0927264203410975E-3</c:v>
                </c:pt>
                <c:pt idx="259">
                  <c:v>3.0936305498896256E-3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80416"/>
        <c:axId val="633981952"/>
      </c:scatterChart>
      <c:valAx>
        <c:axId val="6339804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3981952"/>
        <c:crosses val="autoZero"/>
        <c:crossBetween val="midCat"/>
      </c:valAx>
      <c:valAx>
        <c:axId val="633981952"/>
        <c:scaling>
          <c:orientation val="minMax"/>
          <c:max val="4.000000000000001E-3"/>
          <c:min val="1.0000000000000002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39804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Abcd</a:t>
            </a:r>
            <a:r>
              <a:rPr lang="en-US" baseline="0"/>
              <a:t> Best-Fit</a:t>
            </a:r>
            <a:endParaRPr lang="en-US"/>
          </a:p>
        </c:rich>
      </c:tx>
      <c:layout>
        <c:manualLayout>
          <c:xMode val="edge"/>
          <c:yMode val="edge"/>
          <c:x val="0.44086565656565657"/>
          <c:y val="4.938888888888889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42797</c:v>
                </c:pt>
              </c:numCache>
            </c:numRef>
          </c:xVal>
          <c:yVal>
            <c:numRef>
              <c:f>'Delta 12M'!$M$3</c:f>
              <c:numCache>
                <c:formatCode>0.0000%</c:formatCode>
                <c:ptCount val="1"/>
                <c:pt idx="0">
                  <c:v>2.3674803347229281E-3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42828</c:v>
                </c:pt>
                <c:pt idx="1">
                  <c:v>42858</c:v>
                </c:pt>
                <c:pt idx="2">
                  <c:v>42891</c:v>
                </c:pt>
                <c:pt idx="3">
                  <c:v>42919</c:v>
                </c:pt>
                <c:pt idx="4">
                  <c:v>42950</c:v>
                </c:pt>
                <c:pt idx="5">
                  <c:v>42982</c:v>
                </c:pt>
                <c:pt idx="6">
                  <c:v>43011</c:v>
                </c:pt>
                <c:pt idx="7">
                  <c:v>43042</c:v>
                </c:pt>
                <c:pt idx="8">
                  <c:v>43073</c:v>
                </c:pt>
                <c:pt idx="9">
                  <c:v>43103</c:v>
                </c:pt>
                <c:pt idx="10">
                  <c:v>43136</c:v>
                </c:pt>
                <c:pt idx="11">
                  <c:v>43164</c:v>
                </c:pt>
              </c:numCache>
            </c:numRef>
          </c:xVal>
          <c:yVal>
            <c:numRef>
              <c:f>'Delta 12M'!$M$4:$M$15</c:f>
              <c:numCache>
                <c:formatCode>0.0000%</c:formatCode>
                <c:ptCount val="12"/>
                <c:pt idx="0">
                  <c:v>2.4351788711613181E-3</c:v>
                </c:pt>
                <c:pt idx="1">
                  <c:v>2.5175909451915614E-3</c:v>
                </c:pt>
                <c:pt idx="2">
                  <c:v>2.6127838150499199E-3</c:v>
                </c:pt>
                <c:pt idx="3">
                  <c:v>2.6875338151398044E-3</c:v>
                </c:pt>
                <c:pt idx="4">
                  <c:v>2.7670742272071299E-3</c:v>
                </c:pt>
                <c:pt idx="5">
                  <c:v>2.8330569490842266E-3</c:v>
                </c:pt>
                <c:pt idx="6">
                  <c:v>2.8925668572206643E-3</c:v>
                </c:pt>
                <c:pt idx="7">
                  <c:v>2.9459628032393981E-3</c:v>
                </c:pt>
                <c:pt idx="8">
                  <c:v>2.992981443846101E-3</c:v>
                </c:pt>
                <c:pt idx="9">
                  <c:v>3.0295658819959295E-3</c:v>
                </c:pt>
                <c:pt idx="10">
                  <c:v>3.0621043399530041E-3</c:v>
                </c:pt>
                <c:pt idx="11">
                  <c:v>3.0900156841925938E-3</c:v>
                </c:pt>
              </c:numCache>
            </c:numRef>
          </c:yVal>
          <c:smooth val="0"/>
        </c:ser>
        <c:ser>
          <c:idx val="2"/>
          <c:order val="2"/>
          <c:tx>
            <c:v>Abcd Interp</c:v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'Delta 12M'!$V$3:$V$262</c:f>
              <c:numCache>
                <c:formatCode>ddd\,\ dd\-mmm\-yyyy</c:formatCode>
                <c:ptCount val="260"/>
                <c:pt idx="0">
                  <c:v>42797</c:v>
                </c:pt>
                <c:pt idx="1">
                  <c:v>42800</c:v>
                </c:pt>
                <c:pt idx="2">
                  <c:v>42801</c:v>
                </c:pt>
                <c:pt idx="3">
                  <c:v>42802</c:v>
                </c:pt>
                <c:pt idx="4">
                  <c:v>42803</c:v>
                </c:pt>
                <c:pt idx="5">
                  <c:v>42804</c:v>
                </c:pt>
                <c:pt idx="6">
                  <c:v>42807</c:v>
                </c:pt>
                <c:pt idx="7">
                  <c:v>42808</c:v>
                </c:pt>
                <c:pt idx="8">
                  <c:v>42809</c:v>
                </c:pt>
                <c:pt idx="9">
                  <c:v>42810</c:v>
                </c:pt>
                <c:pt idx="10">
                  <c:v>42811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42821</c:v>
                </c:pt>
                <c:pt idx="17">
                  <c:v>42822</c:v>
                </c:pt>
                <c:pt idx="18">
                  <c:v>42823</c:v>
                </c:pt>
                <c:pt idx="19">
                  <c:v>42824</c:v>
                </c:pt>
                <c:pt idx="20">
                  <c:v>42825</c:v>
                </c:pt>
                <c:pt idx="21">
                  <c:v>42828</c:v>
                </c:pt>
                <c:pt idx="22">
                  <c:v>42829</c:v>
                </c:pt>
                <c:pt idx="23">
                  <c:v>42830</c:v>
                </c:pt>
                <c:pt idx="24">
                  <c:v>42831</c:v>
                </c:pt>
                <c:pt idx="25">
                  <c:v>42832</c:v>
                </c:pt>
                <c:pt idx="26">
                  <c:v>42835</c:v>
                </c:pt>
                <c:pt idx="27">
                  <c:v>42836</c:v>
                </c:pt>
                <c:pt idx="28">
                  <c:v>42837</c:v>
                </c:pt>
                <c:pt idx="29">
                  <c:v>42838</c:v>
                </c:pt>
                <c:pt idx="30">
                  <c:v>42843</c:v>
                </c:pt>
                <c:pt idx="31">
                  <c:v>42844</c:v>
                </c:pt>
                <c:pt idx="32">
                  <c:v>42845</c:v>
                </c:pt>
                <c:pt idx="33">
                  <c:v>42846</c:v>
                </c:pt>
                <c:pt idx="34">
                  <c:v>42849</c:v>
                </c:pt>
                <c:pt idx="35">
                  <c:v>42850</c:v>
                </c:pt>
                <c:pt idx="36">
                  <c:v>42851</c:v>
                </c:pt>
                <c:pt idx="37">
                  <c:v>42852</c:v>
                </c:pt>
                <c:pt idx="38">
                  <c:v>42853</c:v>
                </c:pt>
                <c:pt idx="39">
                  <c:v>42857</c:v>
                </c:pt>
                <c:pt idx="40">
                  <c:v>42858</c:v>
                </c:pt>
                <c:pt idx="41">
                  <c:v>42859</c:v>
                </c:pt>
                <c:pt idx="42">
                  <c:v>42860</c:v>
                </c:pt>
                <c:pt idx="43">
                  <c:v>42863</c:v>
                </c:pt>
                <c:pt idx="44">
                  <c:v>42864</c:v>
                </c:pt>
                <c:pt idx="45">
                  <c:v>42865</c:v>
                </c:pt>
                <c:pt idx="46">
                  <c:v>42866</c:v>
                </c:pt>
                <c:pt idx="47">
                  <c:v>42867</c:v>
                </c:pt>
                <c:pt idx="48">
                  <c:v>42870</c:v>
                </c:pt>
                <c:pt idx="49">
                  <c:v>42871</c:v>
                </c:pt>
                <c:pt idx="50">
                  <c:v>42872</c:v>
                </c:pt>
                <c:pt idx="51">
                  <c:v>42873</c:v>
                </c:pt>
                <c:pt idx="52">
                  <c:v>42874</c:v>
                </c:pt>
                <c:pt idx="53">
                  <c:v>42877</c:v>
                </c:pt>
                <c:pt idx="54">
                  <c:v>42878</c:v>
                </c:pt>
                <c:pt idx="55">
                  <c:v>42879</c:v>
                </c:pt>
                <c:pt idx="56">
                  <c:v>42880</c:v>
                </c:pt>
                <c:pt idx="57">
                  <c:v>42881</c:v>
                </c:pt>
                <c:pt idx="58">
                  <c:v>42884</c:v>
                </c:pt>
                <c:pt idx="59">
                  <c:v>42885</c:v>
                </c:pt>
                <c:pt idx="60">
                  <c:v>42886</c:v>
                </c:pt>
                <c:pt idx="61">
                  <c:v>42887</c:v>
                </c:pt>
                <c:pt idx="62">
                  <c:v>42888</c:v>
                </c:pt>
                <c:pt idx="63">
                  <c:v>42891</c:v>
                </c:pt>
                <c:pt idx="64">
                  <c:v>42892</c:v>
                </c:pt>
                <c:pt idx="65">
                  <c:v>42893</c:v>
                </c:pt>
                <c:pt idx="66">
                  <c:v>42894</c:v>
                </c:pt>
                <c:pt idx="67">
                  <c:v>42895</c:v>
                </c:pt>
                <c:pt idx="68">
                  <c:v>42898</c:v>
                </c:pt>
                <c:pt idx="69">
                  <c:v>42899</c:v>
                </c:pt>
                <c:pt idx="70">
                  <c:v>42900</c:v>
                </c:pt>
                <c:pt idx="71">
                  <c:v>42901</c:v>
                </c:pt>
                <c:pt idx="72">
                  <c:v>42902</c:v>
                </c:pt>
                <c:pt idx="73">
                  <c:v>42905</c:v>
                </c:pt>
                <c:pt idx="74">
                  <c:v>42906</c:v>
                </c:pt>
                <c:pt idx="75">
                  <c:v>42907</c:v>
                </c:pt>
                <c:pt idx="76">
                  <c:v>42908</c:v>
                </c:pt>
                <c:pt idx="77">
                  <c:v>42909</c:v>
                </c:pt>
                <c:pt idx="78">
                  <c:v>42912</c:v>
                </c:pt>
                <c:pt idx="79">
                  <c:v>42913</c:v>
                </c:pt>
                <c:pt idx="80">
                  <c:v>42914</c:v>
                </c:pt>
                <c:pt idx="81">
                  <c:v>42915</c:v>
                </c:pt>
                <c:pt idx="82">
                  <c:v>42916</c:v>
                </c:pt>
                <c:pt idx="83">
                  <c:v>42919</c:v>
                </c:pt>
                <c:pt idx="84">
                  <c:v>42920</c:v>
                </c:pt>
                <c:pt idx="85">
                  <c:v>42921</c:v>
                </c:pt>
                <c:pt idx="86">
                  <c:v>42922</c:v>
                </c:pt>
                <c:pt idx="87">
                  <c:v>42923</c:v>
                </c:pt>
                <c:pt idx="88">
                  <c:v>42926</c:v>
                </c:pt>
                <c:pt idx="89">
                  <c:v>42927</c:v>
                </c:pt>
                <c:pt idx="90">
                  <c:v>42928</c:v>
                </c:pt>
                <c:pt idx="91">
                  <c:v>42929</c:v>
                </c:pt>
                <c:pt idx="92">
                  <c:v>42930</c:v>
                </c:pt>
                <c:pt idx="93">
                  <c:v>42933</c:v>
                </c:pt>
                <c:pt idx="94">
                  <c:v>42934</c:v>
                </c:pt>
                <c:pt idx="95">
                  <c:v>42935</c:v>
                </c:pt>
                <c:pt idx="96">
                  <c:v>42936</c:v>
                </c:pt>
                <c:pt idx="97">
                  <c:v>42937</c:v>
                </c:pt>
                <c:pt idx="98">
                  <c:v>42940</c:v>
                </c:pt>
                <c:pt idx="99">
                  <c:v>42941</c:v>
                </c:pt>
                <c:pt idx="100">
                  <c:v>42942</c:v>
                </c:pt>
                <c:pt idx="101">
                  <c:v>42943</c:v>
                </c:pt>
                <c:pt idx="102">
                  <c:v>42944</c:v>
                </c:pt>
                <c:pt idx="103">
                  <c:v>42947</c:v>
                </c:pt>
                <c:pt idx="104">
                  <c:v>42948</c:v>
                </c:pt>
                <c:pt idx="105">
                  <c:v>42949</c:v>
                </c:pt>
                <c:pt idx="106">
                  <c:v>42950</c:v>
                </c:pt>
                <c:pt idx="107">
                  <c:v>42951</c:v>
                </c:pt>
                <c:pt idx="108">
                  <c:v>42954</c:v>
                </c:pt>
                <c:pt idx="109">
                  <c:v>42955</c:v>
                </c:pt>
                <c:pt idx="110">
                  <c:v>42956</c:v>
                </c:pt>
                <c:pt idx="111">
                  <c:v>42957</c:v>
                </c:pt>
                <c:pt idx="112">
                  <c:v>42958</c:v>
                </c:pt>
                <c:pt idx="113">
                  <c:v>42961</c:v>
                </c:pt>
                <c:pt idx="114">
                  <c:v>42962</c:v>
                </c:pt>
                <c:pt idx="115">
                  <c:v>42963</c:v>
                </c:pt>
                <c:pt idx="116">
                  <c:v>42964</c:v>
                </c:pt>
                <c:pt idx="117">
                  <c:v>42965</c:v>
                </c:pt>
                <c:pt idx="118">
                  <c:v>42968</c:v>
                </c:pt>
                <c:pt idx="119">
                  <c:v>42969</c:v>
                </c:pt>
                <c:pt idx="120">
                  <c:v>42970</c:v>
                </c:pt>
                <c:pt idx="121">
                  <c:v>42971</c:v>
                </c:pt>
                <c:pt idx="122">
                  <c:v>42972</c:v>
                </c:pt>
                <c:pt idx="123">
                  <c:v>42975</c:v>
                </c:pt>
                <c:pt idx="124">
                  <c:v>42976</c:v>
                </c:pt>
                <c:pt idx="125">
                  <c:v>42977</c:v>
                </c:pt>
                <c:pt idx="126">
                  <c:v>42978</c:v>
                </c:pt>
                <c:pt idx="127">
                  <c:v>42979</c:v>
                </c:pt>
                <c:pt idx="128">
                  <c:v>42982</c:v>
                </c:pt>
                <c:pt idx="129">
                  <c:v>42983</c:v>
                </c:pt>
                <c:pt idx="130">
                  <c:v>42984</c:v>
                </c:pt>
                <c:pt idx="131">
                  <c:v>42985</c:v>
                </c:pt>
                <c:pt idx="132">
                  <c:v>42986</c:v>
                </c:pt>
                <c:pt idx="133">
                  <c:v>42989</c:v>
                </c:pt>
                <c:pt idx="134">
                  <c:v>42990</c:v>
                </c:pt>
                <c:pt idx="135">
                  <c:v>42991</c:v>
                </c:pt>
                <c:pt idx="136">
                  <c:v>42992</c:v>
                </c:pt>
                <c:pt idx="137">
                  <c:v>42993</c:v>
                </c:pt>
                <c:pt idx="138">
                  <c:v>42996</c:v>
                </c:pt>
                <c:pt idx="139">
                  <c:v>42997</c:v>
                </c:pt>
                <c:pt idx="140">
                  <c:v>42998</c:v>
                </c:pt>
                <c:pt idx="141">
                  <c:v>42999</c:v>
                </c:pt>
                <c:pt idx="142">
                  <c:v>43000</c:v>
                </c:pt>
                <c:pt idx="143">
                  <c:v>43003</c:v>
                </c:pt>
                <c:pt idx="144">
                  <c:v>43004</c:v>
                </c:pt>
                <c:pt idx="145">
                  <c:v>43005</c:v>
                </c:pt>
                <c:pt idx="146">
                  <c:v>43006</c:v>
                </c:pt>
                <c:pt idx="147">
                  <c:v>43007</c:v>
                </c:pt>
                <c:pt idx="148">
                  <c:v>43010</c:v>
                </c:pt>
                <c:pt idx="149">
                  <c:v>43011</c:v>
                </c:pt>
                <c:pt idx="150">
                  <c:v>43012</c:v>
                </c:pt>
                <c:pt idx="151">
                  <c:v>43013</c:v>
                </c:pt>
                <c:pt idx="152">
                  <c:v>43014</c:v>
                </c:pt>
                <c:pt idx="153">
                  <c:v>43017</c:v>
                </c:pt>
                <c:pt idx="154">
                  <c:v>43018</c:v>
                </c:pt>
                <c:pt idx="155">
                  <c:v>43019</c:v>
                </c:pt>
                <c:pt idx="156">
                  <c:v>43020</c:v>
                </c:pt>
                <c:pt idx="157">
                  <c:v>43021</c:v>
                </c:pt>
                <c:pt idx="158">
                  <c:v>43024</c:v>
                </c:pt>
                <c:pt idx="159">
                  <c:v>43025</c:v>
                </c:pt>
                <c:pt idx="160">
                  <c:v>43026</c:v>
                </c:pt>
                <c:pt idx="161">
                  <c:v>43027</c:v>
                </c:pt>
                <c:pt idx="162">
                  <c:v>43028</c:v>
                </c:pt>
                <c:pt idx="163">
                  <c:v>43031</c:v>
                </c:pt>
                <c:pt idx="164">
                  <c:v>43032</c:v>
                </c:pt>
                <c:pt idx="165">
                  <c:v>43033</c:v>
                </c:pt>
                <c:pt idx="166">
                  <c:v>43034</c:v>
                </c:pt>
                <c:pt idx="167">
                  <c:v>43035</c:v>
                </c:pt>
                <c:pt idx="168">
                  <c:v>43038</c:v>
                </c:pt>
                <c:pt idx="169">
                  <c:v>43039</c:v>
                </c:pt>
                <c:pt idx="170">
                  <c:v>43040</c:v>
                </c:pt>
                <c:pt idx="171">
                  <c:v>43041</c:v>
                </c:pt>
                <c:pt idx="172">
                  <c:v>43042</c:v>
                </c:pt>
                <c:pt idx="173">
                  <c:v>43045</c:v>
                </c:pt>
                <c:pt idx="174">
                  <c:v>43046</c:v>
                </c:pt>
                <c:pt idx="175">
                  <c:v>43047</c:v>
                </c:pt>
                <c:pt idx="176">
                  <c:v>43048</c:v>
                </c:pt>
                <c:pt idx="177">
                  <c:v>43049</c:v>
                </c:pt>
                <c:pt idx="178">
                  <c:v>43052</c:v>
                </c:pt>
                <c:pt idx="179">
                  <c:v>43053</c:v>
                </c:pt>
                <c:pt idx="180">
                  <c:v>43054</c:v>
                </c:pt>
                <c:pt idx="181">
                  <c:v>43055</c:v>
                </c:pt>
                <c:pt idx="182">
                  <c:v>43056</c:v>
                </c:pt>
                <c:pt idx="183">
                  <c:v>43059</c:v>
                </c:pt>
                <c:pt idx="184">
                  <c:v>43060</c:v>
                </c:pt>
                <c:pt idx="185">
                  <c:v>43061</c:v>
                </c:pt>
                <c:pt idx="186">
                  <c:v>43062</c:v>
                </c:pt>
                <c:pt idx="187">
                  <c:v>43063</c:v>
                </c:pt>
                <c:pt idx="188">
                  <c:v>43066</c:v>
                </c:pt>
                <c:pt idx="189">
                  <c:v>43067</c:v>
                </c:pt>
                <c:pt idx="190">
                  <c:v>43068</c:v>
                </c:pt>
                <c:pt idx="191">
                  <c:v>43069</c:v>
                </c:pt>
                <c:pt idx="192">
                  <c:v>43070</c:v>
                </c:pt>
                <c:pt idx="193">
                  <c:v>43073</c:v>
                </c:pt>
                <c:pt idx="194">
                  <c:v>43074</c:v>
                </c:pt>
                <c:pt idx="195">
                  <c:v>43075</c:v>
                </c:pt>
                <c:pt idx="196">
                  <c:v>43076</c:v>
                </c:pt>
                <c:pt idx="197">
                  <c:v>43077</c:v>
                </c:pt>
                <c:pt idx="198">
                  <c:v>43080</c:v>
                </c:pt>
                <c:pt idx="199">
                  <c:v>43081</c:v>
                </c:pt>
                <c:pt idx="200">
                  <c:v>43082</c:v>
                </c:pt>
                <c:pt idx="201">
                  <c:v>43083</c:v>
                </c:pt>
                <c:pt idx="202">
                  <c:v>43084</c:v>
                </c:pt>
                <c:pt idx="203">
                  <c:v>43087</c:v>
                </c:pt>
                <c:pt idx="204">
                  <c:v>43088</c:v>
                </c:pt>
                <c:pt idx="205">
                  <c:v>43089</c:v>
                </c:pt>
                <c:pt idx="206">
                  <c:v>43090</c:v>
                </c:pt>
                <c:pt idx="207">
                  <c:v>43091</c:v>
                </c:pt>
                <c:pt idx="208">
                  <c:v>43096</c:v>
                </c:pt>
                <c:pt idx="209">
                  <c:v>43097</c:v>
                </c:pt>
                <c:pt idx="210">
                  <c:v>43098</c:v>
                </c:pt>
                <c:pt idx="211">
                  <c:v>43102</c:v>
                </c:pt>
                <c:pt idx="212">
                  <c:v>43103</c:v>
                </c:pt>
                <c:pt idx="213">
                  <c:v>43104</c:v>
                </c:pt>
                <c:pt idx="214">
                  <c:v>43105</c:v>
                </c:pt>
                <c:pt idx="215">
                  <c:v>43108</c:v>
                </c:pt>
                <c:pt idx="216">
                  <c:v>43109</c:v>
                </c:pt>
                <c:pt idx="217">
                  <c:v>43110</c:v>
                </c:pt>
                <c:pt idx="218">
                  <c:v>43111</c:v>
                </c:pt>
                <c:pt idx="219">
                  <c:v>43112</c:v>
                </c:pt>
                <c:pt idx="220">
                  <c:v>43115</c:v>
                </c:pt>
                <c:pt idx="221">
                  <c:v>43116</c:v>
                </c:pt>
                <c:pt idx="222">
                  <c:v>43117</c:v>
                </c:pt>
                <c:pt idx="223">
                  <c:v>43118</c:v>
                </c:pt>
                <c:pt idx="224">
                  <c:v>43119</c:v>
                </c:pt>
                <c:pt idx="225">
                  <c:v>43122</c:v>
                </c:pt>
                <c:pt idx="226">
                  <c:v>43123</c:v>
                </c:pt>
                <c:pt idx="227">
                  <c:v>43124</c:v>
                </c:pt>
                <c:pt idx="228">
                  <c:v>43125</c:v>
                </c:pt>
                <c:pt idx="229">
                  <c:v>43126</c:v>
                </c:pt>
                <c:pt idx="230">
                  <c:v>43129</c:v>
                </c:pt>
                <c:pt idx="231">
                  <c:v>43130</c:v>
                </c:pt>
                <c:pt idx="232">
                  <c:v>43131</c:v>
                </c:pt>
                <c:pt idx="233">
                  <c:v>43132</c:v>
                </c:pt>
                <c:pt idx="234">
                  <c:v>43133</c:v>
                </c:pt>
                <c:pt idx="235">
                  <c:v>43136</c:v>
                </c:pt>
                <c:pt idx="236">
                  <c:v>43137</c:v>
                </c:pt>
                <c:pt idx="237">
                  <c:v>43138</c:v>
                </c:pt>
                <c:pt idx="238">
                  <c:v>43139</c:v>
                </c:pt>
                <c:pt idx="239">
                  <c:v>43140</c:v>
                </c:pt>
                <c:pt idx="240">
                  <c:v>43143</c:v>
                </c:pt>
                <c:pt idx="241">
                  <c:v>43144</c:v>
                </c:pt>
                <c:pt idx="242">
                  <c:v>43145</c:v>
                </c:pt>
                <c:pt idx="243">
                  <c:v>43146</c:v>
                </c:pt>
                <c:pt idx="244">
                  <c:v>43147</c:v>
                </c:pt>
                <c:pt idx="245">
                  <c:v>43150</c:v>
                </c:pt>
                <c:pt idx="246">
                  <c:v>43151</c:v>
                </c:pt>
                <c:pt idx="247">
                  <c:v>43152</c:v>
                </c:pt>
                <c:pt idx="248">
                  <c:v>43153</c:v>
                </c:pt>
                <c:pt idx="249">
                  <c:v>43154</c:v>
                </c:pt>
                <c:pt idx="250">
                  <c:v>43157</c:v>
                </c:pt>
                <c:pt idx="251">
                  <c:v>43158</c:v>
                </c:pt>
                <c:pt idx="252">
                  <c:v>43159</c:v>
                </c:pt>
                <c:pt idx="253">
                  <c:v>43160</c:v>
                </c:pt>
                <c:pt idx="254">
                  <c:v>43161</c:v>
                </c:pt>
                <c:pt idx="255">
                  <c:v>43164</c:v>
                </c:pt>
                <c:pt idx="256">
                  <c:v>43165</c:v>
                </c:pt>
                <c:pt idx="257">
                  <c:v>43166</c:v>
                </c:pt>
                <c:pt idx="258">
                  <c:v>43167</c:v>
                </c:pt>
                <c:pt idx="259">
                  <c:v>43168</c:v>
                </c:pt>
              </c:numCache>
            </c:numRef>
          </c:xVal>
          <c:yVal>
            <c:numRef>
              <c:f>'Delta 12M'!$Y$3:$Y$262</c:f>
              <c:numCache>
                <c:formatCode>0.0000%</c:formatCode>
                <c:ptCount val="260"/>
                <c:pt idx="0">
                  <c:v>2.3473896846761761E-3</c:v>
                </c:pt>
                <c:pt idx="1">
                  <c:v>2.3571068221554313E-3</c:v>
                </c:pt>
                <c:pt idx="2">
                  <c:v>2.3603320002706066E-3</c:v>
                </c:pt>
                <c:pt idx="3">
                  <c:v>2.3635502324363361E-3</c:v>
                </c:pt>
                <c:pt idx="4">
                  <c:v>2.3667615117604181E-3</c:v>
                </c:pt>
                <c:pt idx="5">
                  <c:v>2.3699658315898672E-3</c:v>
                </c:pt>
                <c:pt idx="6">
                  <c:v>2.3795369710917715E-3</c:v>
                </c:pt>
                <c:pt idx="7">
                  <c:v>2.3827133910743689E-3</c:v>
                </c:pt>
                <c:pt idx="8">
                  <c:v>2.3858828217679083E-3</c:v>
                </c:pt>
                <c:pt idx="9">
                  <c:v>2.3890452578869351E-3</c:v>
                </c:pt>
                <c:pt idx="10">
                  <c:v>2.3922006943635204E-3</c:v>
                </c:pt>
                <c:pt idx="11">
                  <c:v>2.401624958465829E-3</c:v>
                </c:pt>
                <c:pt idx="12">
                  <c:v>2.4047523499488429E-3</c:v>
                </c:pt>
                <c:pt idx="13">
                  <c:v>2.4078727196169825E-3</c:v>
                </c:pt>
                <c:pt idx="14">
                  <c:v>2.4109860636499208E-3</c:v>
                </c:pt>
                <c:pt idx="15">
                  <c:v>2.4140923784258697E-3</c:v>
                </c:pt>
                <c:pt idx="16">
                  <c:v>2.4233691139186968E-3</c:v>
                </c:pt>
                <c:pt idx="17">
                  <c:v>2.4264472793302707E-3</c:v>
                </c:pt>
                <c:pt idx="18">
                  <c:v>2.4295184002646477E-3</c:v>
                </c:pt>
                <c:pt idx="19">
                  <c:v>2.4325824742381136E-3</c:v>
                </c:pt>
                <c:pt idx="20">
                  <c:v>2.4356394989479453E-3</c:v>
                </c:pt>
                <c:pt idx="21">
                  <c:v>2.4447682571353325E-3</c:v>
                </c:pt>
                <c:pt idx="22">
                  <c:v>2.44779706530309E-3</c:v>
                </c:pt>
                <c:pt idx="23">
                  <c:v>2.4508188153282645E-3</c:v>
                </c:pt>
                <c:pt idx="24">
                  <c:v>2.4538335059460293E-3</c:v>
                </c:pt>
                <c:pt idx="25">
                  <c:v>2.4568411360567674E-3</c:v>
                </c:pt>
                <c:pt idx="26">
                  <c:v>2.4658216547822622E-3</c:v>
                </c:pt>
                <c:pt idx="27">
                  <c:v>2.4688010350963361E-3</c:v>
                </c:pt>
                <c:pt idx="28">
                  <c:v>2.4717733518078069E-3</c:v>
                </c:pt>
                <c:pt idx="29">
                  <c:v>2.4747386047634995E-3</c:v>
                </c:pt>
                <c:pt idx="30">
                  <c:v>2.4894589182782962E-3</c:v>
                </c:pt>
                <c:pt idx="31">
                  <c:v>2.4923817937804963E-3</c:v>
                </c:pt>
                <c:pt idx="32">
                  <c:v>2.495297608563013E-3</c:v>
                </c:pt>
                <c:pt idx="33">
                  <c:v>2.4982063636235547E-3</c:v>
                </c:pt>
                <c:pt idx="34">
                  <c:v>2.5068902824728306E-3</c:v>
                </c:pt>
                <c:pt idx="35">
                  <c:v>2.5097708113063781E-3</c:v>
                </c:pt>
                <c:pt idx="36">
                  <c:v>2.5126442874037914E-3</c:v>
                </c:pt>
                <c:pt idx="37">
                  <c:v>2.5155107125494148E-3</c:v>
                </c:pt>
                <c:pt idx="38">
                  <c:v>2.5183700886528158E-3</c:v>
                </c:pt>
                <c:pt idx="39">
                  <c:v>2.5297371451213349E-3</c:v>
                </c:pt>
                <c:pt idx="40">
                  <c:v>2.5325613089208082E-3</c:v>
                </c:pt>
                <c:pt idx="41">
                  <c:v>2.5353784376714724E-3</c:v>
                </c:pt>
                <c:pt idx="42">
                  <c:v>2.538188534113603E-3</c:v>
                </c:pt>
                <c:pt idx="43">
                  <c:v>2.5465766586687507E-3</c:v>
                </c:pt>
                <c:pt idx="44">
                  <c:v>2.5493586555057793E-3</c:v>
                </c:pt>
                <c:pt idx="45">
                  <c:v>2.5521336353926971E-3</c:v>
                </c:pt>
                <c:pt idx="46">
                  <c:v>2.5549016017224579E-3</c:v>
                </c:pt>
                <c:pt idx="47">
                  <c:v>2.5576625579917809E-3</c:v>
                </c:pt>
                <c:pt idx="48">
                  <c:v>2.5659034029320398E-3</c:v>
                </c:pt>
                <c:pt idx="49">
                  <c:v>2.5686363559541884E-3</c:v>
                </c:pt>
                <c:pt idx="50">
                  <c:v>2.5713623179082004E-3</c:v>
                </c:pt>
                <c:pt idx="51">
                  <c:v>2.574081292884888E-3</c:v>
                </c:pt>
                <c:pt idx="52">
                  <c:v>2.5767932850695287E-3</c:v>
                </c:pt>
                <c:pt idx="53">
                  <c:v>2.5848874081132204E-3</c:v>
                </c:pt>
                <c:pt idx="54">
                  <c:v>2.5875715128262887E-3</c:v>
                </c:pt>
                <c:pt idx="55">
                  <c:v>2.5902486570458659E-3</c:v>
                </c:pt>
                <c:pt idx="56">
                  <c:v>2.5929188454975592E-3</c:v>
                </c:pt>
                <c:pt idx="57">
                  <c:v>2.5955820829927957E-3</c:v>
                </c:pt>
                <c:pt idx="58">
                  <c:v>2.6035301391173983E-3</c:v>
                </c:pt>
                <c:pt idx="59">
                  <c:v>2.606165622577517E-3</c:v>
                </c:pt>
                <c:pt idx="60">
                  <c:v>2.6087941803856624E-3</c:v>
                </c:pt>
                <c:pt idx="61">
                  <c:v>2.6114158178443358E-3</c:v>
                </c:pt>
                <c:pt idx="62">
                  <c:v>2.6140305403339493E-3</c:v>
                </c:pt>
                <c:pt idx="63">
                  <c:v>2.6218332729402737E-3</c:v>
                </c:pt>
                <c:pt idx="64">
                  <c:v>2.6244203908804458E-3</c:v>
                </c:pt>
                <c:pt idx="65">
                  <c:v>2.627000621886371E-3</c:v>
                </c:pt>
                <c:pt idx="66">
                  <c:v>2.6295739717842751E-3</c:v>
                </c:pt>
                <c:pt idx="67">
                  <c:v>2.6321404464711181E-3</c:v>
                </c:pt>
                <c:pt idx="68">
                  <c:v>2.6397986792757238E-3</c:v>
                </c:pt>
                <c:pt idx="69">
                  <c:v>2.6423377134688407E-3</c:v>
                </c:pt>
                <c:pt idx="70">
                  <c:v>2.6448699029629446E-3</c:v>
                </c:pt>
                <c:pt idx="71">
                  <c:v>2.6473952540592158E-3</c:v>
                </c:pt>
                <c:pt idx="72">
                  <c:v>2.6499137731229626E-3</c:v>
                </c:pt>
                <c:pt idx="73">
                  <c:v>2.65742840271472E-3</c:v>
                </c:pt>
                <c:pt idx="74">
                  <c:v>2.6599196585520694E-3</c:v>
                </c:pt>
                <c:pt idx="75">
                  <c:v>2.6624041151137108E-3</c:v>
                </c:pt>
                <c:pt idx="76">
                  <c:v>2.6648817791309742E-3</c:v>
                </c:pt>
                <c:pt idx="77">
                  <c:v>2.6673526573931941E-3</c:v>
                </c:pt>
                <c:pt idx="78">
                  <c:v>2.6747246463955836E-3</c:v>
                </c:pt>
                <c:pt idx="79">
                  <c:v>2.6771684506621363E-3</c:v>
                </c:pt>
                <c:pt idx="80">
                  <c:v>2.679605503961614E-3</c:v>
                </c:pt>
                <c:pt idx="81">
                  <c:v>2.6820358134142666E-3</c:v>
                </c:pt>
                <c:pt idx="82">
                  <c:v>2.684459386192732E-3</c:v>
                </c:pt>
                <c:pt idx="83">
                  <c:v>2.6916897569792984E-3</c:v>
                </c:pt>
                <c:pt idx="84">
                  <c:v>2.6940864558086951E-3</c:v>
                </c:pt>
                <c:pt idx="85">
                  <c:v>2.6964764545865552E-3</c:v>
                </c:pt>
                <c:pt idx="86">
                  <c:v>2.6988597607841423E-3</c:v>
                </c:pt>
                <c:pt idx="87">
                  <c:v>2.7012363819199302E-3</c:v>
                </c:pt>
                <c:pt idx="88">
                  <c:v>2.708326210835194E-3</c:v>
                </c:pt>
                <c:pt idx="89">
                  <c:v>2.7106761678288736E-3</c:v>
                </c:pt>
                <c:pt idx="90">
                  <c:v>2.713019478037326E-3</c:v>
                </c:pt>
                <c:pt idx="91">
                  <c:v>2.7153561492479611E-3</c:v>
                </c:pt>
                <c:pt idx="92">
                  <c:v>2.7176861892906161E-3</c:v>
                </c:pt>
                <c:pt idx="93">
                  <c:v>2.7246366013330844E-3</c:v>
                </c:pt>
                <c:pt idx="94">
                  <c:v>2.7269401958296005E-3</c:v>
                </c:pt>
                <c:pt idx="95">
                  <c:v>2.7292371989222578E-3</c:v>
                </c:pt>
                <c:pt idx="96">
                  <c:v>2.7315276186824534E-3</c:v>
                </c:pt>
                <c:pt idx="97">
                  <c:v>2.7338114632196858E-3</c:v>
                </c:pt>
                <c:pt idx="98">
                  <c:v>2.7406236271477567E-3</c:v>
                </c:pt>
                <c:pt idx="99">
                  <c:v>2.7428812526295236E-3</c:v>
                </c:pt>
                <c:pt idx="100">
                  <c:v>2.7451323439867553E-3</c:v>
                </c:pt>
                <c:pt idx="101">
                  <c:v>2.7473769095452891E-3</c:v>
                </c:pt>
                <c:pt idx="102">
                  <c:v>2.7496149576650203E-3</c:v>
                </c:pt>
                <c:pt idx="103">
                  <c:v>2.7562900814900719E-3</c:v>
                </c:pt>
                <c:pt idx="104">
                  <c:v>2.7585021441159964E-3</c:v>
                </c:pt>
                <c:pt idx="105">
                  <c:v>2.7607077315947009E-3</c:v>
                </c:pt>
                <c:pt idx="106">
                  <c:v>2.7629068524791991E-3</c:v>
                </c:pt>
                <c:pt idx="107">
                  <c:v>2.7650995153528581E-3</c:v>
                </c:pt>
                <c:pt idx="108">
                  <c:v>2.7716388421871923E-3</c:v>
                </c:pt>
                <c:pt idx="109">
                  <c:v>2.7738057594406582E-3</c:v>
                </c:pt>
                <c:pt idx="110">
                  <c:v>2.7759662620379182E-3</c:v>
                </c:pt>
                <c:pt idx="111">
                  <c:v>2.7781203587340366E-3</c:v>
                </c:pt>
                <c:pt idx="112">
                  <c:v>2.7802680583110134E-3</c:v>
                </c:pt>
                <c:pt idx="113">
                  <c:v>2.7866728625411605E-3</c:v>
                </c:pt>
                <c:pt idx="114">
                  <c:v>2.7887950619838431E-3</c:v>
                </c:pt>
                <c:pt idx="115">
                  <c:v>2.7909109086051214E-3</c:v>
                </c:pt>
                <c:pt idx="116">
                  <c:v>2.7930204113389527E-3</c:v>
                </c:pt>
                <c:pt idx="117">
                  <c:v>2.79512357914305E-3</c:v>
                </c:pt>
                <c:pt idx="118">
                  <c:v>2.801395162901676E-3</c:v>
                </c:pt>
                <c:pt idx="119">
                  <c:v>2.8034730810244527E-3</c:v>
                </c:pt>
                <c:pt idx="120">
                  <c:v>2.8055447093477365E-3</c:v>
                </c:pt>
                <c:pt idx="121">
                  <c:v>2.8076100569629785E-3</c:v>
                </c:pt>
                <c:pt idx="122">
                  <c:v>2.8096691329825094E-3</c:v>
                </c:pt>
                <c:pt idx="123">
                  <c:v>2.8158088228944682E-3</c:v>
                </c:pt>
                <c:pt idx="124">
                  <c:v>2.8178429040575819E-3</c:v>
                </c:pt>
                <c:pt idx="125">
                  <c:v>2.8198707594856371E-3</c:v>
                </c:pt>
                <c:pt idx="126">
                  <c:v>2.8218923984078912E-3</c:v>
                </c:pt>
                <c:pt idx="127">
                  <c:v>2.8239078300717675E-3</c:v>
                </c:pt>
                <c:pt idx="128">
                  <c:v>2.8299169742521633E-3</c:v>
                </c:pt>
                <c:pt idx="129">
                  <c:v>2.8319076697073085E-3</c:v>
                </c:pt>
                <c:pt idx="130">
                  <c:v>2.8338922044009777E-3</c:v>
                </c:pt>
                <c:pt idx="131">
                  <c:v>2.8358705876820249E-3</c:v>
                </c:pt>
                <c:pt idx="132">
                  <c:v>2.8378428289149858E-3</c:v>
                </c:pt>
                <c:pt idx="133">
                  <c:v>2.8437227941988837E-3</c:v>
                </c:pt>
                <c:pt idx="134">
                  <c:v>2.8456705611867535E-3</c:v>
                </c:pt>
                <c:pt idx="135">
                  <c:v>2.8476122331727435E-3</c:v>
                </c:pt>
                <c:pt idx="136">
                  <c:v>2.849547819608503E-3</c:v>
                </c:pt>
                <c:pt idx="137">
                  <c:v>2.8514773299590781E-3</c:v>
                </c:pt>
                <c:pt idx="138">
                  <c:v>2.8572294993444223E-3</c:v>
                </c:pt>
                <c:pt idx="139">
                  <c:v>2.8591348002616171E-3</c:v>
                </c:pt>
                <c:pt idx="140">
                  <c:v>2.8610340726088683E-3</c:v>
                </c:pt>
                <c:pt idx="141">
                  <c:v>2.8629273259251193E-3</c:v>
                </c:pt>
                <c:pt idx="142">
                  <c:v>2.8648145697605805E-3</c:v>
                </c:pt>
                <c:pt idx="143">
                  <c:v>2.8704403400474266E-3</c:v>
                </c:pt>
                <c:pt idx="144">
                  <c:v>2.872303641677293E-3</c:v>
                </c:pt>
                <c:pt idx="145">
                  <c:v>2.8741609817365429E-3</c:v>
                </c:pt>
                <c:pt idx="146">
                  <c:v>2.8760123698370775E-3</c:v>
                </c:pt>
                <c:pt idx="147">
                  <c:v>2.8778578156001219E-3</c:v>
                </c:pt>
                <c:pt idx="148">
                  <c:v>2.8833585952106906E-3</c:v>
                </c:pt>
                <c:pt idx="149">
                  <c:v>2.8851803680130707E-3</c:v>
                </c:pt>
                <c:pt idx="150">
                  <c:v>2.8869962467146073E-3</c:v>
                </c:pt>
                <c:pt idx="151">
                  <c:v>2.8888062409869377E-3</c:v>
                </c:pt>
                <c:pt idx="152">
                  <c:v>2.8906103605092172E-3</c:v>
                </c:pt>
                <c:pt idx="153">
                  <c:v>2.8959875674747599E-3</c:v>
                </c:pt>
                <c:pt idx="154">
                  <c:v>2.897768284930016E-3</c:v>
                </c:pt>
                <c:pt idx="155">
                  <c:v>2.8995431761351348E-3</c:v>
                </c:pt>
                <c:pt idx="156">
                  <c:v>2.9013122508092719E-3</c:v>
                </c:pt>
                <c:pt idx="157">
                  <c:v>2.903075518677425E-3</c:v>
                </c:pt>
                <c:pt idx="158">
                  <c:v>2.9083305787788688E-3</c:v>
                </c:pt>
                <c:pt idx="159">
                  <c:v>2.9100707167820585E-3</c:v>
                </c:pt>
                <c:pt idx="160">
                  <c:v>2.9118050966840648E-3</c:v>
                </c:pt>
                <c:pt idx="161">
                  <c:v>2.9135337282402613E-3</c:v>
                </c:pt>
                <c:pt idx="162">
                  <c:v>2.9152566212103459E-3</c:v>
                </c:pt>
                <c:pt idx="163">
                  <c:v>2.9203909662609672E-3</c:v>
                </c:pt>
                <c:pt idx="164">
                  <c:v>2.9220910025622693E-3</c:v>
                </c:pt>
                <c:pt idx="165">
                  <c:v>2.9237853491332036E-3</c:v>
                </c:pt>
                <c:pt idx="166">
                  <c:v>2.9254740157549598E-3</c:v>
                </c:pt>
                <c:pt idx="167">
                  <c:v>2.9271570122116151E-3</c:v>
                </c:pt>
                <c:pt idx="168">
                  <c:v>2.9321720784708555E-3</c:v>
                </c:pt>
                <c:pt idx="169">
                  <c:v>2.9338324921587286E-3</c:v>
                </c:pt>
                <c:pt idx="170">
                  <c:v>2.9354872846383876E-3</c:v>
                </c:pt>
                <c:pt idx="171">
                  <c:v>2.9371364657072058E-3</c:v>
                </c:pt>
                <c:pt idx="172">
                  <c:v>2.9387800451641209E-3</c:v>
                </c:pt>
                <c:pt idx="173">
                  <c:v>2.9436772718726386E-3</c:v>
                </c:pt>
                <c:pt idx="174">
                  <c:v>2.945298542896495E-3</c:v>
                </c:pt>
                <c:pt idx="175">
                  <c:v>2.9469142613204919E-3</c:v>
                </c:pt>
                <c:pt idx="176">
                  <c:v>2.9485244369492833E-3</c:v>
                </c:pt>
                <c:pt idx="177">
                  <c:v>2.9501290795878885E-3</c:v>
                </c:pt>
                <c:pt idx="178">
                  <c:v>2.9549099076146713E-3</c:v>
                </c:pt>
                <c:pt idx="179">
                  <c:v>2.9564925163440992E-3</c:v>
                </c:pt>
                <c:pt idx="180">
                  <c:v>2.9580696411080588E-3</c:v>
                </c:pt>
                <c:pt idx="181">
                  <c:v>2.9596412917102881E-3</c:v>
                </c:pt>
                <c:pt idx="182">
                  <c:v>2.9612074779537772E-3</c:v>
                </c:pt>
                <c:pt idx="183">
                  <c:v>2.9658733485469716E-3</c:v>
                </c:pt>
                <c:pt idx="184">
                  <c:v>2.9674177753647459E-3</c:v>
                </c:pt>
                <c:pt idx="185">
                  <c:v>2.9689567868219553E-3</c:v>
                </c:pt>
                <c:pt idx="186">
                  <c:v>2.9704903927138563E-3</c:v>
                </c:pt>
                <c:pt idx="187">
                  <c:v>2.9720186028339068E-3</c:v>
                </c:pt>
                <c:pt idx="188">
                  <c:v>2.9765709564676503E-3</c:v>
                </c:pt>
                <c:pt idx="189">
                  <c:v>2.9780776813940536E-3</c:v>
                </c:pt>
                <c:pt idx="190">
                  <c:v>2.9795790594840696E-3</c:v>
                </c:pt>
                <c:pt idx="191">
                  <c:v>2.9810751005174738E-3</c:v>
                </c:pt>
                <c:pt idx="192">
                  <c:v>2.9825658142712875E-3</c:v>
                </c:pt>
                <c:pt idx="193">
                  <c:v>2.9870060895814446E-3</c:v>
                </c:pt>
                <c:pt idx="194">
                  <c:v>2.9884755919276046E-3</c:v>
                </c:pt>
                <c:pt idx="195">
                  <c:v>2.9899398158335384E-3</c:v>
                </c:pt>
                <c:pt idx="196">
                  <c:v>2.991398771057089E-3</c:v>
                </c:pt>
                <c:pt idx="197">
                  <c:v>2.9928524673524682E-3</c:v>
                </c:pt>
                <c:pt idx="198">
                  <c:v>2.9971821001547757E-3</c:v>
                </c:pt>
                <c:pt idx="199">
                  <c:v>2.998614858202857E-3</c:v>
                </c:pt>
                <c:pt idx="200">
                  <c:v>3.0000424060352441E-3</c:v>
                </c:pt>
                <c:pt idx="201">
                  <c:v>3.0014647533819108E-3</c:v>
                </c:pt>
                <c:pt idx="202">
                  <c:v>3.0028819099683765E-3</c:v>
                </c:pt>
                <c:pt idx="203">
                  <c:v>3.0071023323529683E-3</c:v>
                </c:pt>
                <c:pt idx="204">
                  <c:v>3.0084988230612854E-3</c:v>
                </c:pt>
                <c:pt idx="205">
                  <c:v>3.0098901715666249E-3</c:v>
                </c:pt>
                <c:pt idx="206">
                  <c:v>3.0112763875655966E-3</c:v>
                </c:pt>
                <c:pt idx="207">
                  <c:v>3.0126574807496265E-3</c:v>
                </c:pt>
                <c:pt idx="208">
                  <c:v>3.0194864432698185E-3</c:v>
                </c:pt>
                <c:pt idx="209">
                  <c:v>3.0208370027810438E-3</c:v>
                </c:pt>
                <c:pt idx="210">
                  <c:v>3.0221825071636938E-3</c:v>
                </c:pt>
                <c:pt idx="211">
                  <c:v>3.0275141662445206E-3</c:v>
                </c:pt>
                <c:pt idx="212">
                  <c:v>3.028834539557301E-3</c:v>
                </c:pt>
                <c:pt idx="213">
                  <c:v>3.030149915527019E-3</c:v>
                </c:pt>
                <c:pt idx="214">
                  <c:v>3.0314603037623405E-3</c:v>
                </c:pt>
                <c:pt idx="215">
                  <c:v>3.0353616380491477E-3</c:v>
                </c:pt>
                <c:pt idx="216">
                  <c:v>3.0366521713003853E-3</c:v>
                </c:pt>
                <c:pt idx="217">
                  <c:v>3.0379377647599707E-3</c:v>
                </c:pt>
                <c:pt idx="218">
                  <c:v>3.0392184279957541E-3</c:v>
                </c:pt>
                <c:pt idx="219">
                  <c:v>3.0404941705685024E-3</c:v>
                </c:pt>
                <c:pt idx="220">
                  <c:v>3.0442919698082452E-3</c:v>
                </c:pt>
                <c:pt idx="221">
                  <c:v>3.0455481251920316E-3</c:v>
                </c:pt>
                <c:pt idx="222">
                  <c:v>3.0467994076075751E-3</c:v>
                </c:pt>
                <c:pt idx="223">
                  <c:v>3.0480458265714915E-3</c:v>
                </c:pt>
                <c:pt idx="224">
                  <c:v>3.0492873915927777E-3</c:v>
                </c:pt>
                <c:pt idx="225">
                  <c:v>3.0529830579749829E-3</c:v>
                </c:pt>
                <c:pt idx="226">
                  <c:v>3.0542053021607703E-3</c:v>
                </c:pt>
                <c:pt idx="227">
                  <c:v>3.0554227398320866E-3</c:v>
                </c:pt>
                <c:pt idx="228">
                  <c:v>3.0566353804507107E-3</c:v>
                </c:pt>
                <c:pt idx="229">
                  <c:v>3.0578432334703123E-3</c:v>
                </c:pt>
                <c:pt idx="230">
                  <c:v>3.0614381613486307E-3</c:v>
                </c:pt>
                <c:pt idx="231">
                  <c:v>3.0626269583443181E-3</c:v>
                </c:pt>
                <c:pt idx="232">
                  <c:v>3.0638110148853794E-3</c:v>
                </c:pt>
                <c:pt idx="233">
                  <c:v>3.0649903403754558E-3</c:v>
                </c:pt>
                <c:pt idx="234">
                  <c:v>3.0661649442096294E-3</c:v>
                </c:pt>
                <c:pt idx="235">
                  <c:v>3.0696605195979156E-3</c:v>
                </c:pt>
                <c:pt idx="236">
                  <c:v>3.0708163305860304E-3</c:v>
                </c:pt>
                <c:pt idx="237">
                  <c:v>3.0719674667631816E-3</c:v>
                </c:pt>
                <c:pt idx="238">
                  <c:v>3.0731139374718525E-3</c:v>
                </c:pt>
                <c:pt idx="239">
                  <c:v>3.074255752045557E-3</c:v>
                </c:pt>
                <c:pt idx="240">
                  <c:v>3.0776533521563385E-3</c:v>
                </c:pt>
                <c:pt idx="241">
                  <c:v>3.0787766353440344E-3</c:v>
                </c:pt>
                <c:pt idx="242">
                  <c:v>3.0798953089278937E-3</c:v>
                </c:pt>
                <c:pt idx="243">
                  <c:v>3.0810093821864834E-3</c:v>
                </c:pt>
                <c:pt idx="244">
                  <c:v>3.0821188643890209E-3</c:v>
                </c:pt>
                <c:pt idx="245">
                  <c:v>3.085419857211353E-3</c:v>
                </c:pt>
                <c:pt idx="246">
                  <c:v>3.0865110676932951E-3</c:v>
                </c:pt>
                <c:pt idx="247">
                  <c:v>3.0875977333234056E-3</c:v>
                </c:pt>
                <c:pt idx="248">
                  <c:v>3.0886798633138098E-3</c:v>
                </c:pt>
                <c:pt idx="249">
                  <c:v>3.0897574668669494E-3</c:v>
                </c:pt>
                <c:pt idx="250">
                  <c:v>3.0929632107809866E-3</c:v>
                </c:pt>
                <c:pt idx="251">
                  <c:v>3.0940228004142172E-3</c:v>
                </c:pt>
                <c:pt idx="252">
                  <c:v>3.0950779094755473E-3</c:v>
                </c:pt>
                <c:pt idx="253">
                  <c:v>3.0961285471083708E-3</c:v>
                </c:pt>
                <c:pt idx="254">
                  <c:v>3.0971747224460885E-3</c:v>
                </c:pt>
                <c:pt idx="255">
                  <c:v>3.1002865658718137E-3</c:v>
                </c:pt>
                <c:pt idx="256">
                  <c:v>3.1013149831617768E-3</c:v>
                </c:pt>
                <c:pt idx="257">
                  <c:v>3.10233898367228E-3</c:v>
                </c:pt>
                <c:pt idx="258">
                  <c:v>3.1033585764759031E-3</c:v>
                </c:pt>
                <c:pt idx="259">
                  <c:v>3.1043737706349483E-3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275712"/>
        <c:axId val="632277248"/>
      </c:scatterChart>
      <c:valAx>
        <c:axId val="6322757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2277248"/>
        <c:crosses val="autoZero"/>
        <c:crossBetween val="midCat"/>
      </c:valAx>
      <c:valAx>
        <c:axId val="632277248"/>
        <c:scaling>
          <c:orientation val="minMax"/>
          <c:max val="4.000000000000001E-3"/>
          <c:min val="1.0000000000000002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227571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2447487373737373"/>
          <c:h val="0.191377500000000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476251</xdr:colOff>
      <xdr:row>13</xdr:row>
      <xdr:rowOff>85724</xdr:rowOff>
    </xdr:from>
    <xdr:to>
      <xdr:col>25</xdr:col>
      <xdr:colOff>409575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504826</xdr:colOff>
      <xdr:row>16</xdr:row>
      <xdr:rowOff>19049</xdr:rowOff>
    </xdr:from>
    <xdr:to>
      <xdr:col>30</xdr:col>
      <xdr:colOff>438150</xdr:colOff>
      <xdr:row>43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581025</xdr:colOff>
      <xdr:row>16</xdr:row>
      <xdr:rowOff>47624</xdr:rowOff>
    </xdr:from>
    <xdr:to>
      <xdr:col>30</xdr:col>
      <xdr:colOff>514350</xdr:colOff>
      <xdr:row>43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485775</xdr:colOff>
      <xdr:row>16</xdr:row>
      <xdr:rowOff>19049</xdr:rowOff>
    </xdr:from>
    <xdr:to>
      <xdr:col>30</xdr:col>
      <xdr:colOff>419100</xdr:colOff>
      <xdr:row>42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24</xdr:row>
      <xdr:rowOff>76199</xdr:rowOff>
    </xdr:from>
    <xdr:to>
      <xdr:col>13</xdr:col>
      <xdr:colOff>533400</xdr:colOff>
      <xdr:row>49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171450</xdr:colOff>
      <xdr:row>50</xdr:row>
      <xdr:rowOff>28575</xdr:rowOff>
    </xdr:from>
    <xdr:to>
      <xdr:col>13</xdr:col>
      <xdr:colOff>533400</xdr:colOff>
      <xdr:row>75</xdr:row>
      <xdr:rowOff>56700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95250</xdr:rowOff>
    </xdr:from>
    <xdr:to>
      <xdr:col>14</xdr:col>
      <xdr:colOff>271425</xdr:colOff>
      <xdr:row>46</xdr:row>
      <xdr:rowOff>123375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0</xdr:colOff>
      <xdr:row>48</xdr:row>
      <xdr:rowOff>0</xdr:rowOff>
    </xdr:from>
    <xdr:to>
      <xdr:col>14</xdr:col>
      <xdr:colOff>271425</xdr:colOff>
      <xdr:row>73</xdr:row>
      <xdr:rowOff>28125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15</xdr:row>
      <xdr:rowOff>133350</xdr:rowOff>
    </xdr:from>
    <xdr:to>
      <xdr:col>14</xdr:col>
      <xdr:colOff>157125</xdr:colOff>
      <xdr:row>41</xdr:row>
      <xdr:rowOff>18600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0</xdr:colOff>
      <xdr:row>42</xdr:row>
      <xdr:rowOff>0</xdr:rowOff>
    </xdr:from>
    <xdr:to>
      <xdr:col>14</xdr:col>
      <xdr:colOff>147600</xdr:colOff>
      <xdr:row>67</xdr:row>
      <xdr:rowOff>28125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</v>
          </cell>
        </row>
        <row r="8">
          <cell r="D8">
            <v>1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  <row r="8">
          <cell r="D8" t="str">
            <v>EUR6M#0000</v>
          </cell>
        </row>
      </sheetData>
      <sheetData sheetId="3">
        <row r="7">
          <cell r="D7" t="str">
            <v>D</v>
          </cell>
        </row>
        <row r="8">
          <cell r="D8" t="str">
            <v>D</v>
          </cell>
        </row>
      </sheetData>
      <sheetData sheetId="4">
        <row r="7">
          <cell r="D7" t="str">
            <v>6F</v>
          </cell>
        </row>
        <row r="8">
          <cell r="D8" t="str">
            <v>7F</v>
          </cell>
        </row>
      </sheetData>
      <sheetData sheetId="5"/>
      <sheetData sheetId="6">
        <row r="7">
          <cell r="D7" t="b">
            <v>1</v>
          </cell>
        </row>
        <row r="8">
          <cell r="D8" t="b">
            <v>1</v>
          </cell>
        </row>
      </sheetData>
      <sheetData sheetId="7">
        <row r="7">
          <cell r="D7" t="str">
            <v>U7</v>
          </cell>
        </row>
        <row r="8">
          <cell r="D8" t="str">
            <v>Z7</v>
          </cell>
        </row>
      </sheetData>
      <sheetData sheetId="8">
        <row r="7">
          <cell r="D7" t="str">
            <v>K7</v>
          </cell>
        </row>
        <row r="8">
          <cell r="D8" t="str">
            <v>M7</v>
          </cell>
        </row>
      </sheetData>
      <sheetData sheetId="9"/>
      <sheetData sheetId="10">
        <row r="7">
          <cell r="D7" t="str">
            <v>3E</v>
          </cell>
        </row>
        <row r="8">
          <cell r="D8" t="str">
            <v>3E</v>
          </cell>
        </row>
      </sheetData>
      <sheetData sheetId="11">
        <row r="7">
          <cell r="D7" t="str">
            <v>6E</v>
          </cell>
        </row>
        <row r="8">
          <cell r="D8" t="str">
            <v>6E</v>
          </cell>
        </row>
      </sheetData>
      <sheetData sheetId="12">
        <row r="7">
          <cell r="D7" t="str">
            <v>6E</v>
          </cell>
        </row>
        <row r="8">
          <cell r="D8" t="str">
            <v>6E</v>
          </cell>
        </row>
      </sheetData>
      <sheetData sheetId="13">
        <row r="7">
          <cell r="D7" t="str">
            <v>12E</v>
          </cell>
        </row>
        <row r="8">
          <cell r="D8" t="str">
            <v>12E</v>
          </cell>
        </row>
      </sheetData>
      <sheetData sheetId="14">
        <row r="7">
          <cell r="D7" t="str">
            <v>1E</v>
          </cell>
        </row>
        <row r="8">
          <cell r="D8" t="str">
            <v>1E</v>
          </cell>
        </row>
      </sheetData>
      <sheetData sheetId="15">
        <row r="7">
          <cell r="D7" t="str">
            <v>1E</v>
          </cell>
        </row>
        <row r="8">
          <cell r="D8" t="str">
            <v>1E</v>
          </cell>
        </row>
      </sheetData>
      <sheetData sheetId="16">
        <row r="7">
          <cell r="D7" t="str">
            <v>3E</v>
          </cell>
        </row>
        <row r="8">
          <cell r="D8" t="str">
            <v>3E</v>
          </cell>
        </row>
      </sheetData>
      <sheetData sheetId="17">
        <row r="7">
          <cell r="D7" t="str">
            <v>6E</v>
          </cell>
        </row>
        <row r="8">
          <cell r="D8" t="str">
            <v>6E</v>
          </cell>
        </row>
      </sheetData>
      <sheetData sheetId="18">
        <row r="7">
          <cell r="D7" t="str">
            <v>EUR1F3Y_Quote</v>
          </cell>
        </row>
        <row r="8">
          <cell r="D8" t="str">
            <v>EUR1F4Y_Quote</v>
          </cell>
        </row>
      </sheetData>
      <sheetData sheetId="19">
        <row r="7">
          <cell r="D7">
            <v>12</v>
          </cell>
        </row>
        <row r="8">
          <cell r="D8">
            <v>12</v>
          </cell>
        </row>
      </sheetData>
      <sheetData sheetId="20">
        <row r="7">
          <cell r="D7" t="str">
            <v>K7</v>
          </cell>
        </row>
        <row r="8">
          <cell r="D8" t="str">
            <v>M7</v>
          </cell>
        </row>
      </sheetData>
      <sheetData sheetId="21">
        <row r="7">
          <cell r="D7" t="str">
            <v>3E</v>
          </cell>
        </row>
        <row r="8">
          <cell r="D8" t="str">
            <v>3E</v>
          </cell>
        </row>
      </sheetData>
      <sheetData sheetId="22">
        <row r="7">
          <cell r="D7" t="str">
            <v>1E</v>
          </cell>
        </row>
        <row r="8">
          <cell r="D8" t="str">
            <v>1E</v>
          </cell>
        </row>
      </sheetData>
      <sheetData sheetId="23">
        <row r="7">
          <cell r="D7" t="str">
            <v>3E</v>
          </cell>
        </row>
        <row r="8">
          <cell r="D8" t="str">
            <v>3E</v>
          </cell>
        </row>
      </sheetData>
      <sheetData sheetId="24">
        <row r="7">
          <cell r="D7" t="str">
            <v>6E</v>
          </cell>
        </row>
        <row r="8">
          <cell r="D8" t="str">
            <v>6E</v>
          </cell>
        </row>
      </sheetData>
      <sheetData sheetId="25">
        <row r="7">
          <cell r="D7" t="str">
            <v>12E</v>
          </cell>
        </row>
        <row r="8">
          <cell r="D8" t="str">
            <v>12E</v>
          </cell>
        </row>
      </sheetData>
      <sheetData sheetId="26">
        <row r="7">
          <cell r="D7">
            <v>42790</v>
          </cell>
        </row>
        <row r="8">
          <cell r="D8">
            <v>42789</v>
          </cell>
        </row>
      </sheetData>
      <sheetData sheetId="27">
        <row r="7">
          <cell r="D7">
            <v>42790</v>
          </cell>
        </row>
        <row r="8">
          <cell r="D8">
            <v>42789</v>
          </cell>
        </row>
      </sheetData>
      <sheetData sheetId="28">
        <row r="7">
          <cell r="D7">
            <v>42793</v>
          </cell>
        </row>
        <row r="8">
          <cell r="D8">
            <v>42790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tabSelected="1" workbookViewId="0">
      <selection activeCell="I4" sqref="I4"/>
    </sheetView>
  </sheetViews>
  <sheetFormatPr defaultColWidth="10.6640625" defaultRowHeight="11.25" x14ac:dyDescent="0.2"/>
  <cols>
    <col min="1" max="2" width="2.83203125" style="56" customWidth="1"/>
    <col min="3" max="3" width="27.5" style="56" bestFit="1" customWidth="1"/>
    <col min="4" max="4" width="35.83203125" style="56" customWidth="1"/>
    <col min="5" max="7" width="2.83203125" style="56" customWidth="1"/>
    <col min="8" max="8" width="27.5" style="56" bestFit="1" customWidth="1"/>
    <col min="9" max="9" width="39.33203125" style="56" bestFit="1" customWidth="1"/>
    <col min="10" max="10" width="2.83203125" style="56" customWidth="1"/>
    <col min="11" max="16384" width="10.6640625" style="56"/>
  </cols>
  <sheetData>
    <row r="1" spans="1:34" x14ac:dyDescent="0.2">
      <c r="B1" s="56" t="str">
        <f>_xll.qlxlVersion(TRUE,EvaluationDate)</f>
        <v>QuantLibXL 1.9.0 - MS VC++ (version unknown) - Multithreaded Dynamic Runtime library - Release Configuration - Jul 26 2016 13:15:05</v>
      </c>
    </row>
    <row r="2" spans="1:34" ht="18.75" x14ac:dyDescent="0.2">
      <c r="B2" s="289" t="s">
        <v>0</v>
      </c>
      <c r="C2" s="290"/>
      <c r="D2" s="290"/>
      <c r="E2" s="291"/>
      <c r="G2" s="289" t="s">
        <v>86</v>
      </c>
      <c r="H2" s="290"/>
      <c r="I2" s="290"/>
      <c r="J2" s="291"/>
    </row>
    <row r="3" spans="1:34" ht="11.25" customHeight="1" x14ac:dyDescent="0.2">
      <c r="B3" s="276"/>
      <c r="C3" s="1"/>
      <c r="D3" s="1"/>
      <c r="E3" s="277"/>
      <c r="G3" s="293"/>
      <c r="H3" s="294"/>
      <c r="I3" s="294"/>
      <c r="J3" s="295"/>
    </row>
    <row r="4" spans="1:34" x14ac:dyDescent="0.2">
      <c r="B4" s="276"/>
      <c r="C4" s="303" t="s">
        <v>1</v>
      </c>
      <c r="D4" s="299" t="s">
        <v>2</v>
      </c>
      <c r="E4" s="277"/>
      <c r="G4" s="284"/>
      <c r="H4" s="309" t="s">
        <v>18</v>
      </c>
      <c r="I4" s="310"/>
      <c r="J4" s="171"/>
    </row>
    <row r="5" spans="1:34" s="57" customFormat="1" x14ac:dyDescent="0.2">
      <c r="A5" s="56"/>
      <c r="B5" s="276"/>
      <c r="C5" s="304" t="s">
        <v>3</v>
      </c>
      <c r="D5" s="300" t="s">
        <v>4</v>
      </c>
      <c r="E5" s="277"/>
      <c r="F5" s="56"/>
      <c r="G5" s="284"/>
      <c r="H5" s="304" t="s">
        <v>19</v>
      </c>
      <c r="I5" s="306">
        <f>_xll.qlSettingsEvaluationDate(Trigger)</f>
        <v>42795</v>
      </c>
      <c r="J5" s="171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</row>
    <row r="6" spans="1:34" s="57" customFormat="1" x14ac:dyDescent="0.2">
      <c r="A6" s="56"/>
      <c r="B6" s="276"/>
      <c r="C6" s="304" t="s">
        <v>5</v>
      </c>
      <c r="D6" s="300" t="str">
        <f>IF(UPPER(Currency)&lt;&gt;"EUR","L","")&amp;"ibor"</f>
        <v>ibor</v>
      </c>
      <c r="E6" s="277"/>
      <c r="F6" s="56"/>
      <c r="G6" s="284"/>
      <c r="H6" s="304" t="s">
        <v>20</v>
      </c>
      <c r="I6" s="307">
        <f>[1]!TriggerCounter</f>
        <v>2</v>
      </c>
      <c r="J6" s="171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</row>
    <row r="7" spans="1:34" x14ac:dyDescent="0.2">
      <c r="B7" s="276"/>
      <c r="C7" s="304" t="s">
        <v>6</v>
      </c>
      <c r="D7" s="301" t="s">
        <v>7</v>
      </c>
      <c r="E7" s="277"/>
      <c r="G7" s="284"/>
      <c r="H7" s="304" t="s">
        <v>21</v>
      </c>
      <c r="I7" s="307">
        <f>[1]!LastFixingsTrigger</f>
        <v>1</v>
      </c>
      <c r="J7" s="171"/>
    </row>
    <row r="8" spans="1:34" x14ac:dyDescent="0.2">
      <c r="B8" s="276"/>
      <c r="C8" s="304" t="s">
        <v>102</v>
      </c>
      <c r="D8" s="301" t="s">
        <v>103</v>
      </c>
      <c r="E8" s="277"/>
      <c r="G8" s="284"/>
      <c r="H8" s="305" t="s">
        <v>24</v>
      </c>
      <c r="I8" s="308">
        <f>_xll.ohTrigger(Contribution!U2,Contribution!U8,Contribution!U15,Contribution!U25)</f>
        <v>2</v>
      </c>
      <c r="J8" s="171"/>
    </row>
    <row r="9" spans="1:34" x14ac:dyDescent="0.2">
      <c r="B9" s="276"/>
      <c r="C9" s="304" t="s">
        <v>124</v>
      </c>
      <c r="D9" s="301" t="s">
        <v>11</v>
      </c>
      <c r="E9" s="277"/>
      <c r="G9" s="285"/>
      <c r="H9" s="176"/>
      <c r="I9" s="176"/>
      <c r="J9" s="177"/>
    </row>
    <row r="10" spans="1:34" x14ac:dyDescent="0.2">
      <c r="B10" s="276"/>
      <c r="C10" s="304" t="s">
        <v>10</v>
      </c>
      <c r="D10" s="301">
        <f>_xll.qlCalendarAdvance(Calendar,EvaluationDate,"2D","f")</f>
        <v>42797</v>
      </c>
      <c r="E10" s="277"/>
    </row>
    <row r="11" spans="1:34" x14ac:dyDescent="0.2">
      <c r="B11" s="276"/>
      <c r="C11" s="304" t="s">
        <v>8</v>
      </c>
      <c r="D11" s="301" t="b">
        <v>1</v>
      </c>
      <c r="E11" s="277"/>
    </row>
    <row r="12" spans="1:34" x14ac:dyDescent="0.2">
      <c r="B12" s="276"/>
      <c r="C12" s="304" t="s">
        <v>9</v>
      </c>
      <c r="D12" s="301" t="b">
        <v>1</v>
      </c>
      <c r="E12" s="277"/>
    </row>
    <row r="13" spans="1:34" x14ac:dyDescent="0.2">
      <c r="B13" s="276"/>
      <c r="C13" s="304" t="s">
        <v>12</v>
      </c>
      <c r="D13" s="301" t="s">
        <v>13</v>
      </c>
      <c r="E13" s="277"/>
    </row>
    <row r="14" spans="1:34" x14ac:dyDescent="0.2">
      <c r="B14" s="276"/>
      <c r="C14" s="304" t="s">
        <v>14</v>
      </c>
      <c r="D14" s="311">
        <v>1E-4</v>
      </c>
      <c r="E14" s="277"/>
    </row>
    <row r="15" spans="1:34" x14ac:dyDescent="0.2">
      <c r="B15" s="276"/>
      <c r="C15" s="305" t="s">
        <v>15</v>
      </c>
      <c r="D15" s="312">
        <v>-0.01</v>
      </c>
      <c r="E15" s="277"/>
    </row>
    <row r="16" spans="1:34" x14ac:dyDescent="0.2">
      <c r="B16" s="278"/>
      <c r="C16" s="279"/>
      <c r="D16" s="279"/>
      <c r="E16" s="277"/>
    </row>
    <row r="17" spans="2:5" x14ac:dyDescent="0.2">
      <c r="B17" s="276"/>
      <c r="C17" s="12" t="s">
        <v>16</v>
      </c>
      <c r="D17" s="13">
        <v>42551.719560185185</v>
      </c>
      <c r="E17" s="277"/>
    </row>
    <row r="18" spans="2:5" x14ac:dyDescent="0.2">
      <c r="B18" s="276"/>
      <c r="C18" s="12" t="s">
        <v>17</v>
      </c>
      <c r="D18" s="14" t="b">
        <v>1</v>
      </c>
      <c r="E18" s="277"/>
    </row>
    <row r="19" spans="2:5" x14ac:dyDescent="0.2">
      <c r="B19" s="280"/>
      <c r="C19" s="281"/>
      <c r="D19" s="282"/>
      <c r="E19" s="283"/>
    </row>
    <row r="21" spans="2:5" ht="18.75" x14ac:dyDescent="0.2">
      <c r="B21" s="289" t="str">
        <f>D23&amp;" Curve Settings"</f>
        <v>1M Curve Settings</v>
      </c>
      <c r="C21" s="290"/>
      <c r="D21" s="290"/>
      <c r="E21" s="291"/>
    </row>
    <row r="22" spans="2:5" x14ac:dyDescent="0.2">
      <c r="B22" s="276"/>
      <c r="C22" s="1"/>
      <c r="D22" s="1"/>
      <c r="E22" s="277"/>
    </row>
    <row r="23" spans="2:5" x14ac:dyDescent="0.2">
      <c r="B23" s="276"/>
      <c r="C23" s="316" t="s">
        <v>22</v>
      </c>
      <c r="D23" s="299" t="s">
        <v>35</v>
      </c>
      <c r="E23" s="277"/>
    </row>
    <row r="24" spans="2:5" x14ac:dyDescent="0.2">
      <c r="B24" s="276"/>
      <c r="C24" s="317" t="s">
        <v>25</v>
      </c>
      <c r="D24" s="313">
        <v>2</v>
      </c>
      <c r="E24" s="277"/>
    </row>
    <row r="25" spans="2:5" x14ac:dyDescent="0.2">
      <c r="B25" s="276"/>
      <c r="C25" s="305" t="s">
        <v>82</v>
      </c>
      <c r="D25" s="314" t="str">
        <f>_xll.qlEuribor(,"1M",D31,,Trigger)</f>
        <v>obj_00475#0001</v>
      </c>
      <c r="E25" s="277"/>
    </row>
    <row r="26" spans="2:5" x14ac:dyDescent="0.2">
      <c r="B26" s="278"/>
      <c r="C26" s="279"/>
      <c r="D26" s="279"/>
      <c r="E26" s="286"/>
    </row>
    <row r="27" spans="2:5" x14ac:dyDescent="0.2">
      <c r="B27" s="276"/>
      <c r="C27" s="316" t="s">
        <v>26</v>
      </c>
      <c r="D27" s="315" t="e">
        <v>#N/A</v>
      </c>
      <c r="E27" s="277"/>
    </row>
    <row r="28" spans="2:5" x14ac:dyDescent="0.2">
      <c r="B28" s="276"/>
      <c r="C28" s="317" t="s">
        <v>27</v>
      </c>
      <c r="D28" s="301" t="s">
        <v>28</v>
      </c>
      <c r="E28" s="277"/>
    </row>
    <row r="29" spans="2:5" x14ac:dyDescent="0.2">
      <c r="B29" s="276"/>
      <c r="C29" s="318" t="s">
        <v>29</v>
      </c>
      <c r="D29" s="302" t="s">
        <v>118</v>
      </c>
      <c r="E29" s="277"/>
    </row>
    <row r="30" spans="2:5" x14ac:dyDescent="0.2">
      <c r="B30" s="278"/>
      <c r="C30" s="53"/>
      <c r="D30" s="54"/>
      <c r="E30" s="277"/>
    </row>
    <row r="31" spans="2:5" x14ac:dyDescent="0.2">
      <c r="B31" s="276"/>
      <c r="C31" s="319" t="s">
        <v>84</v>
      </c>
      <c r="D31" s="58" t="str">
        <f>_xll.qlPiecewiseYieldCurve(,2,Calendar,_xll.ohPack('Delta 1M'!M13:M21),"actual/365",,,,D28,D29,,Trigger)</f>
        <v>obj_00474#0001</v>
      </c>
      <c r="E31" s="277"/>
    </row>
    <row r="32" spans="2:5" x14ac:dyDescent="0.2">
      <c r="B32" s="276"/>
      <c r="C32" s="320" t="s">
        <v>85</v>
      </c>
      <c r="D32" s="59" t="str">
        <f>_xll.ohRangeRetrieveError(D31)</f>
        <v/>
      </c>
      <c r="E32" s="288"/>
    </row>
    <row r="33" spans="2:5" x14ac:dyDescent="0.2">
      <c r="B33" s="278"/>
      <c r="C33" s="279"/>
      <c r="D33" s="279"/>
      <c r="E33" s="288"/>
    </row>
    <row r="34" spans="2:5" x14ac:dyDescent="0.2">
      <c r="B34" s="276"/>
      <c r="C34" s="10">
        <f>_xll.qlTermStructureReferenceDate(D31)</f>
        <v>42797</v>
      </c>
      <c r="D34" s="47">
        <f>_xll.qlYieldTSDiscount(D31,C34,,Trigger)</f>
        <v>1</v>
      </c>
      <c r="E34" s="288"/>
    </row>
    <row r="35" spans="2:5" x14ac:dyDescent="0.2">
      <c r="B35" s="276"/>
      <c r="C35" s="11">
        <f>_xll.qlTermStructureMaxDate(D31)</f>
        <v>42950</v>
      </c>
      <c r="D35" s="48">
        <f>_xll.qlYieldTSDiscount(D31,C35,,Trigger)</f>
        <v>1.0015578963066984</v>
      </c>
      <c r="E35" s="288"/>
    </row>
    <row r="36" spans="2:5" x14ac:dyDescent="0.2">
      <c r="B36" s="280"/>
      <c r="C36" s="287"/>
      <c r="D36" s="287"/>
      <c r="E36" s="283"/>
    </row>
  </sheetData>
  <conditionalFormatting sqref="D18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F132"/>
  <sheetViews>
    <sheetView workbookViewId="0">
      <selection activeCell="C2" sqref="C2"/>
    </sheetView>
  </sheetViews>
  <sheetFormatPr defaultColWidth="9.5" defaultRowHeight="11.25" x14ac:dyDescent="0.2"/>
  <cols>
    <col min="1" max="2" width="3.5" style="60" customWidth="1"/>
    <col min="3" max="5" width="22.83203125" style="60" customWidth="1"/>
    <col min="6" max="6" width="11.6640625" style="60" bestFit="1" customWidth="1"/>
    <col min="7" max="8" width="14.1640625" style="60" bestFit="1" customWidth="1"/>
    <col min="9" max="12" width="10.5" style="60" bestFit="1" customWidth="1"/>
    <col min="13" max="13" width="10.83203125" style="60" customWidth="1"/>
    <col min="14" max="14" width="13.1640625" style="60" customWidth="1"/>
    <col min="15" max="17" width="6.83203125" style="60" customWidth="1"/>
    <col min="18" max="18" width="2.33203125" style="60" bestFit="1" customWidth="1"/>
    <col min="19" max="19" width="10.83203125" style="60" customWidth="1"/>
    <col min="20" max="20" width="2.33203125" style="60" bestFit="1" customWidth="1"/>
    <col min="21" max="21" width="10.83203125" style="60" customWidth="1"/>
    <col min="22" max="22" width="12.5" style="60" bestFit="1" customWidth="1"/>
    <col min="23" max="25" width="9.33203125" style="60" bestFit="1" customWidth="1"/>
    <col min="26" max="27" width="9.5" style="60"/>
    <col min="28" max="28" width="20.33203125" style="60" bestFit="1" customWidth="1"/>
    <col min="29" max="29" width="8.1640625" style="60" bestFit="1" customWidth="1"/>
    <col min="30" max="31" width="9.5" style="60" bestFit="1" customWidth="1"/>
    <col min="32" max="32" width="12.1640625" style="60" customWidth="1"/>
    <col min="33" max="16384" width="9.5" style="60"/>
  </cols>
  <sheetData>
    <row r="2" spans="1:32" ht="19.5" customHeight="1" x14ac:dyDescent="0.2">
      <c r="C2" s="87" t="s">
        <v>89</v>
      </c>
      <c r="D2" s="87" t="s">
        <v>80</v>
      </c>
      <c r="E2" s="87" t="s">
        <v>81</v>
      </c>
      <c r="F2" s="87" t="s">
        <v>123</v>
      </c>
      <c r="G2" s="87" t="s">
        <v>127</v>
      </c>
      <c r="H2" s="87" t="s">
        <v>128</v>
      </c>
      <c r="I2" s="87" t="s">
        <v>96</v>
      </c>
      <c r="J2" s="88" t="s">
        <v>97</v>
      </c>
      <c r="K2" s="87" t="s">
        <v>98</v>
      </c>
      <c r="L2" s="87" t="s">
        <v>105</v>
      </c>
      <c r="S2" s="77" t="s">
        <v>94</v>
      </c>
      <c r="W2" s="355" t="s">
        <v>93</v>
      </c>
      <c r="X2" s="355"/>
      <c r="Y2" s="355"/>
      <c r="AB2" s="87" t="s">
        <v>80</v>
      </c>
      <c r="AC2" s="87" t="s">
        <v>119</v>
      </c>
      <c r="AD2" s="87" t="s">
        <v>34</v>
      </c>
      <c r="AE2" s="87" t="s">
        <v>87</v>
      </c>
      <c r="AF2" s="87" t="s">
        <v>88</v>
      </c>
    </row>
    <row r="3" spans="1:32" ht="12.2" customHeight="1" x14ac:dyDescent="0.2">
      <c r="C3" s="92" t="str">
        <f>$D$10&amp;"LastFixing"&amp;QuoteSuffix</f>
        <v>Euribor1MLastFixing_Quote</v>
      </c>
      <c r="D3" s="93">
        <f>_xll.qlCalendarAdvance(Calendar,_xll.qlLastFixingQuoteReferenceDate($C$3),_xll.qlInterestRateIndexFixingDays($D$10)&amp;"D","f",,LastFixingsTrigger)</f>
        <v>42796</v>
      </c>
      <c r="E3" s="93">
        <f>_xll.qlInterestRateIndexMaturity($D$10,D3)</f>
        <v>42828</v>
      </c>
      <c r="F3" s="94">
        <f>'Delta 1M'!X26</f>
        <v>-1.5504833201572935E-5</v>
      </c>
      <c r="G3" s="95">
        <f>_xll.qlDayCounterYearFraction(DayCounter,SettlementDate,D3,,,Trigger)</f>
        <v>-2.7777777777777779E-3</v>
      </c>
      <c r="H3" s="95">
        <f>_xll.qlDayCounterYearFraction(DayCounter,SettlementDate,E3,,,Trigger)</f>
        <v>8.611111111111111E-2</v>
      </c>
      <c r="I3" s="95">
        <f>H3-G3</f>
        <v>8.8888888888888892E-2</v>
      </c>
      <c r="J3" s="95">
        <f>(H3^2-G3^2)/2</f>
        <v>3.7037037037037034E-3</v>
      </c>
      <c r="K3" s="95">
        <f>(H3^3-G3^3)/3</f>
        <v>2.1284865112025607E-4</v>
      </c>
      <c r="L3" s="96" t="b">
        <f>IF(D12="fixing",TRUE,FALSE)</f>
        <v>0</v>
      </c>
      <c r="N3" s="356" t="s">
        <v>90</v>
      </c>
      <c r="O3" s="72">
        <f t="array" ref="O3:O5">_xll.ohFilter(K3:K7,L3:L7)</f>
        <v>2.1284150663008689E-4</v>
      </c>
      <c r="P3" s="78">
        <f t="array" ref="P3:P5">_xll.ohFilter(J3:J7,L3:L7)</f>
        <v>3.7075617283950616E-3</v>
      </c>
      <c r="Q3" s="73">
        <f t="array" ref="Q3:Q5">_xll.ohFilter(I3:I7,L3:L7)</f>
        <v>8.611111111111111E-2</v>
      </c>
      <c r="R3" s="79"/>
      <c r="S3" s="74">
        <f t="array" ref="S3:S5">MMULT(W3:Y5,U3:U5)</f>
        <v>3.3668530377777457E-3</v>
      </c>
      <c r="T3" s="80"/>
      <c r="U3" s="75">
        <f t="array" ref="U3:U5">_xll.ohFilter(F3:F7,L3:L7)</f>
        <v>-1.5504833201572935E-5</v>
      </c>
      <c r="W3" s="72">
        <f t="array" ref="W3:Y5">MINVERSE(O3:Q5)</f>
        <v>787.42531813630001</v>
      </c>
      <c r="X3" s="78">
        <v>-1601.5147740295961</v>
      </c>
      <c r="Y3" s="73">
        <v>716.21995026250272</v>
      </c>
      <c r="AB3" s="109">
        <f>SettlementDate</f>
        <v>42797</v>
      </c>
      <c r="AC3" s="100">
        <f>_xll.qlDayCounterYearFraction(DayCounter,SettlementDate,AB3,,,Trigger)</f>
        <v>0</v>
      </c>
      <c r="AD3" s="125">
        <f t="shared" ref="AD3:AD26" si="0">$S$13</f>
        <v>-1.8005612750213732E-4</v>
      </c>
      <c r="AE3" s="125">
        <f t="shared" ref="AE3:AE23" si="1">$S$10+$S$9*AC3</f>
        <v>-1.8320212184903876E-4</v>
      </c>
      <c r="AF3" s="125">
        <f t="shared" ref="AF3:AF23" si="2">($S$5+$S$4*AC3+$S$3*AC3^2)</f>
        <v>-1.6682681553618461E-4</v>
      </c>
    </row>
    <row r="4" spans="1:32" ht="12.2" customHeight="1" x14ac:dyDescent="0.2">
      <c r="A4" s="60">
        <v>0</v>
      </c>
      <c r="B4" s="61">
        <f>A4+SUBSTITUTE($D$9,"M","")</f>
        <v>1</v>
      </c>
      <c r="C4" s="97" t="str">
        <f>"Delta("&amp;A4&amp;"M,"&amp;B4&amp;"M)"</f>
        <v>Delta(0M,1M)</v>
      </c>
      <c r="D4" s="98">
        <f>SettlementDate</f>
        <v>42797</v>
      </c>
      <c r="E4" s="98">
        <f>_xll.qlInterestRateIndexMaturity($D$10,D4)</f>
        <v>42828</v>
      </c>
      <c r="F4" s="99">
        <f t="array" ref="F4:F7">Delta1M</f>
        <v>-1.5504833201572935E-5</v>
      </c>
      <c r="G4" s="100">
        <f>_xll.qlDayCounterYearFraction(DayCounter,SettlementDate,D4,,,Trigger)</f>
        <v>0</v>
      </c>
      <c r="H4" s="100">
        <f>_xll.qlDayCounterYearFraction(DayCounter,SettlementDate,E4,,,Trigger)</f>
        <v>8.611111111111111E-2</v>
      </c>
      <c r="I4" s="100">
        <f>H4-G4</f>
        <v>8.611111111111111E-2</v>
      </c>
      <c r="J4" s="100">
        <f>(H4^2-G4^2)/2</f>
        <v>3.7075617283950616E-3</v>
      </c>
      <c r="K4" s="100">
        <f>(H4^3-G4^3)/3</f>
        <v>2.1284150663008689E-4</v>
      </c>
      <c r="L4" s="101" t="b">
        <f>IF(D12="fixing",FALSE,TRUE)</f>
        <v>1</v>
      </c>
      <c r="N4" s="356"/>
      <c r="O4" s="72">
        <v>1.4088220164609055E-3</v>
      </c>
      <c r="P4" s="78">
        <v>1.064814814814815E-2</v>
      </c>
      <c r="Q4" s="73">
        <v>8.3333333333333343E-2</v>
      </c>
      <c r="R4" s="81" t="s">
        <v>32</v>
      </c>
      <c r="S4" s="74">
        <v>-5.0054374322979866E-4</v>
      </c>
      <c r="T4" s="81" t="s">
        <v>33</v>
      </c>
      <c r="U4" s="75">
        <v>-1.4488801874745338E-5</v>
      </c>
      <c r="W4" s="72">
        <v>-271.22427624694785</v>
      </c>
      <c r="X4" s="78">
        <v>414.4900094673373</v>
      </c>
      <c r="Y4" s="73">
        <v>-122.02265819287079</v>
      </c>
      <c r="AB4" s="114">
        <f>_xll.qlCalendarAdvance(Calendar,AB3,"1d","mf",,Trigger)</f>
        <v>42800</v>
      </c>
      <c r="AC4" s="100">
        <f>_xll.qlDayCounterYearFraction(DayCounter,SettlementDate,AB4,,,Trigger)</f>
        <v>8.3333333333333332E-3</v>
      </c>
      <c r="AD4" s="112">
        <f t="shared" si="0"/>
        <v>-1.8005612750213732E-4</v>
      </c>
      <c r="AE4" s="112">
        <f t="shared" si="1"/>
        <v>-1.825932197173804E-4</v>
      </c>
      <c r="AF4" s="112">
        <f t="shared" si="2"/>
        <v>-1.7076420415769835E-4</v>
      </c>
    </row>
    <row r="5" spans="1:32" ht="12.2" customHeight="1" x14ac:dyDescent="0.2">
      <c r="A5" s="62">
        <v>1</v>
      </c>
      <c r="B5" s="61">
        <f t="shared" ref="B5:B7" si="3">A5+SUBSTITUTE($D$9,"M","")</f>
        <v>2</v>
      </c>
      <c r="C5" s="97" t="str">
        <f>"Delta("&amp;A5&amp;"M,"&amp;B5&amp;"M)"</f>
        <v>Delta(1M,2M)</v>
      </c>
      <c r="D5" s="98">
        <f>_xll.qlCalendarAdvance(Calendar,SettlementDate,A5&amp;"M","f")</f>
        <v>42828</v>
      </c>
      <c r="E5" s="98">
        <f>_xll.qlInterestRateIndexMaturity($D$10,D5)</f>
        <v>42858</v>
      </c>
      <c r="F5" s="99">
        <v>-1.4488801874745338E-5</v>
      </c>
      <c r="G5" s="100">
        <f>_xll.qlDayCounterYearFraction(DayCounter,SettlementDate,D5,,,Trigger)</f>
        <v>8.611111111111111E-2</v>
      </c>
      <c r="H5" s="100">
        <f>_xll.qlDayCounterYearFraction(DayCounter,SettlementDate,E5,,,Trigger)</f>
        <v>0.16944444444444445</v>
      </c>
      <c r="I5" s="100">
        <f>H5-G5</f>
        <v>8.3333333333333343E-2</v>
      </c>
      <c r="J5" s="100">
        <f>(H5^2-G5^2)/2</f>
        <v>1.064814814814815E-2</v>
      </c>
      <c r="K5" s="100">
        <f>(H5^3-G5^3)/3</f>
        <v>1.4088220164609055E-3</v>
      </c>
      <c r="L5" s="101" t="b">
        <v>1</v>
      </c>
      <c r="N5" s="356"/>
      <c r="O5" s="72">
        <v>4.312435699588479E-3</v>
      </c>
      <c r="P5" s="78">
        <v>1.9733796296296301E-2</v>
      </c>
      <c r="Q5" s="73">
        <v>9.1666666666666674E-2</v>
      </c>
      <c r="R5" s="62"/>
      <c r="S5" s="74">
        <v>-1.6682681553618461E-4</v>
      </c>
      <c r="T5" s="81"/>
      <c r="U5" s="75">
        <v>-1.0650749121718735E-5</v>
      </c>
      <c r="W5" s="72">
        <v>21.344329804111293</v>
      </c>
      <c r="X5" s="78">
        <v>-13.887621040742754</v>
      </c>
      <c r="Y5" s="73">
        <v>3.4834668877222001</v>
      </c>
      <c r="AB5" s="114">
        <f>_xll.qlCalendarAdvance(Calendar,AB4,"1d","mf",,Trigger)</f>
        <v>42801</v>
      </c>
      <c r="AC5" s="100">
        <f>_xll.qlDayCounterYearFraction(DayCounter,SettlementDate,AB5,,,Trigger)</f>
        <v>1.1111111111111112E-2</v>
      </c>
      <c r="AD5" s="112">
        <f t="shared" si="0"/>
        <v>-1.8005612750213732E-4</v>
      </c>
      <c r="AE5" s="112">
        <f t="shared" si="1"/>
        <v>-1.8239025234016097E-4</v>
      </c>
      <c r="AF5" s="112">
        <f t="shared" si="2"/>
        <v>-1.7197275181432092E-4</v>
      </c>
    </row>
    <row r="6" spans="1:32" ht="12.2" customHeight="1" x14ac:dyDescent="0.2">
      <c r="A6" s="62">
        <v>2</v>
      </c>
      <c r="B6" s="63">
        <f t="shared" si="3"/>
        <v>3</v>
      </c>
      <c r="C6" s="97" t="str">
        <f>"Delta("&amp;A6&amp;"M,"&amp;B6&amp;"M)"</f>
        <v>Delta(2M,3M)</v>
      </c>
      <c r="D6" s="98">
        <f>_xll.qlCalendarAdvance(Calendar,SettlementDate,A6&amp;"M","f")</f>
        <v>42858</v>
      </c>
      <c r="E6" s="98">
        <f>_xll.qlInterestRateIndexMaturity($D$10,D6)</f>
        <v>42891</v>
      </c>
      <c r="F6" s="99">
        <v>-1.0650749121718735E-5</v>
      </c>
      <c r="G6" s="100">
        <f>_xll.qlDayCounterYearFraction(DayCounter,SettlementDate,D6,,,Trigger)</f>
        <v>0.16944444444444445</v>
      </c>
      <c r="H6" s="100">
        <f>_xll.qlDayCounterYearFraction(DayCounter,SettlementDate,E6,,,Trigger)</f>
        <v>0.26111111111111113</v>
      </c>
      <c r="I6" s="100">
        <f>H6-G6</f>
        <v>9.1666666666666674E-2</v>
      </c>
      <c r="J6" s="100">
        <f>(H6^2-G6^2)/2</f>
        <v>1.9733796296296301E-2</v>
      </c>
      <c r="K6" s="100">
        <f>(H6^3-G6^3)/3</f>
        <v>4.312435699588479E-3</v>
      </c>
      <c r="L6" s="101" t="b">
        <v>1</v>
      </c>
      <c r="S6" s="76"/>
      <c r="T6" s="69"/>
      <c r="U6" s="70"/>
      <c r="AB6" s="114">
        <f>_xll.qlCalendarAdvance(Calendar,AB5,"1d","mf",,Trigger)</f>
        <v>42802</v>
      </c>
      <c r="AC6" s="100">
        <f>_xll.qlDayCounterYearFraction(DayCounter,SettlementDate,AB6,,,Trigger)</f>
        <v>1.3888888888888888E-2</v>
      </c>
      <c r="AD6" s="112">
        <f t="shared" si="0"/>
        <v>-1.8005612750213732E-4</v>
      </c>
      <c r="AE6" s="112">
        <f t="shared" si="1"/>
        <v>-1.821872849629415E-4</v>
      </c>
      <c r="AF6" s="112">
        <f t="shared" si="2"/>
        <v>-1.7312934186233578E-4</v>
      </c>
    </row>
    <row r="7" spans="1:32" ht="12.2" customHeight="1" x14ac:dyDescent="0.2">
      <c r="A7" s="62">
        <v>3</v>
      </c>
      <c r="B7" s="63">
        <f t="shared" si="3"/>
        <v>4</v>
      </c>
      <c r="C7" s="102" t="str">
        <f>"Delta("&amp;A7&amp;"M,"&amp;B7&amp;"M)"</f>
        <v>Delta(3M,4M)</v>
      </c>
      <c r="D7" s="103">
        <f>_xll.qlCalendarAdvance(Calendar,SettlementDate,A7&amp;"M","f")</f>
        <v>42891</v>
      </c>
      <c r="E7" s="103">
        <f>_xll.qlInterestRateIndexMaturity($D$10,D7)</f>
        <v>42921</v>
      </c>
      <c r="F7" s="104">
        <v>-5.8206448036152913E-6</v>
      </c>
      <c r="G7" s="105">
        <f>_xll.qlDayCounterYearFraction(DayCounter,SettlementDate,D7,,,Trigger)</f>
        <v>0.26111111111111113</v>
      </c>
      <c r="H7" s="105">
        <f>_xll.qlDayCounterYearFraction(DayCounter,SettlementDate,E7,,,Trigger)</f>
        <v>0.34444444444444444</v>
      </c>
      <c r="I7" s="105">
        <f>H7-G7</f>
        <v>8.3333333333333315E-2</v>
      </c>
      <c r="J7" s="105">
        <f>(H7^2-G7^2)/2</f>
        <v>2.5231481481481473E-2</v>
      </c>
      <c r="K7" s="105">
        <f>(H7^3-G7^3)/3</f>
        <v>7.6877572016460886E-3</v>
      </c>
      <c r="L7" s="106" t="b">
        <v>0</v>
      </c>
      <c r="S7" s="76"/>
      <c r="T7" s="69"/>
      <c r="U7" s="70"/>
      <c r="AB7" s="114">
        <f>_xll.qlCalendarAdvance(Calendar,AB6,"1d","mf",,Trigger)</f>
        <v>42803</v>
      </c>
      <c r="AC7" s="100">
        <f>_xll.qlDayCounterYearFraction(DayCounter,SettlementDate,AB7,,,Trigger)</f>
        <v>1.6666666666666666E-2</v>
      </c>
      <c r="AD7" s="112">
        <f t="shared" si="0"/>
        <v>-1.8005612750213732E-4</v>
      </c>
      <c r="AE7" s="112">
        <f t="shared" si="1"/>
        <v>-1.8198431758572207E-4</v>
      </c>
      <c r="AF7" s="112">
        <f t="shared" si="2"/>
        <v>-1.74233974301743E-4</v>
      </c>
    </row>
    <row r="8" spans="1:32" ht="12.2" customHeight="1" x14ac:dyDescent="0.2">
      <c r="A8" s="62"/>
      <c r="B8" s="63"/>
      <c r="C8" s="63"/>
      <c r="D8" s="64"/>
      <c r="E8" s="64"/>
      <c r="F8" s="65"/>
      <c r="G8" s="66"/>
      <c r="H8" s="66"/>
      <c r="I8" s="66"/>
      <c r="J8" s="66"/>
      <c r="K8" s="66"/>
      <c r="L8" s="67"/>
      <c r="S8" s="68" t="s">
        <v>95</v>
      </c>
      <c r="T8" s="69"/>
      <c r="U8" s="70"/>
      <c r="AB8" s="114">
        <f>_xll.qlCalendarAdvance(Calendar,AB7,"1d","mf",,Trigger)</f>
        <v>42804</v>
      </c>
      <c r="AC8" s="100">
        <f>_xll.qlDayCounterYearFraction(DayCounter,SettlementDate,AB8,,,Trigger)</f>
        <v>1.9444444444444445E-2</v>
      </c>
      <c r="AD8" s="112">
        <f t="shared" si="0"/>
        <v>-1.8005612750213732E-4</v>
      </c>
      <c r="AE8" s="112">
        <f t="shared" si="1"/>
        <v>-1.8178135020850261E-4</v>
      </c>
      <c r="AF8" s="112">
        <f t="shared" si="2"/>
        <v>-1.7528664913254251E-4</v>
      </c>
    </row>
    <row r="9" spans="1:32" ht="12.2" customHeight="1" x14ac:dyDescent="0.2">
      <c r="C9" s="87" t="s">
        <v>134</v>
      </c>
      <c r="D9" s="122" t="s">
        <v>35</v>
      </c>
      <c r="N9" s="355" t="s">
        <v>91</v>
      </c>
      <c r="O9" s="71"/>
      <c r="P9" s="72">
        <f t="array" ref="P9:P10">_xll.ohFilter(J3:J7,L3:L7)</f>
        <v>3.7075617283950616E-3</v>
      </c>
      <c r="Q9" s="73">
        <f t="array" ref="Q9:Q10">_xll.ohFilter(I3:I7,L3:L7)</f>
        <v>8.611111111111111E-2</v>
      </c>
      <c r="R9" s="357" t="s">
        <v>32</v>
      </c>
      <c r="S9" s="74">
        <f t="array" ref="S9:S10">MMULT(W9:X10,U9:U10)</f>
        <v>7.3068255799002124E-5</v>
      </c>
      <c r="T9" s="357" t="s">
        <v>33</v>
      </c>
      <c r="U9" s="75">
        <f t="array" ref="U9:U10">_xll.ohFilter(F3:F7,L3:L7)</f>
        <v>-1.5504833201572935E-5</v>
      </c>
      <c r="W9" s="72">
        <f t="array" ref="W9:X10">MINVERSE(P9:Q10)</f>
        <v>-137.07033315705974</v>
      </c>
      <c r="X9" s="73">
        <v>141.63934426229505</v>
      </c>
      <c r="AB9" s="114">
        <f>_xll.qlCalendarAdvance(Calendar,AB8,"1d","mf",,Trigger)</f>
        <v>42807</v>
      </c>
      <c r="AC9" s="100">
        <f>_xll.qlDayCounterYearFraction(DayCounter,SettlementDate,AB9,,,Trigger)</f>
        <v>2.7777777777777776E-2</v>
      </c>
      <c r="AD9" s="112">
        <f t="shared" si="0"/>
        <v>-1.8005612750213732E-4</v>
      </c>
      <c r="AE9" s="112">
        <f t="shared" si="1"/>
        <v>-1.8117244807684427E-4</v>
      </c>
      <c r="AF9" s="112">
        <f t="shared" si="2"/>
        <v>-1.7813292797329498E-4</v>
      </c>
    </row>
    <row r="10" spans="1:32" ht="12.2" customHeight="1" x14ac:dyDescent="0.2">
      <c r="C10" s="87" t="s">
        <v>104</v>
      </c>
      <c r="D10" s="122" t="str">
        <f>PROPER(Currency)&amp;IborType&amp;D9</f>
        <v>Euribor1M</v>
      </c>
      <c r="N10" s="355"/>
      <c r="O10" s="71"/>
      <c r="P10" s="72">
        <v>1.064814814814815E-2</v>
      </c>
      <c r="Q10" s="73">
        <v>8.3333333333333343E-2</v>
      </c>
      <c r="R10" s="357"/>
      <c r="S10" s="74">
        <v>-1.8320212184903876E-4</v>
      </c>
      <c r="T10" s="357"/>
      <c r="U10" s="75">
        <v>-1.4488801874745338E-5</v>
      </c>
      <c r="W10" s="72">
        <v>17.514542570068745</v>
      </c>
      <c r="X10" s="73">
        <v>-6.0983606557377028</v>
      </c>
      <c r="AB10" s="114">
        <f>_xll.qlCalendarAdvance(Calendar,AB9,"1d","mf",,Trigger)</f>
        <v>42808</v>
      </c>
      <c r="AC10" s="100">
        <f>_xll.qlDayCounterYearFraction(DayCounter,SettlementDate,AB10,,,Trigger)</f>
        <v>3.0555555555555555E-2</v>
      </c>
      <c r="AD10" s="112">
        <f t="shared" si="0"/>
        <v>-1.8005612750213732E-4</v>
      </c>
      <c r="AE10" s="112">
        <f t="shared" si="1"/>
        <v>-1.8096948069962481E-4</v>
      </c>
      <c r="AF10" s="112">
        <f t="shared" si="2"/>
        <v>-1.7897777236966373E-4</v>
      </c>
    </row>
    <row r="11" spans="1:32" ht="12.2" customHeight="1" x14ac:dyDescent="0.2">
      <c r="C11" s="87" t="s">
        <v>126</v>
      </c>
      <c r="D11" s="123" t="s">
        <v>83</v>
      </c>
      <c r="S11" s="76"/>
      <c r="T11" s="69"/>
      <c r="U11" s="70"/>
      <c r="AB11" s="114">
        <f>_xll.qlCalendarAdvance(Calendar,AB10,"1d","mf",,Trigger)</f>
        <v>42809</v>
      </c>
      <c r="AC11" s="100">
        <f>_xll.qlDayCounterYearFraction(DayCounter,SettlementDate,AB11,,,Trigger)</f>
        <v>3.3333333333333333E-2</v>
      </c>
      <c r="AD11" s="112">
        <f t="shared" si="0"/>
        <v>-1.8005612750213732E-4</v>
      </c>
      <c r="AE11" s="112">
        <f t="shared" si="1"/>
        <v>-1.8076651332240537E-4</v>
      </c>
      <c r="AF11" s="112">
        <f t="shared" si="2"/>
        <v>-1.7977065915742485E-4</v>
      </c>
    </row>
    <row r="12" spans="1:32" ht="12.2" customHeight="1" x14ac:dyDescent="0.2">
      <c r="C12" s="87" t="s">
        <v>125</v>
      </c>
      <c r="D12" s="122" t="s">
        <v>131</v>
      </c>
      <c r="S12" s="77" t="s">
        <v>30</v>
      </c>
      <c r="T12" s="69"/>
      <c r="U12" s="70"/>
      <c r="AB12" s="114">
        <f>_xll.qlCalendarAdvance(Calendar,AB11,"1d","mf",,Trigger)</f>
        <v>42810</v>
      </c>
      <c r="AC12" s="100">
        <f>_xll.qlDayCounterYearFraction(DayCounter,SettlementDate,AB12,,,Trigger)</f>
        <v>3.6111111111111108E-2</v>
      </c>
      <c r="AD12" s="112">
        <f t="shared" si="0"/>
        <v>-1.8005612750213732E-4</v>
      </c>
      <c r="AE12" s="112">
        <f t="shared" si="1"/>
        <v>-1.8056354594518591E-4</v>
      </c>
      <c r="AF12" s="112">
        <f t="shared" si="2"/>
        <v>-1.8051158833657827E-4</v>
      </c>
    </row>
    <row r="13" spans="1:32" ht="12.2" customHeight="1" x14ac:dyDescent="0.2">
      <c r="J13" s="89" t="str">
        <f>"Synthetic Deposits "&amp;D9</f>
        <v>Synthetic Deposits 1M</v>
      </c>
      <c r="K13" s="89"/>
      <c r="L13" s="89"/>
      <c r="N13" s="82" t="s">
        <v>92</v>
      </c>
      <c r="Q13" s="83">
        <f t="array" ref="Q13">_xll.ohFilter(I3:I7,L3:L7)</f>
        <v>8.611111111111111E-2</v>
      </c>
      <c r="R13" s="82" t="s">
        <v>32</v>
      </c>
      <c r="S13" s="74">
        <f>MMULT(W13,U13)</f>
        <v>-1.8005612750213732E-4</v>
      </c>
      <c r="T13" s="82" t="s">
        <v>33</v>
      </c>
      <c r="U13" s="75">
        <f t="array" ref="U13">_xll.ohFilter(F3:F7,L3:L7)</f>
        <v>-1.5504833201572935E-5</v>
      </c>
      <c r="W13" s="83">
        <f>MINVERSE(Q13)</f>
        <v>11.612903225806452</v>
      </c>
      <c r="AB13" s="114">
        <f>_xll.qlCalendarAdvance(Calendar,AB12,"1d","mf",,Trigger)</f>
        <v>42811</v>
      </c>
      <c r="AC13" s="100">
        <f>_xll.qlDayCounterYearFraction(DayCounter,SettlementDate,AB13,,,Trigger)</f>
        <v>3.888888888888889E-2</v>
      </c>
      <c r="AD13" s="112">
        <f t="shared" si="0"/>
        <v>-1.8005612750213732E-4</v>
      </c>
      <c r="AE13" s="112">
        <f t="shared" si="1"/>
        <v>-1.8036057856796647E-4</v>
      </c>
      <c r="AF13" s="112">
        <f t="shared" si="2"/>
        <v>-1.8120055990712401E-4</v>
      </c>
    </row>
    <row r="14" spans="1:32" ht="12.2" customHeight="1" x14ac:dyDescent="0.2">
      <c r="C14" s="87" t="s">
        <v>99</v>
      </c>
      <c r="D14" s="87" t="s">
        <v>80</v>
      </c>
      <c r="E14" s="87" t="s">
        <v>81</v>
      </c>
      <c r="F14" s="87" t="s">
        <v>119</v>
      </c>
      <c r="G14" s="87" t="s">
        <v>120</v>
      </c>
      <c r="H14" s="87" t="s">
        <v>121</v>
      </c>
      <c r="I14" s="88" t="s">
        <v>122</v>
      </c>
      <c r="J14" s="90" t="s">
        <v>92</v>
      </c>
      <c r="K14" s="90" t="s">
        <v>91</v>
      </c>
      <c r="L14" s="90" t="s">
        <v>117</v>
      </c>
      <c r="AB14" s="114">
        <f>_xll.qlCalendarAdvance(Calendar,AB13,"1d","mf",,Trigger)</f>
        <v>42814</v>
      </c>
      <c r="AC14" s="100">
        <f>_xll.qlDayCounterYearFraction(DayCounter,SettlementDate,AB14,,,Trigger)</f>
        <v>4.7222222222222221E-2</v>
      </c>
      <c r="AD14" s="112">
        <f t="shared" si="0"/>
        <v>-1.8005612750213732E-4</v>
      </c>
      <c r="AE14" s="112">
        <f t="shared" si="1"/>
        <v>-1.7975167643630811E-4</v>
      </c>
      <c r="AF14" s="112">
        <f t="shared" si="2"/>
        <v>-1.8295572896711516E-4</v>
      </c>
    </row>
    <row r="15" spans="1:32" ht="12.2" customHeight="1" x14ac:dyDescent="0.2">
      <c r="C15" s="107" t="s">
        <v>38</v>
      </c>
      <c r="D15" s="108">
        <f t="shared" ref="D15:D19" si="4">SettlementDate</f>
        <v>42797</v>
      </c>
      <c r="E15" s="109">
        <f>_xll.qlCalendarAdvance(Calendar,SettlementDate,C15,"Following",,Trigger)</f>
        <v>42800</v>
      </c>
      <c r="F15" s="110">
        <f>_xll.qlDayCounterYearFraction(DayCounter,D15,E15,,,Trigger)</f>
        <v>8.3333333333333332E-3</v>
      </c>
      <c r="G15" s="111">
        <f>_xll.qlYieldTSDiscount(Discounting,D15,,AllTriggers)</f>
        <v>1.000020555872458</v>
      </c>
      <c r="H15" s="111">
        <f>_xll.qlYieldTSDiscount(Discounting,E15,,AllTriggers)</f>
        <v>1.0000508163916877</v>
      </c>
      <c r="I15" s="112">
        <f>(G15/H15-1)/F15</f>
        <v>-3.6310777892989421E-3</v>
      </c>
      <c r="J15" s="112">
        <f>((1+I15*F15)*EXP($S$13*F15)-1)/F15</f>
        <v>-3.8111283334130164E-3</v>
      </c>
      <c r="K15" s="112">
        <f>((1+F15*I15)*EXP($S$10*F15+0.5*$S$9*F15^2)-1)/F15</f>
        <v>-3.813969786405913E-3</v>
      </c>
      <c r="L15" s="112">
        <f>((1+F15*I15)*EXP($S$5*F15+0.5*$S$4*F15^2+1/3*$S$3*F15^3)-1)/F15</f>
        <v>-3.7999070398253565E-3</v>
      </c>
      <c r="AB15" s="114">
        <f>_xll.qlCalendarAdvance(Calendar,AB14,"1d","mf",,Trigger)</f>
        <v>42815</v>
      </c>
      <c r="AC15" s="100">
        <f>_xll.qlDayCounterYearFraction(DayCounter,SettlementDate,AB15,,,Trigger)</f>
        <v>0.05</v>
      </c>
      <c r="AD15" s="112">
        <f t="shared" si="0"/>
        <v>-1.8005612750213732E-4</v>
      </c>
      <c r="AE15" s="112">
        <f t="shared" si="1"/>
        <v>-1.7954870905908865E-4</v>
      </c>
      <c r="AF15" s="112">
        <f t="shared" si="2"/>
        <v>-1.8343687010323017E-4</v>
      </c>
    </row>
    <row r="16" spans="1:32" ht="12.2" customHeight="1" x14ac:dyDescent="0.2">
      <c r="C16" s="113" t="s">
        <v>39</v>
      </c>
      <c r="D16" s="98">
        <f>SettlementDate</f>
        <v>42797</v>
      </c>
      <c r="E16" s="114">
        <f>_xll.qlCalendarAdvance(Calendar,SettlementDate,C16,"Following",,Trigger)</f>
        <v>42804</v>
      </c>
      <c r="F16" s="100">
        <f>_xll.qlDayCounterYearFraction(DayCounter,D16,E16,,,Trigger)</f>
        <v>1.9444444444444445E-2</v>
      </c>
      <c r="G16" s="115">
        <f>_xll.qlYieldTSDiscount(Discounting,D16,,AllTriggers)</f>
        <v>1.000020555872458</v>
      </c>
      <c r="H16" s="116">
        <f>_xll.qlYieldTSDiscount(Discounting,E16,,AllTriggers)</f>
        <v>1.000089589834422</v>
      </c>
      <c r="I16" s="112">
        <f t="shared" ref="I16:I19" si="5">(G16/H16-1)/F16</f>
        <v>-3.549999999951885E-3</v>
      </c>
      <c r="J16" s="112">
        <f t="shared" ref="J16:J19" si="6">((1+I16*F16)*EXP($S$13*F16)-1)/F16</f>
        <v>-3.7300433834053237E-3</v>
      </c>
      <c r="K16" s="112">
        <f t="shared" ref="K16:K19" si="7">((1+F16*I16)*EXP($S$10*F16+0.5*$S$9*F16^2)-1)/F16</f>
        <v>-3.7324788152272503E-3</v>
      </c>
      <c r="L16" s="112">
        <f t="shared" ref="L16:L19" si="8">((1+F16*I16)*EXP($S$5*F16+0.5*$S$4*F16^2+1/3*$S$3*F16^3)-1)/F16</f>
        <v>-3.7212567850478501E-3</v>
      </c>
      <c r="AB16" s="114">
        <f>_xll.qlCalendarAdvance(Calendar,AB15,"1d","mf",,Trigger)</f>
        <v>42816</v>
      </c>
      <c r="AC16" s="100">
        <f>_xll.qlDayCounterYearFraction(DayCounter,SettlementDate,AB16,,,Trigger)</f>
        <v>5.2777777777777778E-2</v>
      </c>
      <c r="AD16" s="112">
        <f t="shared" si="0"/>
        <v>-1.8005612750213732E-4</v>
      </c>
      <c r="AE16" s="112">
        <f t="shared" si="1"/>
        <v>-1.7934574168186921E-4</v>
      </c>
      <c r="AF16" s="112">
        <f t="shared" si="2"/>
        <v>-1.8386605363073752E-4</v>
      </c>
    </row>
    <row r="17" spans="3:32" ht="12.2" customHeight="1" x14ac:dyDescent="0.2">
      <c r="C17" s="113" t="s">
        <v>40</v>
      </c>
      <c r="D17" s="98">
        <f t="shared" si="4"/>
        <v>42797</v>
      </c>
      <c r="E17" s="114">
        <f>_xll.qlCalendarAdvance(Calendar,SettlementDate,C17,"Following",,Trigger)</f>
        <v>42811</v>
      </c>
      <c r="F17" s="100">
        <f>_xll.qlDayCounterYearFraction(DayCounter,D17,E17,,,Trigger)</f>
        <v>3.888888888888889E-2</v>
      </c>
      <c r="G17" s="115">
        <f>_xll.qlYieldTSDiscount(Discounting,D17,,AllTriggers)</f>
        <v>1.000020555872458</v>
      </c>
      <c r="H17" s="116">
        <f>_xll.qlYieldTSDiscount(Discounting,E17,,AllTriggers)</f>
        <v>1.0001586333282257</v>
      </c>
      <c r="I17" s="112">
        <f t="shared" si="5"/>
        <v>-3.5499999999975629E-3</v>
      </c>
      <c r="J17" s="112">
        <f t="shared" si="6"/>
        <v>-3.730030639445151E-3</v>
      </c>
      <c r="K17" s="112">
        <f t="shared" si="7"/>
        <v>-3.7317556118386464E-3</v>
      </c>
      <c r="L17" s="112">
        <f t="shared" si="8"/>
        <v>-3.7248375934776207E-3</v>
      </c>
      <c r="AB17" s="114">
        <f>_xll.qlCalendarAdvance(Calendar,AB16,"1d","mf",,Trigger)</f>
        <v>42817</v>
      </c>
      <c r="AC17" s="100">
        <f>_xll.qlDayCounterYearFraction(DayCounter,SettlementDate,AB17,,,Trigger)</f>
        <v>5.5555555555555552E-2</v>
      </c>
      <c r="AD17" s="112">
        <f t="shared" si="0"/>
        <v>-1.8005612750213732E-4</v>
      </c>
      <c r="AE17" s="112">
        <f t="shared" si="1"/>
        <v>-1.7914277430464975E-4</v>
      </c>
      <c r="AF17" s="112">
        <f t="shared" si="2"/>
        <v>-1.8424327954963716E-4</v>
      </c>
    </row>
    <row r="18" spans="3:32" ht="12.2" customHeight="1" x14ac:dyDescent="0.2">
      <c r="C18" s="113" t="s">
        <v>41</v>
      </c>
      <c r="D18" s="98">
        <f t="shared" si="4"/>
        <v>42797</v>
      </c>
      <c r="E18" s="114">
        <f>_xll.qlCalendarAdvance(Calendar,SettlementDate,C18,"Following",,Trigger)</f>
        <v>42818</v>
      </c>
      <c r="F18" s="100">
        <f>_xll.qlDayCounterYearFraction(DayCounter,D18,E18,,,Trigger)</f>
        <v>5.8333333333333334E-2</v>
      </c>
      <c r="G18" s="115">
        <f>_xll.qlYieldTSDiscount(Discounting,D18,,AllTriggers)</f>
        <v>1.000020555872458</v>
      </c>
      <c r="H18" s="116">
        <f>_xll.qlYieldTSDiscount(Discounting,E18,,AllTriggers)</f>
        <v>1.0002276863558459</v>
      </c>
      <c r="I18" s="112">
        <f t="shared" si="5"/>
        <v>-3.5500000000870152E-3</v>
      </c>
      <c r="J18" s="112">
        <f t="shared" si="6"/>
        <v>-3.7300178955763335E-3</v>
      </c>
      <c r="K18" s="112">
        <f t="shared" si="7"/>
        <v>-3.7310325116189447E-3</v>
      </c>
      <c r="L18" s="112">
        <f t="shared" si="8"/>
        <v>-3.7275694245789532E-3</v>
      </c>
      <c r="AB18" s="114">
        <f>_xll.qlCalendarAdvance(Calendar,AB17,"1d","mf",,Trigger)</f>
        <v>42818</v>
      </c>
      <c r="AC18" s="100">
        <f>_xll.qlDayCounterYearFraction(DayCounter,SettlementDate,AB18,,,Trigger)</f>
        <v>5.8333333333333334E-2</v>
      </c>
      <c r="AD18" s="112">
        <f t="shared" si="0"/>
        <v>-1.8005612750213732E-4</v>
      </c>
      <c r="AE18" s="112">
        <f t="shared" si="1"/>
        <v>-1.7893980692743031E-4</v>
      </c>
      <c r="AF18" s="112">
        <f t="shared" si="2"/>
        <v>-1.8456854785992916E-4</v>
      </c>
    </row>
    <row r="19" spans="3:32" ht="12.2" customHeight="1" x14ac:dyDescent="0.2">
      <c r="C19" s="117" t="s">
        <v>35</v>
      </c>
      <c r="D19" s="103">
        <f t="shared" si="4"/>
        <v>42797</v>
      </c>
      <c r="E19" s="118">
        <f>_xll.qlCalendarAdvance(Calendar,SettlementDate,C19,"mf",TRUE,Trigger)</f>
        <v>42828</v>
      </c>
      <c r="F19" s="105">
        <f>_xll.qlDayCounterYearFraction(DayCounter,D19,E19,,,Trigger)</f>
        <v>8.611111111111111E-2</v>
      </c>
      <c r="G19" s="119">
        <f>_xll.qlYieldTSDiscount(Discounting,D19,,AllTriggers)</f>
        <v>1.000020555872458</v>
      </c>
      <c r="H19" s="120">
        <f>_xll.qlYieldTSDiscount(Discounting,E19,,AllTriggers)</f>
        <v>1.0003246267722015</v>
      </c>
      <c r="I19" s="121">
        <f t="shared" si="5"/>
        <v>-3.5299999999987581E-3</v>
      </c>
      <c r="J19" s="121">
        <f t="shared" si="6"/>
        <v>-3.710000000000711E-3</v>
      </c>
      <c r="K19" s="121">
        <f t="shared" si="7"/>
        <v>-3.710000000000711E-3</v>
      </c>
      <c r="L19" s="121">
        <f t="shared" si="8"/>
        <v>-3.710000000000711E-3</v>
      </c>
      <c r="AB19" s="114">
        <f>_xll.qlCalendarAdvance(Calendar,AB18,"1d","mf",,Trigger)</f>
        <v>42821</v>
      </c>
      <c r="AC19" s="100">
        <f>_xll.qlDayCounterYearFraction(DayCounter,SettlementDate,AB19,,,Trigger)</f>
        <v>6.6666666666666666E-2</v>
      </c>
      <c r="AD19" s="112">
        <f t="shared" si="0"/>
        <v>-1.8005612750213732E-4</v>
      </c>
      <c r="AE19" s="112">
        <f t="shared" si="1"/>
        <v>-1.7833090479577195E-4</v>
      </c>
      <c r="AF19" s="112">
        <f t="shared" si="2"/>
        <v>-1.8523260713915898E-4</v>
      </c>
    </row>
    <row r="20" spans="3:32" ht="12.2" customHeight="1" x14ac:dyDescent="0.2">
      <c r="AB20" s="114">
        <f>_xll.qlCalendarAdvance(Calendar,AB19,"1d","mf",,Trigger)</f>
        <v>42822</v>
      </c>
      <c r="AC20" s="100">
        <f>_xll.qlDayCounterYearFraction(DayCounter,SettlementDate,AB20,,,Trigger)</f>
        <v>6.9444444444444448E-2</v>
      </c>
      <c r="AD20" s="112">
        <f t="shared" si="0"/>
        <v>-1.8005612750213732E-4</v>
      </c>
      <c r="AE20" s="112">
        <f t="shared" si="1"/>
        <v>-1.7812793741855252E-4</v>
      </c>
      <c r="AF20" s="112">
        <f t="shared" si="2"/>
        <v>-1.8535004501502023E-4</v>
      </c>
    </row>
    <row r="21" spans="3:32" ht="12.2" customHeight="1" x14ac:dyDescent="0.2">
      <c r="C21" s="87" t="s">
        <v>106</v>
      </c>
      <c r="AB21" s="114">
        <f>_xll.qlCalendarAdvance(Calendar,AB20,"1d","mf",,Trigger)</f>
        <v>42823</v>
      </c>
      <c r="AC21" s="100">
        <f>_xll.qlDayCounterYearFraction(DayCounter,SettlementDate,AB21,,,Trigger)</f>
        <v>7.2222222222222215E-2</v>
      </c>
      <c r="AD21" s="112">
        <f t="shared" si="0"/>
        <v>-1.8005612750213732E-4</v>
      </c>
      <c r="AE21" s="112">
        <f t="shared" si="1"/>
        <v>-1.7792497004133305E-4</v>
      </c>
      <c r="AF21" s="112">
        <f t="shared" si="2"/>
        <v>-1.8541552528227381E-4</v>
      </c>
    </row>
    <row r="22" spans="3:32" ht="12.2" customHeight="1" x14ac:dyDescent="0.2">
      <c r="C22" s="124" t="s">
        <v>90</v>
      </c>
      <c r="AB22" s="114">
        <f>_xll.qlCalendarAdvance(Calendar,AB21,"1d","mf",,Trigger)</f>
        <v>42824</v>
      </c>
      <c r="AC22" s="100">
        <f>_xll.qlDayCounterYearFraction(DayCounter,SettlementDate,AB22,,,Trigger)</f>
        <v>7.4999999999999997E-2</v>
      </c>
      <c r="AD22" s="112">
        <f t="shared" si="0"/>
        <v>-1.8005612750213732E-4</v>
      </c>
      <c r="AE22" s="112">
        <f t="shared" si="1"/>
        <v>-1.7772200266411362E-4</v>
      </c>
      <c r="AF22" s="112">
        <f t="shared" si="2"/>
        <v>-1.8542904794091968E-4</v>
      </c>
    </row>
    <row r="23" spans="3:32" ht="12.2" customHeight="1" x14ac:dyDescent="0.2">
      <c r="C23" s="112">
        <f>IF($C$22="FLAT",J15,IF($C$22="linear",K15,L15))</f>
        <v>-3.7999070398253565E-3</v>
      </c>
      <c r="AB23" s="114">
        <f>_xll.qlCalendarAdvance(Calendar,AB22,"1d","mf",,Trigger)</f>
        <v>42825</v>
      </c>
      <c r="AC23" s="100">
        <f>_xll.qlDayCounterYearFraction(DayCounter,SettlementDate,AB23,,,Trigger)</f>
        <v>7.7777777777777779E-2</v>
      </c>
      <c r="AD23" s="112">
        <f t="shared" si="0"/>
        <v>-1.8005612750213732E-4</v>
      </c>
      <c r="AE23" s="112">
        <f t="shared" si="1"/>
        <v>-1.7751903528689415E-4</v>
      </c>
      <c r="AF23" s="112">
        <f t="shared" si="2"/>
        <v>-1.8539061299095789E-4</v>
      </c>
    </row>
    <row r="24" spans="3:32" ht="12.2" customHeight="1" x14ac:dyDescent="0.2">
      <c r="C24" s="112">
        <f>IF($C$22="FLAT",J16,IF($C$22="linear",K16,L16))</f>
        <v>-3.7212567850478501E-3</v>
      </c>
      <c r="AB24" s="114">
        <f>_xll.qlCalendarAdvance(Calendar,AB23,"1d","mf",,Trigger)</f>
        <v>42828</v>
      </c>
      <c r="AC24" s="100">
        <f>_xll.qlDayCounterYearFraction(DayCounter,SettlementDate,AB24,,,Trigger)</f>
        <v>8.611111111111111E-2</v>
      </c>
      <c r="AD24" s="112">
        <f t="shared" si="0"/>
        <v>-1.8005612750213732E-4</v>
      </c>
      <c r="AE24" s="112">
        <f t="shared" ref="AE24:AE26" si="9">$S$10+$S$9*AC24</f>
        <v>-1.7691013315523579E-4</v>
      </c>
      <c r="AF24" s="112">
        <f t="shared" ref="AF24:AF26" si="10">($S$5+$S$4*AC24+$S$3*AC24^2)</f>
        <v>-1.8496356248942641E-4</v>
      </c>
    </row>
    <row r="25" spans="3:32" ht="12.2" customHeight="1" x14ac:dyDescent="0.2">
      <c r="C25" s="112">
        <f>IF($C$22="FLAT",J17,IF($C$22="linear",K17,L17))</f>
        <v>-3.7248375934776207E-3</v>
      </c>
      <c r="AB25" s="114">
        <f>_xll.qlCalendarAdvance(Calendar,AB24,"1d","mf",,Trigger)</f>
        <v>42829</v>
      </c>
      <c r="AC25" s="100">
        <f>_xll.qlDayCounterYearFraction(DayCounter,SettlementDate,AB25,,,Trigger)</f>
        <v>8.8888888888888892E-2</v>
      </c>
      <c r="AD25" s="112">
        <f t="shared" si="0"/>
        <v>-1.8005612750213732E-4</v>
      </c>
      <c r="AE25" s="112">
        <f t="shared" si="9"/>
        <v>-1.7670716577801636E-4</v>
      </c>
      <c r="AF25" s="112">
        <f t="shared" si="10"/>
        <v>-1.8471729710503392E-4</v>
      </c>
    </row>
    <row r="26" spans="3:32" ht="12.2" customHeight="1" x14ac:dyDescent="0.2">
      <c r="C26" s="112">
        <f>IF($C$22="FLAT",J18,IF($C$22="linear",K18,L18))</f>
        <v>-3.7275694245789532E-3</v>
      </c>
      <c r="AB26" s="118">
        <f>_xll.qlCalendarAdvance(Calendar,AB25,"1d","mf",,Trigger)</f>
        <v>42830</v>
      </c>
      <c r="AC26" s="105">
        <f>_xll.qlDayCounterYearFraction(DayCounter,SettlementDate,AB26,,,Trigger)</f>
        <v>9.166666666666666E-2</v>
      </c>
      <c r="AD26" s="121">
        <f t="shared" si="0"/>
        <v>-1.8005612750213732E-4</v>
      </c>
      <c r="AE26" s="121">
        <f t="shared" si="9"/>
        <v>-1.7650419840079689E-4</v>
      </c>
      <c r="AF26" s="121">
        <f t="shared" si="10"/>
        <v>-1.8441907411203369E-4</v>
      </c>
    </row>
    <row r="27" spans="3:32" ht="12.2" customHeight="1" x14ac:dyDescent="0.2">
      <c r="C27" s="121">
        <f>IF($C$22="FLAT",J19,IF($C$22="linear",K19,L19))</f>
        <v>-3.710000000000711E-3</v>
      </c>
    </row>
    <row r="28" spans="3:32" ht="12.2" customHeight="1" x14ac:dyDescent="0.2"/>
    <row r="29" spans="3:32" ht="12.2" customHeight="1" x14ac:dyDescent="0.2"/>
    <row r="30" spans="3:32" ht="12.2" customHeight="1" x14ac:dyDescent="0.2"/>
    <row r="31" spans="3:32" ht="12.2" customHeight="1" x14ac:dyDescent="0.2"/>
    <row r="32" spans="3:32" ht="12.2" customHeight="1" x14ac:dyDescent="0.2"/>
    <row r="39" spans="9:13" x14ac:dyDescent="0.2">
      <c r="I39" s="85"/>
      <c r="J39" s="85"/>
    </row>
    <row r="43" spans="9:13" ht="11.25" customHeight="1" x14ac:dyDescent="0.2"/>
    <row r="44" spans="9:13" x14ac:dyDescent="0.2">
      <c r="M44" s="84"/>
    </row>
    <row r="45" spans="9:13" x14ac:dyDescent="0.2">
      <c r="M45" s="84"/>
    </row>
    <row r="46" spans="9:13" x14ac:dyDescent="0.2">
      <c r="M46" s="84"/>
    </row>
    <row r="47" spans="9:13" x14ac:dyDescent="0.2">
      <c r="M47" s="84"/>
    </row>
    <row r="48" spans="9:13" x14ac:dyDescent="0.2">
      <c r="M48" s="84"/>
    </row>
    <row r="58" spans="9:10" x14ac:dyDescent="0.2">
      <c r="I58" s="85"/>
    </row>
    <row r="59" spans="9:10" x14ac:dyDescent="0.2">
      <c r="I59" s="85"/>
    </row>
    <row r="60" spans="9:10" x14ac:dyDescent="0.2">
      <c r="I60" s="85"/>
    </row>
    <row r="61" spans="9:10" x14ac:dyDescent="0.2">
      <c r="I61" s="85"/>
    </row>
    <row r="62" spans="9:10" x14ac:dyDescent="0.2">
      <c r="I62" s="85"/>
    </row>
    <row r="63" spans="9:10" x14ac:dyDescent="0.2">
      <c r="I63" s="85"/>
    </row>
    <row r="64" spans="9:10" x14ac:dyDescent="0.2">
      <c r="I64" s="85"/>
      <c r="J64" s="85"/>
    </row>
    <row r="65" spans="9:10" x14ac:dyDescent="0.2">
      <c r="I65" s="85"/>
      <c r="J65" s="85"/>
    </row>
    <row r="66" spans="9:10" x14ac:dyDescent="0.2">
      <c r="I66" s="85"/>
      <c r="J66" s="85"/>
    </row>
    <row r="67" spans="9:10" x14ac:dyDescent="0.2">
      <c r="I67" s="85"/>
      <c r="J67" s="85"/>
    </row>
    <row r="68" spans="9:10" x14ac:dyDescent="0.2">
      <c r="I68" s="85"/>
      <c r="J68" s="85"/>
    </row>
    <row r="69" spans="9:10" x14ac:dyDescent="0.2">
      <c r="I69" s="85"/>
      <c r="J69" s="85"/>
    </row>
    <row r="70" spans="9:10" x14ac:dyDescent="0.2">
      <c r="I70" s="85"/>
      <c r="J70" s="85"/>
    </row>
    <row r="71" spans="9:10" x14ac:dyDescent="0.2">
      <c r="I71" s="85"/>
      <c r="J71" s="85"/>
    </row>
    <row r="72" spans="9:10" x14ac:dyDescent="0.2">
      <c r="I72" s="85"/>
      <c r="J72" s="85"/>
    </row>
    <row r="73" spans="9:10" x14ac:dyDescent="0.2">
      <c r="I73" s="85"/>
      <c r="J73" s="85"/>
    </row>
    <row r="74" spans="9:10" x14ac:dyDescent="0.2">
      <c r="I74" s="85"/>
      <c r="J74" s="85"/>
    </row>
    <row r="75" spans="9:10" x14ac:dyDescent="0.2">
      <c r="I75" s="85"/>
      <c r="J75" s="85"/>
    </row>
    <row r="76" spans="9:10" x14ac:dyDescent="0.2">
      <c r="I76" s="85"/>
      <c r="J76" s="85"/>
    </row>
    <row r="77" spans="9:10" x14ac:dyDescent="0.2">
      <c r="I77" s="85"/>
      <c r="J77" s="85"/>
    </row>
    <row r="78" spans="9:10" x14ac:dyDescent="0.2">
      <c r="I78" s="85"/>
      <c r="J78" s="85"/>
    </row>
    <row r="79" spans="9:10" x14ac:dyDescent="0.2">
      <c r="I79" s="85"/>
      <c r="J79" s="85"/>
    </row>
    <row r="80" spans="9:10" x14ac:dyDescent="0.2">
      <c r="I80" s="85"/>
      <c r="J80" s="85"/>
    </row>
    <row r="81" spans="9:10" x14ac:dyDescent="0.2">
      <c r="I81" s="85"/>
      <c r="J81" s="85"/>
    </row>
    <row r="82" spans="9:10" x14ac:dyDescent="0.2">
      <c r="I82" s="85"/>
      <c r="J82" s="85"/>
    </row>
    <row r="83" spans="9:10" x14ac:dyDescent="0.2">
      <c r="I83" s="85"/>
      <c r="J83" s="85"/>
    </row>
    <row r="84" spans="9:10" x14ac:dyDescent="0.2">
      <c r="I84" s="85"/>
      <c r="J84" s="85"/>
    </row>
    <row r="85" spans="9:10" x14ac:dyDescent="0.2">
      <c r="I85" s="85"/>
      <c r="J85" s="85"/>
    </row>
    <row r="86" spans="9:10" x14ac:dyDescent="0.2">
      <c r="I86" s="85"/>
      <c r="J86" s="85"/>
    </row>
    <row r="87" spans="9:10" x14ac:dyDescent="0.2">
      <c r="I87" s="85"/>
      <c r="J87" s="85"/>
    </row>
    <row r="88" spans="9:10" x14ac:dyDescent="0.2">
      <c r="I88" s="85"/>
      <c r="J88" s="85"/>
    </row>
    <row r="89" spans="9:10" x14ac:dyDescent="0.2">
      <c r="I89" s="85"/>
      <c r="J89" s="85"/>
    </row>
    <row r="90" spans="9:10" x14ac:dyDescent="0.2">
      <c r="I90" s="85"/>
      <c r="J90" s="85"/>
    </row>
    <row r="91" spans="9:10" x14ac:dyDescent="0.2">
      <c r="I91" s="85"/>
      <c r="J91" s="85"/>
    </row>
    <row r="92" spans="9:10" x14ac:dyDescent="0.2">
      <c r="I92" s="85"/>
      <c r="J92" s="85"/>
    </row>
    <row r="93" spans="9:10" x14ac:dyDescent="0.2">
      <c r="I93" s="85"/>
      <c r="J93" s="85"/>
    </row>
    <row r="94" spans="9:10" x14ac:dyDescent="0.2">
      <c r="I94" s="85"/>
      <c r="J94" s="85"/>
    </row>
    <row r="95" spans="9:10" x14ac:dyDescent="0.2">
      <c r="I95" s="85"/>
      <c r="J95" s="85"/>
    </row>
    <row r="96" spans="9:10" x14ac:dyDescent="0.2">
      <c r="I96" s="85"/>
      <c r="J96" s="85"/>
    </row>
    <row r="97" spans="9:10" x14ac:dyDescent="0.2">
      <c r="I97" s="85"/>
      <c r="J97" s="85"/>
    </row>
    <row r="98" spans="9:10" x14ac:dyDescent="0.2">
      <c r="I98" s="85"/>
      <c r="J98" s="85"/>
    </row>
    <row r="99" spans="9:10" x14ac:dyDescent="0.2">
      <c r="I99" s="85"/>
      <c r="J99" s="85"/>
    </row>
    <row r="100" spans="9:10" x14ac:dyDescent="0.2">
      <c r="I100" s="85"/>
      <c r="J100" s="85"/>
    </row>
    <row r="101" spans="9:10" x14ac:dyDescent="0.2">
      <c r="I101" s="85"/>
      <c r="J101" s="85"/>
    </row>
    <row r="102" spans="9:10" x14ac:dyDescent="0.2">
      <c r="I102" s="85"/>
      <c r="J102" s="85"/>
    </row>
    <row r="103" spans="9:10" x14ac:dyDescent="0.2">
      <c r="I103" s="85"/>
      <c r="J103" s="85"/>
    </row>
    <row r="104" spans="9:10" x14ac:dyDescent="0.2">
      <c r="I104" s="85"/>
      <c r="J104" s="85"/>
    </row>
    <row r="105" spans="9:10" x14ac:dyDescent="0.2">
      <c r="I105" s="85"/>
      <c r="J105" s="85"/>
    </row>
    <row r="106" spans="9:10" x14ac:dyDescent="0.2">
      <c r="I106" s="85"/>
      <c r="J106" s="85"/>
    </row>
    <row r="107" spans="9:10" x14ac:dyDescent="0.2">
      <c r="I107" s="85"/>
      <c r="J107" s="85"/>
    </row>
    <row r="108" spans="9:10" x14ac:dyDescent="0.2">
      <c r="I108" s="85"/>
      <c r="J108" s="85"/>
    </row>
    <row r="109" spans="9:10" x14ac:dyDescent="0.2">
      <c r="I109" s="85"/>
      <c r="J109" s="85"/>
    </row>
    <row r="110" spans="9:10" x14ac:dyDescent="0.2">
      <c r="I110" s="85"/>
      <c r="J110" s="85"/>
    </row>
    <row r="111" spans="9:10" x14ac:dyDescent="0.2">
      <c r="I111" s="86"/>
      <c r="J111" s="85"/>
    </row>
    <row r="112" spans="9:10" x14ac:dyDescent="0.2">
      <c r="I112" s="86"/>
      <c r="J112" s="85"/>
    </row>
    <row r="113" spans="9:10" x14ac:dyDescent="0.2">
      <c r="I113" s="86"/>
      <c r="J113" s="85"/>
    </row>
    <row r="114" spans="9:10" x14ac:dyDescent="0.2">
      <c r="I114" s="86"/>
      <c r="J114" s="85"/>
    </row>
    <row r="115" spans="9:10" x14ac:dyDescent="0.2">
      <c r="I115" s="86"/>
      <c r="J115" s="85"/>
    </row>
    <row r="116" spans="9:10" x14ac:dyDescent="0.2">
      <c r="I116" s="86"/>
      <c r="J116" s="85"/>
    </row>
    <row r="117" spans="9:10" x14ac:dyDescent="0.2">
      <c r="I117" s="86"/>
      <c r="J117" s="86"/>
    </row>
    <row r="118" spans="9:10" x14ac:dyDescent="0.2">
      <c r="I118" s="86"/>
      <c r="J118" s="86"/>
    </row>
    <row r="119" spans="9:10" x14ac:dyDescent="0.2">
      <c r="I119" s="86"/>
      <c r="J119" s="86"/>
    </row>
    <row r="120" spans="9:10" x14ac:dyDescent="0.2">
      <c r="I120" s="86"/>
      <c r="J120" s="86"/>
    </row>
    <row r="121" spans="9:10" x14ac:dyDescent="0.2">
      <c r="I121" s="86"/>
      <c r="J121" s="86"/>
    </row>
    <row r="122" spans="9:10" x14ac:dyDescent="0.2">
      <c r="I122" s="86"/>
      <c r="J122" s="86"/>
    </row>
    <row r="123" spans="9:10" x14ac:dyDescent="0.2">
      <c r="I123" s="86"/>
      <c r="J123" s="86"/>
    </row>
    <row r="124" spans="9:10" x14ac:dyDescent="0.2">
      <c r="I124" s="86"/>
      <c r="J124" s="86"/>
    </row>
    <row r="125" spans="9:10" x14ac:dyDescent="0.2">
      <c r="I125" s="86"/>
      <c r="J125" s="86"/>
    </row>
    <row r="126" spans="9:10" x14ac:dyDescent="0.2">
      <c r="I126" s="86"/>
      <c r="J126" s="86"/>
    </row>
    <row r="127" spans="9:10" x14ac:dyDescent="0.2">
      <c r="J127" s="86"/>
    </row>
    <row r="128" spans="9:10" x14ac:dyDescent="0.2">
      <c r="J128" s="86"/>
    </row>
    <row r="129" spans="10:10" x14ac:dyDescent="0.2">
      <c r="J129" s="86"/>
    </row>
    <row r="130" spans="10:10" x14ac:dyDescent="0.2">
      <c r="J130" s="86"/>
    </row>
    <row r="131" spans="10:10" x14ac:dyDescent="0.2">
      <c r="J131" s="86"/>
    </row>
    <row r="132" spans="10:10" x14ac:dyDescent="0.2">
      <c r="J132" s="8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K136"/>
  <sheetViews>
    <sheetView workbookViewId="0">
      <selection activeCell="C2" sqref="C2"/>
    </sheetView>
  </sheetViews>
  <sheetFormatPr defaultColWidth="9.5" defaultRowHeight="11.25" outlineLevelCol="1" x14ac:dyDescent="0.2"/>
  <cols>
    <col min="1" max="1" width="3.5" style="60" customWidth="1"/>
    <col min="2" max="2" width="2.33203125" style="60" bestFit="1" customWidth="1"/>
    <col min="3" max="4" width="22.83203125" style="60" customWidth="1"/>
    <col min="5" max="5" width="16.5" style="60" hidden="1" customWidth="1" outlineLevel="1"/>
    <col min="6" max="6" width="22.83203125" style="60" customWidth="1" collapsed="1"/>
    <col min="7" max="8" width="14.1640625" style="60" hidden="1" customWidth="1" outlineLevel="1"/>
    <col min="9" max="9" width="8.1640625" style="60" hidden="1" customWidth="1" outlineLevel="1"/>
    <col min="10" max="10" width="10.5" style="60" hidden="1" customWidth="1" outlineLevel="1"/>
    <col min="11" max="11" width="10.5" style="60" bestFit="1" customWidth="1" collapsed="1"/>
    <col min="12" max="13" width="14.1640625" style="60" bestFit="1" customWidth="1"/>
    <col min="14" max="17" width="10.5" style="60" bestFit="1" customWidth="1"/>
    <col min="18" max="18" width="10.83203125" style="60" customWidth="1"/>
    <col min="19" max="19" width="13.1640625" style="60" customWidth="1"/>
    <col min="20" max="22" width="6.83203125" style="60" customWidth="1"/>
    <col min="23" max="23" width="2.33203125" style="60" bestFit="1" customWidth="1"/>
    <col min="24" max="24" width="10.83203125" style="60" customWidth="1"/>
    <col min="25" max="25" width="2.33203125" style="60" bestFit="1" customWidth="1"/>
    <col min="26" max="26" width="10.83203125" style="60" customWidth="1"/>
    <col min="27" max="27" width="12.5" style="60" bestFit="1" customWidth="1"/>
    <col min="28" max="30" width="9.33203125" style="60" bestFit="1" customWidth="1"/>
    <col min="31" max="32" width="9.5" style="60"/>
    <col min="33" max="33" width="20.33203125" style="60" bestFit="1" customWidth="1"/>
    <col min="34" max="34" width="8.1640625" style="60" bestFit="1" customWidth="1"/>
    <col min="35" max="36" width="9.5" style="60" bestFit="1" customWidth="1"/>
    <col min="37" max="37" width="12.1640625" style="60" customWidth="1"/>
    <col min="38" max="16384" width="9.5" style="60"/>
  </cols>
  <sheetData>
    <row r="2" spans="1:37" ht="19.5" customHeight="1" x14ac:dyDescent="0.2">
      <c r="C2" s="87" t="s">
        <v>89</v>
      </c>
      <c r="D2" s="87" t="s">
        <v>80</v>
      </c>
      <c r="E2" s="87" t="s">
        <v>155</v>
      </c>
      <c r="F2" s="87" t="s">
        <v>81</v>
      </c>
      <c r="G2" s="87" t="s">
        <v>120</v>
      </c>
      <c r="H2" s="87" t="s">
        <v>121</v>
      </c>
      <c r="I2" s="87" t="s">
        <v>119</v>
      </c>
      <c r="J2" s="87" t="s">
        <v>122</v>
      </c>
      <c r="K2" s="87" t="s">
        <v>123</v>
      </c>
      <c r="L2" s="87" t="s">
        <v>127</v>
      </c>
      <c r="M2" s="87" t="s">
        <v>128</v>
      </c>
      <c r="N2" s="87" t="s">
        <v>96</v>
      </c>
      <c r="O2" s="88" t="s">
        <v>97</v>
      </c>
      <c r="P2" s="87" t="s">
        <v>98</v>
      </c>
      <c r="Q2" s="87" t="s">
        <v>105</v>
      </c>
      <c r="X2" s="77" t="s">
        <v>94</v>
      </c>
      <c r="AB2" s="355" t="s">
        <v>93</v>
      </c>
      <c r="AC2" s="355"/>
      <c r="AD2" s="355"/>
      <c r="AG2" s="87" t="s">
        <v>80</v>
      </c>
      <c r="AH2" s="87" t="s">
        <v>119</v>
      </c>
      <c r="AI2" s="87" t="s">
        <v>34</v>
      </c>
      <c r="AJ2" s="87" t="s">
        <v>87</v>
      </c>
      <c r="AK2" s="87" t="s">
        <v>88</v>
      </c>
    </row>
    <row r="3" spans="1:37" ht="12.2" customHeight="1" x14ac:dyDescent="0.2">
      <c r="C3" s="92" t="str">
        <f>$D$10&amp;"LastFixing"&amp;QuoteSuffix</f>
        <v>Euribor3MLastFixing_Quote</v>
      </c>
      <c r="D3" s="93">
        <f>_xll.qlCalendarAdvance(Calendar,_xll.qlLastFixingQuoteReferenceDate($C$3),_xll.qlInterestRateIndexFixingDays($D$10)&amp;"D","f",,LastFixingsTrigger)</f>
        <v>42796</v>
      </c>
      <c r="E3" s="128">
        <f>($D3-EvaluationDate)/365</f>
        <v>2.7397260273972603E-3</v>
      </c>
      <c r="F3" s="93">
        <f>_xll.qlInterestRateIndexMaturity($D$10,D3)</f>
        <v>42888</v>
      </c>
      <c r="G3" s="127">
        <f>_xll.qlYieldTSDiscount(Discounting,D3,,AllTriggers)</f>
        <v>1.0000102778834115</v>
      </c>
      <c r="H3" s="127">
        <f>_xll.qlYieldTSDiscount(Discounting,F3,,AllTriggers)</f>
        <v>1.0009147457821645</v>
      </c>
      <c r="I3" s="128">
        <f>_xll.qlDayCounterYearFraction(DayCounter,D3,F3,,,Trigger)</f>
        <v>0.25555555555555554</v>
      </c>
      <c r="J3" s="129">
        <f>(G3/H3-1)/I3</f>
        <v>-3.5359876826937652E-3</v>
      </c>
      <c r="K3" s="94">
        <f>'Delta 3M'!R3</f>
        <v>6.1270635313468976E-5</v>
      </c>
      <c r="L3" s="95">
        <f>_xll.qlDayCounterYearFraction(DayCounter,SettlementDate,D3,,,Trigger)</f>
        <v>-2.7777777777777779E-3</v>
      </c>
      <c r="M3" s="95">
        <f>_xll.qlDayCounterYearFraction(DayCounter,SettlementDate,F3,,,Trigger)</f>
        <v>0.25277777777777777</v>
      </c>
      <c r="N3" s="95">
        <f>M3-L3</f>
        <v>0.25555555555555554</v>
      </c>
      <c r="O3" s="95">
        <f>(M3^2-L3^2)/2</f>
        <v>3.1944444444444442E-2</v>
      </c>
      <c r="P3" s="95">
        <f>(M3^3-L3^3)/3</f>
        <v>5.3838877457704605E-3</v>
      </c>
      <c r="Q3" s="96" t="b">
        <f>IF(D12="fixing",TRUE,FALSE)</f>
        <v>0</v>
      </c>
      <c r="S3" s="356" t="s">
        <v>90</v>
      </c>
      <c r="T3" s="72">
        <f t="array" ref="T3:T5">_xll.ohFilter(P3:P7,Q3:Q7)</f>
        <v>5.9340992226794712E-3</v>
      </c>
      <c r="U3" s="78">
        <f t="array" ref="U3:U5">_xll.ohFilter(O3:O7,Q3:Q7)</f>
        <v>3.4089506172839512E-2</v>
      </c>
      <c r="V3" s="73">
        <f t="array" ref="V3:V5">_xll.ohFilter(N3:N7,Q3:Q7)</f>
        <v>0.26111111111111113</v>
      </c>
      <c r="W3" s="79"/>
      <c r="X3" s="74">
        <f t="array" ref="X3:X5">MMULT(AB3:AD5,Z3:Z5)</f>
        <v>-3.8704369190280599E-3</v>
      </c>
      <c r="Y3" s="80"/>
      <c r="Z3" s="75">
        <f t="array" ref="Z3:Z5">_xll.ohFilter(K3:K7,Q3:Q7)</f>
        <v>5.4179047787653701E-5</v>
      </c>
      <c r="AB3" s="72">
        <f t="array" ref="AB3:AD5">MINVERSE(T3:V5)</f>
        <v>942.47039907815542</v>
      </c>
      <c r="AC3" s="78">
        <v>-1269.9892554685798</v>
      </c>
      <c r="AD3" s="73">
        <v>310.4043295578316</v>
      </c>
      <c r="AG3" s="109">
        <f>SettlementDate</f>
        <v>42797</v>
      </c>
      <c r="AH3" s="100">
        <f>_xll.qlDayCounterYearFraction(DayCounter,SettlementDate,AG3,,,Trigger)</f>
        <v>0</v>
      </c>
      <c r="AI3" s="125">
        <f t="shared" ref="AI3:AI12" si="0">$X$15</f>
        <v>2.0749422556973757E-4</v>
      </c>
      <c r="AJ3" s="125">
        <f t="shared" ref="AJ3:AJ65" si="1">$X$10+$X$9*AH3</f>
        <v>5.5593989860825734E-5</v>
      </c>
      <c r="AK3" s="125">
        <f t="shared" ref="AK3:AK12" si="2">($X$5+$X$4*AH3+$X$3*AH3^2)</f>
        <v>1.2931115399132404E-7</v>
      </c>
    </row>
    <row r="4" spans="1:37" ht="12.2" customHeight="1" x14ac:dyDescent="0.2">
      <c r="A4" s="272">
        <v>0</v>
      </c>
      <c r="B4" s="61">
        <f>A4+SUBSTITUTE($D$9,"M","")</f>
        <v>3</v>
      </c>
      <c r="C4" s="97" t="str">
        <f>"Delta("&amp;A4&amp;"M,"&amp;B4&amp;"M)extrap"</f>
        <v>Delta(0M,3M)extrap</v>
      </c>
      <c r="D4" s="98">
        <f>IF((_xll.qlIMMNextDate(SettlementDate-1,FALSE)-SettlementDate)&lt;7,_xll.qlIMMNextDate(SettlementDate-1,FALSE),SettlementDate)</f>
        <v>42797</v>
      </c>
      <c r="E4" s="131">
        <f>($D4-EvaluationDate)/365</f>
        <v>5.4794520547945206E-3</v>
      </c>
      <c r="F4" s="98">
        <f>_xll.qlInterestRateIndexMaturity($D$10,D4)</f>
        <v>42891</v>
      </c>
      <c r="G4" s="130">
        <f>_xll.qlYieldTSDiscount(Discounting,D4,,AllTriggers)</f>
        <v>1.000020555872458</v>
      </c>
      <c r="H4" s="130">
        <f>_xll.qlYieldTSDiscount(Discounting,F4,,AllTriggers)</f>
        <v>1.0009443099914743</v>
      </c>
      <c r="I4" s="131">
        <f>_xll.qlDayCounterYearFraction(DayCounter,D4,F4,,,Trigger)</f>
        <v>0.26111111111111113</v>
      </c>
      <c r="J4" s="132">
        <f t="shared" ref="J4:J7" si="3">(G4/H4-1)/I4</f>
        <v>-3.534444121504751E-3</v>
      </c>
      <c r="K4" s="99">
        <f>IF(Mode3M="Standard",LN((1+(_xll.qlInterpolationInterpolate(B3Minterpolation,D4,TRUE,AllTriggers)+J4)*I4)/(1+J4*I4)),LN((1+(_xll.qlInterpolationInterpolate(AbcdInterpolation3M,E4,TRUE,AllTriggers)+J4)*I4)/(1+J4*I4)))</f>
        <v>5.4179047787653701E-5</v>
      </c>
      <c r="L4" s="100">
        <f>_xll.qlDayCounterYearFraction(DayCounter,SettlementDate,D4,,,Trigger)</f>
        <v>0</v>
      </c>
      <c r="M4" s="100">
        <f>_xll.qlDayCounterYearFraction(DayCounter,SettlementDate,F4,,,Trigger)</f>
        <v>0.26111111111111113</v>
      </c>
      <c r="N4" s="100">
        <f>M4-L4</f>
        <v>0.26111111111111113</v>
      </c>
      <c r="O4" s="100">
        <f>(M4^2-L4^2)/2</f>
        <v>3.4089506172839512E-2</v>
      </c>
      <c r="P4" s="100">
        <f>(M4^3-L4^3)/3</f>
        <v>5.9340992226794712E-3</v>
      </c>
      <c r="Q4" s="101" t="b">
        <f>IF(D12="fixing",FALSE,TRUE)</f>
        <v>1</v>
      </c>
      <c r="S4" s="356"/>
      <c r="T4" s="72">
        <v>8.024234110653861E-3</v>
      </c>
      <c r="U4" s="78">
        <v>4.1172839506172836E-2</v>
      </c>
      <c r="V4" s="73">
        <v>0.25555555555555554</v>
      </c>
      <c r="W4" s="81" t="s">
        <v>32</v>
      </c>
      <c r="X4" s="74">
        <v>2.2620697269774229E-3</v>
      </c>
      <c r="Y4" s="81" t="s">
        <v>33</v>
      </c>
      <c r="Z4" s="75">
        <v>6.2111588055612508E-5</v>
      </c>
      <c r="AB4" s="72">
        <v>-392.84776618579804</v>
      </c>
      <c r="AC4" s="78">
        <v>488.53493887103292</v>
      </c>
      <c r="AD4" s="73">
        <v>-88.104663238131877</v>
      </c>
      <c r="AG4" s="114">
        <f>_xll.qlCalendarAdvance(Calendar,AG3,"1d","mf",,Trigger)</f>
        <v>42800</v>
      </c>
      <c r="AH4" s="100">
        <f>_xll.qlDayCounterYearFraction(DayCounter,SettlementDate,AG4,,,Trigger)</f>
        <v>8.3333333333333332E-3</v>
      </c>
      <c r="AI4" s="112">
        <f t="shared" si="0"/>
        <v>2.0749422556973757E-4</v>
      </c>
      <c r="AJ4" s="112">
        <f t="shared" si="1"/>
        <v>6.5289749586926497E-5</v>
      </c>
      <c r="AK4" s="112">
        <f t="shared" si="2"/>
        <v>1.8711111870537344E-5</v>
      </c>
    </row>
    <row r="5" spans="1:37" ht="12.2" customHeight="1" x14ac:dyDescent="0.2">
      <c r="A5" s="62">
        <f>MONTH(D5)</f>
        <v>3</v>
      </c>
      <c r="B5" s="61">
        <f>MONTH(F5)</f>
        <v>6</v>
      </c>
      <c r="C5" s="97" t="str">
        <f>"Delta("&amp;A5&amp;"M,"&amp;B5&amp;"M)"</f>
        <v>Delta(3M,6M)</v>
      </c>
      <c r="D5" s="98">
        <f>_xll.qlIMMNextDate(D4,FALSE)</f>
        <v>42809</v>
      </c>
      <c r="E5" s="131">
        <f>($D5-EvaluationDate)/365</f>
        <v>3.8356164383561646E-2</v>
      </c>
      <c r="F5" s="98">
        <f>_xll.qlInterestRateIndexMaturity($D$10,D5)</f>
        <v>42901</v>
      </c>
      <c r="G5" s="130">
        <f>_xll.qlYieldTSDiscount(Discounting,D5,,AllTriggers)</f>
        <v>1.0001388159090452</v>
      </c>
      <c r="H5" s="130">
        <f>_xll.qlYieldTSDiscount(Discounting,F5,,AllTriggers)</f>
        <v>1.0010428661137651</v>
      </c>
      <c r="I5" s="131">
        <f>_xll.qlDayCounterYearFraction(DayCounter,D5,F5,,,Trigger)</f>
        <v>0.25555555555555554</v>
      </c>
      <c r="J5" s="132">
        <f t="shared" si="3"/>
        <v>-3.5339023705681797E-3</v>
      </c>
      <c r="K5" s="99">
        <f>IF(Mode3M="Standard",LN((1+(_xll.qlInterpolationInterpolate(B3Minterpolation,D5,TRUE,AllTriggers)+J5)*I5)/(1+J5*I5)),LN((1+(_xll.qlInterpolationInterpolate(AbcdInterpolation3M,E5,TRUE,AllTriggers)+J5)*I5)/(1+J5*I5)))</f>
        <v>6.2111588055612508E-5</v>
      </c>
      <c r="L5" s="100">
        <f>_xll.qlDayCounterYearFraction(DayCounter,SettlementDate,D5,,,Trigger)</f>
        <v>3.3333333333333333E-2</v>
      </c>
      <c r="M5" s="100">
        <f>_xll.qlDayCounterYearFraction(DayCounter,SettlementDate,F5,,,Trigger)</f>
        <v>0.28888888888888886</v>
      </c>
      <c r="N5" s="100">
        <f>M5-L5</f>
        <v>0.25555555555555554</v>
      </c>
      <c r="O5" s="100">
        <f>(M5^2-L5^2)/2</f>
        <v>4.1172839506172836E-2</v>
      </c>
      <c r="P5" s="100">
        <f>(M5^3-L5^3)/3</f>
        <v>8.024234110653861E-3</v>
      </c>
      <c r="Q5" s="101" t="b">
        <v>1</v>
      </c>
      <c r="S5" s="356"/>
      <c r="T5" s="72">
        <v>1.8034472165066304E-2</v>
      </c>
      <c r="U5" s="78">
        <v>6.4949845679012352E-2</v>
      </c>
      <c r="V5" s="73">
        <v>0.25277777777777777</v>
      </c>
      <c r="W5" s="62"/>
      <c r="X5" s="74">
        <v>1.2931115399132404E-7</v>
      </c>
      <c r="Y5" s="81"/>
      <c r="Z5" s="75">
        <v>7.7152479785640724E-5</v>
      </c>
      <c r="AB5" s="72">
        <v>33.699345272459546</v>
      </c>
      <c r="AC5" s="78">
        <v>-34.918745976783079</v>
      </c>
      <c r="AD5" s="73">
        <v>4.4481997170642336</v>
      </c>
      <c r="AG5" s="114">
        <f>_xll.qlCalendarAdvance(Calendar,AG4,"1d","mf",,Trigger)</f>
        <v>42801</v>
      </c>
      <c r="AH5" s="100">
        <f>_xll.qlDayCounterYearFraction(DayCounter,SettlementDate,AG5,,,Trigger)</f>
        <v>1.1111111111111112E-2</v>
      </c>
      <c r="AI5" s="112">
        <f t="shared" si="0"/>
        <v>2.0749422556973757E-4</v>
      </c>
      <c r="AJ5" s="112">
        <f t="shared" si="1"/>
        <v>6.8521669495626747E-5</v>
      </c>
      <c r="AK5" s="112">
        <f t="shared" si="2"/>
        <v>2.4785587513119722E-5</v>
      </c>
    </row>
    <row r="6" spans="1:37" ht="12.2" customHeight="1" x14ac:dyDescent="0.2">
      <c r="A6" s="62">
        <f t="shared" ref="A6:A7" si="4">MONTH(D6)</f>
        <v>4</v>
      </c>
      <c r="B6" s="61">
        <f>MONTH(F6)</f>
        <v>7</v>
      </c>
      <c r="C6" s="97" t="str">
        <f t="shared" ref="C6:C7" si="5">"Delta("&amp;A6&amp;"M,"&amp;B6&amp;"M)"</f>
        <v>Delta(4M,7M)</v>
      </c>
      <c r="D6" s="98">
        <f>_xll.qlIMMNextDate(D5,FALSE)</f>
        <v>42844</v>
      </c>
      <c r="E6" s="131">
        <f>($D6-EvaluationDate)/365</f>
        <v>0.13424657534246576</v>
      </c>
      <c r="F6" s="98">
        <f>_xll.qlInterestRateIndexMaturity($D$10,D6)</f>
        <v>42935</v>
      </c>
      <c r="G6" s="130">
        <f>_xll.qlYieldTSDiscount(Discounting,D6,,AllTriggers)</f>
        <v>1.0004822651491665</v>
      </c>
      <c r="H6" s="130">
        <f>_xll.qlYieldTSDiscount(Discounting,F6,,AllTriggers)</f>
        <v>1.0013767836082121</v>
      </c>
      <c r="I6" s="131">
        <f>_xll.qlDayCounterYearFraction(DayCounter,D6,F6,,,Trigger)</f>
        <v>0.25277777777777777</v>
      </c>
      <c r="J6" s="132">
        <f t="shared" si="3"/>
        <v>-3.5338889431072162E-3</v>
      </c>
      <c r="K6" s="99">
        <f>IF(Mode3M="Standard",LN((1+(_xll.qlInterpolationInterpolate(B3Minterpolation,D6,TRUE,AllTriggers)+J6)*I6)/(1+J6*I6)),LN((1+(_xll.qlInterpolationInterpolate(AbcdInterpolation3M,E6,TRUE,AllTriggers)+J6)*I6)/(1+J6*I6)))</f>
        <v>7.7152479785640724E-5</v>
      </c>
      <c r="L6" s="100">
        <f>_xll.qlDayCounterYearFraction(DayCounter,SettlementDate,D6,,,Trigger)</f>
        <v>0.13055555555555556</v>
      </c>
      <c r="M6" s="100">
        <f>_xll.qlDayCounterYearFraction(DayCounter,SettlementDate,F6,,,Trigger)</f>
        <v>0.38333333333333336</v>
      </c>
      <c r="N6" s="100">
        <f>M6-L6</f>
        <v>0.25277777777777777</v>
      </c>
      <c r="O6" s="100">
        <f>(M6^2-L6^2)/2</f>
        <v>6.4949845679012352E-2</v>
      </c>
      <c r="P6" s="100">
        <f>(M6^3-L6^3)/3</f>
        <v>1.8034472165066304E-2</v>
      </c>
      <c r="Q6" s="101" t="b">
        <v>1</v>
      </c>
      <c r="X6" s="76"/>
      <c r="Y6" s="69"/>
      <c r="Z6" s="70"/>
      <c r="AG6" s="114">
        <f>_xll.qlCalendarAdvance(Calendar,AG5,"1d","mf",,Trigger)</f>
        <v>42802</v>
      </c>
      <c r="AH6" s="100">
        <f>_xll.qlDayCounterYearFraction(DayCounter,SettlementDate,AG6,,,Trigger)</f>
        <v>1.3888888888888888E-2</v>
      </c>
      <c r="AI6" s="112">
        <f t="shared" si="0"/>
        <v>2.0749422556973757E-4</v>
      </c>
      <c r="AJ6" s="112">
        <f t="shared" si="1"/>
        <v>7.1753589404326997E-5</v>
      </c>
      <c r="AK6" s="112">
        <f t="shared" si="2"/>
        <v>3.0800334190902277E-5</v>
      </c>
    </row>
    <row r="7" spans="1:37" ht="12.2" customHeight="1" x14ac:dyDescent="0.2">
      <c r="A7" s="62">
        <f t="shared" si="4"/>
        <v>5</v>
      </c>
      <c r="B7" s="61">
        <f>MONTH(F7)</f>
        <v>8</v>
      </c>
      <c r="C7" s="102" t="str">
        <f t="shared" si="5"/>
        <v>Delta(5M,8M)</v>
      </c>
      <c r="D7" s="103">
        <f>_xll.qlIMMNextDate(D6,FALSE)</f>
        <v>42872</v>
      </c>
      <c r="E7" s="134">
        <f>($D7-EvaluationDate)/365</f>
        <v>0.21095890410958903</v>
      </c>
      <c r="F7" s="103">
        <f>_xll.qlInterestRateIndexMaturity($D$10,D7)</f>
        <v>42964</v>
      </c>
      <c r="G7" s="133">
        <f>_xll.qlYieldTSDiscount(Discounting,D7,,AllTriggers)</f>
        <v>1.0007571975292027</v>
      </c>
      <c r="H7" s="133">
        <f>_xll.qlYieldTSDiscount(Discounting,F7,,AllTriggers)</f>
        <v>1.0016615753355236</v>
      </c>
      <c r="I7" s="134">
        <f>_xll.qlDayCounterYearFraction(DayCounter,D7,F7,,,Trigger)</f>
        <v>0.25555555555555554</v>
      </c>
      <c r="J7" s="135">
        <f t="shared" si="3"/>
        <v>-3.5329993323570145E-3</v>
      </c>
      <c r="K7" s="104">
        <f>IF(Mode3M="Standard",LN((1+(_xll.qlInterpolationInterpolate(B3Minterpolation,D7,TRUE,AllTriggers)+J7)*I7)/(1+J7*I7)),LN((1+(_xll.qlInterpolationInterpolate(AbcdInterpolation3M,E7,TRUE,AllTriggers)+J7)*I7)/(1+J7*I7)))</f>
        <v>1.0308764319978279E-4</v>
      </c>
      <c r="L7" s="105">
        <f>_xll.qlDayCounterYearFraction(DayCounter,SettlementDate,D7,,,Trigger)</f>
        <v>0.20833333333333334</v>
      </c>
      <c r="M7" s="105">
        <f>_xll.qlDayCounterYearFraction(DayCounter,SettlementDate,F7,,,Trigger)</f>
        <v>0.46388888888888891</v>
      </c>
      <c r="N7" s="105">
        <f>M7-L7</f>
        <v>0.25555555555555554</v>
      </c>
      <c r="O7" s="105">
        <f>(M7^2-L7^2)/2</f>
        <v>8.5895061728395061E-2</v>
      </c>
      <c r="P7" s="105">
        <f>(M7^3-L7^3)/3</f>
        <v>3.0261116826703249E-2</v>
      </c>
      <c r="Q7" s="106" t="b">
        <v>0</v>
      </c>
      <c r="X7" s="76"/>
      <c r="Y7" s="69"/>
      <c r="Z7" s="70"/>
      <c r="AG7" s="114">
        <f>_xll.qlCalendarAdvance(Calendar,AG6,"1d","mf",,Trigger)</f>
        <v>42803</v>
      </c>
      <c r="AH7" s="100">
        <f>_xll.qlDayCounterYearFraction(DayCounter,SettlementDate,AG7,,,Trigger)</f>
        <v>1.6666666666666666E-2</v>
      </c>
      <c r="AI7" s="112">
        <f t="shared" si="0"/>
        <v>2.0749422556973757E-4</v>
      </c>
      <c r="AJ7" s="112">
        <f t="shared" si="1"/>
        <v>7.498550931302726E-5</v>
      </c>
      <c r="AK7" s="112">
        <f t="shared" si="2"/>
        <v>3.6755351903885023E-5</v>
      </c>
    </row>
    <row r="8" spans="1:37" ht="12.2" customHeight="1" x14ac:dyDescent="0.2">
      <c r="C8" s="63"/>
      <c r="D8" s="64"/>
      <c r="E8" s="64"/>
      <c r="F8" s="64"/>
      <c r="G8" s="64"/>
      <c r="H8" s="64"/>
      <c r="I8" s="64"/>
      <c r="J8" s="64"/>
      <c r="K8" s="65"/>
      <c r="L8" s="66"/>
      <c r="M8" s="66"/>
      <c r="N8" s="66"/>
      <c r="O8" s="66"/>
      <c r="P8" s="66"/>
      <c r="Q8" s="67"/>
      <c r="X8" s="68" t="s">
        <v>95</v>
      </c>
      <c r="Y8" s="69"/>
      <c r="Z8" s="70"/>
      <c r="AG8" s="114">
        <f>_xll.qlCalendarAdvance(Calendar,AG7,"1d","mf",,Trigger)</f>
        <v>42804</v>
      </c>
      <c r="AH8" s="100">
        <f>_xll.qlDayCounterYearFraction(DayCounter,SettlementDate,AG8,,,Trigger)</f>
        <v>1.9444444444444445E-2</v>
      </c>
      <c r="AI8" s="112">
        <f t="shared" si="0"/>
        <v>2.0749422556973757E-4</v>
      </c>
      <c r="AJ8" s="112">
        <f t="shared" si="1"/>
        <v>7.821742922172751E-5</v>
      </c>
      <c r="AK8" s="112">
        <f t="shared" si="2"/>
        <v>4.2650640652067956E-5</v>
      </c>
    </row>
    <row r="9" spans="1:37" ht="12.2" customHeight="1" x14ac:dyDescent="0.2">
      <c r="C9" s="87" t="s">
        <v>134</v>
      </c>
      <c r="D9" s="122" t="s">
        <v>36</v>
      </c>
      <c r="S9" s="355" t="s">
        <v>91</v>
      </c>
      <c r="T9" s="71"/>
      <c r="U9" s="72">
        <f t="array" ref="U9:U10">_xll.ohFilter(O3:O7,Q3:Q7)</f>
        <v>3.4089506172839512E-2</v>
      </c>
      <c r="V9" s="73">
        <f t="array" ref="V9:V10">_xll.ohFilter(N3:N7,Q3:Q7)</f>
        <v>0.26111111111111113</v>
      </c>
      <c r="W9" s="357" t="s">
        <v>32</v>
      </c>
      <c r="X9" s="74">
        <f t="array" ref="X9:X10">MMULT(AB9:AC10,Z9:Z10)</f>
        <v>1.1634911671320912E-3</v>
      </c>
      <c r="Y9" s="357" t="s">
        <v>33</v>
      </c>
      <c r="Z9" s="75">
        <f t="array" ref="Z9:Z10">_xll.ohFilter(K3:K7,Q3:Q7)</f>
        <v>5.4179047787653701E-5</v>
      </c>
      <c r="AB9" s="72">
        <f t="array" ref="AB9:AC10">MINVERSE(U9:V10)</f>
        <v>-125.33849129593821</v>
      </c>
      <c r="AC9" s="73">
        <v>128.06324110671952</v>
      </c>
      <c r="AG9" s="114">
        <f>_xll.qlCalendarAdvance(Calendar,AG8,"1d","mf",,Trigger)</f>
        <v>42807</v>
      </c>
      <c r="AH9" s="100">
        <f>_xll.qlDayCounterYearFraction(DayCounter,SettlementDate,AG9,,,Trigger)</f>
        <v>2.7777777777777776E-2</v>
      </c>
      <c r="AI9" s="112">
        <f t="shared" si="0"/>
        <v>2.0749422556973757E-4</v>
      </c>
      <c r="AJ9" s="112">
        <f t="shared" si="1"/>
        <v>8.791318894782826E-5</v>
      </c>
      <c r="AK9" s="112">
        <f t="shared" si="2"/>
        <v>5.9978133107817839E-5</v>
      </c>
    </row>
    <row r="10" spans="1:37" ht="12.2" customHeight="1" x14ac:dyDescent="0.2">
      <c r="C10" s="87" t="s">
        <v>104</v>
      </c>
      <c r="D10" s="122" t="str">
        <f>PROPER(Currency)&amp;IborType&amp;D9</f>
        <v>Euribor3M</v>
      </c>
      <c r="S10" s="355"/>
      <c r="T10" s="71"/>
      <c r="U10" s="72">
        <v>4.1172839506172836E-2</v>
      </c>
      <c r="V10" s="73">
        <v>0.25555555555555554</v>
      </c>
      <c r="W10" s="357"/>
      <c r="X10" s="74">
        <v>5.5593989860825734E-5</v>
      </c>
      <c r="Y10" s="357"/>
      <c r="Z10" s="75">
        <v>6.2111588055612508E-5</v>
      </c>
      <c r="AB10" s="72">
        <v>20.193423597678933</v>
      </c>
      <c r="AC10" s="73">
        <v>-16.719367588932826</v>
      </c>
      <c r="AG10" s="114">
        <f>_xll.qlCalendarAdvance(Calendar,AG9,"1d","mf",,Trigger)</f>
        <v>42808</v>
      </c>
      <c r="AH10" s="100">
        <f>_xll.qlDayCounterYearFraction(DayCounter,SettlementDate,AG10,,,Trigger)</f>
        <v>3.0555555555555555E-2</v>
      </c>
      <c r="AI10" s="112">
        <f t="shared" si="0"/>
        <v>2.0749422556973757E-4</v>
      </c>
      <c r="AJ10" s="112">
        <f t="shared" si="1"/>
        <v>9.1145108856528523E-5</v>
      </c>
      <c r="AK10" s="112">
        <f t="shared" si="2"/>
        <v>6.5634505996801508E-5</v>
      </c>
    </row>
    <row r="11" spans="1:37" ht="12.2" customHeight="1" x14ac:dyDescent="0.2">
      <c r="C11" s="87" t="s">
        <v>126</v>
      </c>
      <c r="D11" s="123" t="s">
        <v>83</v>
      </c>
      <c r="X11" s="76"/>
      <c r="Y11" s="69"/>
      <c r="Z11" s="70"/>
      <c r="AG11" s="114">
        <f>_xll.qlCalendarAdvance(Calendar,AG10,"1d","mf",,Trigger)</f>
        <v>42809</v>
      </c>
      <c r="AH11" s="100">
        <f>_xll.qlDayCounterYearFraction(DayCounter,SettlementDate,AG11,,,Trigger)</f>
        <v>3.3333333333333333E-2</v>
      </c>
      <c r="AI11" s="112">
        <f t="shared" si="0"/>
        <v>2.0749422556973757E-4</v>
      </c>
      <c r="AJ11" s="112">
        <f t="shared" si="1"/>
        <v>9.4377028765228773E-5</v>
      </c>
      <c r="AK11" s="112">
        <f t="shared" si="2"/>
        <v>7.1231149920985345E-5</v>
      </c>
    </row>
    <row r="12" spans="1:37" ht="12.2" customHeight="1" x14ac:dyDescent="0.2">
      <c r="C12" s="87" t="s">
        <v>125</v>
      </c>
      <c r="D12" s="122" t="s">
        <v>129</v>
      </c>
      <c r="X12" s="77" t="s">
        <v>30</v>
      </c>
      <c r="Y12" s="69"/>
      <c r="Z12" s="70"/>
      <c r="AG12" s="114">
        <f>_xll.qlCalendarAdvance(Calendar,AG11,"1d","mf",,Trigger)</f>
        <v>42810</v>
      </c>
      <c r="AH12" s="100">
        <f>_xll.qlDayCounterYearFraction(DayCounter,SettlementDate,AG12,,,Trigger)</f>
        <v>3.6111111111111108E-2</v>
      </c>
      <c r="AI12" s="112">
        <f t="shared" si="0"/>
        <v>2.0749422556973757E-4</v>
      </c>
      <c r="AJ12" s="112">
        <f t="shared" si="1"/>
        <v>9.7608948673929023E-5</v>
      </c>
      <c r="AK12" s="112">
        <f t="shared" si="2"/>
        <v>7.6768064880369382E-5</v>
      </c>
    </row>
    <row r="13" spans="1:37" ht="12.2" customHeight="1" x14ac:dyDescent="0.2">
      <c r="C13" s="87" t="s">
        <v>153</v>
      </c>
      <c r="D13" s="122" t="str">
        <f>IF(OR(FixingDiff3M&gt;Range3M,FixingDiff3M&lt;-Range3M),"Safe","Standard")</f>
        <v>Standard</v>
      </c>
      <c r="X13" s="77"/>
      <c r="Y13" s="69"/>
      <c r="Z13" s="70"/>
      <c r="AG13" s="114">
        <f>_xll.qlCalendarAdvance(Calendar,AG12,"1d","mf",,Trigger)</f>
        <v>42811</v>
      </c>
      <c r="AH13" s="100">
        <f>_xll.qlDayCounterYearFraction(DayCounter,SettlementDate,AG13,,,Trigger)</f>
        <v>3.888888888888889E-2</v>
      </c>
      <c r="AI13" s="112">
        <f t="shared" ref="AI13:AI44" si="6">$X$15</f>
        <v>2.0749422556973757E-4</v>
      </c>
      <c r="AJ13" s="112">
        <f t="shared" si="1"/>
        <v>1.0084086858262929E-4</v>
      </c>
      <c r="AK13" s="112">
        <f t="shared" ref="AK13:AK34" si="7">($X$5+$X$4*AH13+$X$3*AH13^2)</f>
        <v>8.224525087495362E-5</v>
      </c>
    </row>
    <row r="14" spans="1:37" ht="12.2" customHeight="1" x14ac:dyDescent="0.2">
      <c r="C14" s="87" t="s">
        <v>154</v>
      </c>
      <c r="D14" s="345">
        <v>0.7</v>
      </c>
      <c r="X14" s="77"/>
      <c r="Y14" s="69"/>
      <c r="Z14" s="70"/>
      <c r="AG14" s="114">
        <f>_xll.qlCalendarAdvance(Calendar,AG13,"1d","mf",,Trigger)</f>
        <v>42814</v>
      </c>
      <c r="AH14" s="100">
        <f>_xll.qlDayCounterYearFraction(DayCounter,SettlementDate,AG14,,,Trigger)</f>
        <v>4.7222222222222221E-2</v>
      </c>
      <c r="AI14" s="112">
        <f t="shared" si="6"/>
        <v>2.0749422556973757E-4</v>
      </c>
      <c r="AJ14" s="112">
        <f t="shared" si="1"/>
        <v>1.1053662830873004E-4</v>
      </c>
      <c r="AK14" s="112">
        <f t="shared" si="7"/>
        <v>9.8318435069907363E-5</v>
      </c>
    </row>
    <row r="15" spans="1:37" ht="12.2" customHeight="1" x14ac:dyDescent="0.2">
      <c r="O15" s="91" t="str">
        <f>"Synthetic Deposits "&amp;D9</f>
        <v>Synthetic Deposits 3M</v>
      </c>
      <c r="P15" s="91"/>
      <c r="Q15" s="91"/>
      <c r="S15" s="82" t="s">
        <v>92</v>
      </c>
      <c r="V15" s="83">
        <f t="array" ref="V15">_xll.ohFilter(N3:N7,Q3:Q7)</f>
        <v>0.26111111111111113</v>
      </c>
      <c r="W15" s="82" t="s">
        <v>32</v>
      </c>
      <c r="X15" s="74">
        <f>MMULT(AB15,Z15)</f>
        <v>2.0749422556973757E-4</v>
      </c>
      <c r="Y15" s="82" t="s">
        <v>33</v>
      </c>
      <c r="Z15" s="75">
        <f t="array" ref="Z15">_xll.ohFilter(K3:K7,Q3:Q7)</f>
        <v>5.4179047787653701E-5</v>
      </c>
      <c r="AB15" s="83">
        <f>MINVERSE(V15)</f>
        <v>3.8297872340425529</v>
      </c>
      <c r="AG15" s="114">
        <f>_xll.qlCalendarAdvance(Calendar,AG14,"1d","mf",,Trigger)</f>
        <v>42815</v>
      </c>
      <c r="AH15" s="100">
        <f>_xll.qlDayCounterYearFraction(DayCounter,SettlementDate,AG15,,,Trigger)</f>
        <v>0.05</v>
      </c>
      <c r="AI15" s="112">
        <f t="shared" si="6"/>
        <v>2.0749422556973757E-4</v>
      </c>
      <c r="AJ15" s="112">
        <f t="shared" si="1"/>
        <v>1.1376854821743029E-4</v>
      </c>
      <c r="AK15" s="112">
        <f t="shared" si="7"/>
        <v>1.0355670520529232E-4</v>
      </c>
    </row>
    <row r="16" spans="1:37" ht="12.2" customHeight="1" x14ac:dyDescent="0.2">
      <c r="C16" s="87" t="s">
        <v>99</v>
      </c>
      <c r="D16" s="87" t="s">
        <v>80</v>
      </c>
      <c r="E16" s="87"/>
      <c r="F16" s="87" t="s">
        <v>81</v>
      </c>
      <c r="G16" s="346"/>
      <c r="H16" s="347"/>
      <c r="I16" s="347"/>
      <c r="J16" s="348"/>
      <c r="K16" s="88" t="s">
        <v>119</v>
      </c>
      <c r="L16" s="88" t="s">
        <v>120</v>
      </c>
      <c r="M16" s="87" t="s">
        <v>121</v>
      </c>
      <c r="N16" s="88" t="s">
        <v>122</v>
      </c>
      <c r="O16" s="90" t="s">
        <v>92</v>
      </c>
      <c r="P16" s="90" t="s">
        <v>91</v>
      </c>
      <c r="Q16" s="90" t="s">
        <v>117</v>
      </c>
      <c r="AG16" s="114">
        <f>_xll.qlCalendarAdvance(Calendar,AG15,"1d","mf",,Trigger)</f>
        <v>42816</v>
      </c>
      <c r="AH16" s="100">
        <f>_xll.qlDayCounterYearFraction(DayCounter,SettlementDate,AG16,,,Trigger)</f>
        <v>5.2777777777777778E-2</v>
      </c>
      <c r="AI16" s="112">
        <f t="shared" si="6"/>
        <v>2.0749422556973757E-4</v>
      </c>
      <c r="AJ16" s="112">
        <f t="shared" si="1"/>
        <v>1.1700046812613055E-4</v>
      </c>
      <c r="AK16" s="112">
        <f t="shared" si="7"/>
        <v>1.0873524637587746E-4</v>
      </c>
    </row>
    <row r="17" spans="3:37" ht="12.2" customHeight="1" x14ac:dyDescent="0.2">
      <c r="C17" s="107" t="s">
        <v>38</v>
      </c>
      <c r="D17" s="108">
        <f t="shared" ref="D17:D23" si="8">SettlementDate</f>
        <v>42797</v>
      </c>
      <c r="E17" s="108"/>
      <c r="F17" s="109">
        <f>_xll.qlCalendarAdvance(Calendar,SettlementDate,C17,"Following",,Trigger)</f>
        <v>42800</v>
      </c>
      <c r="G17" s="136"/>
      <c r="H17" s="136"/>
      <c r="I17" s="136"/>
      <c r="J17" s="136"/>
      <c r="K17" s="110">
        <f>_xll.qlDayCounterYearFraction(DayCounter,D17,F17,,,Trigger)</f>
        <v>8.3333333333333332E-3</v>
      </c>
      <c r="L17" s="137">
        <f>_xll.qlYieldTSDiscount(Discounting,D17,,AllTriggers)</f>
        <v>1.000020555872458</v>
      </c>
      <c r="M17" s="111">
        <f>_xll.qlYieldTSDiscount(Discounting,F17,,AllTriggers)</f>
        <v>1.0000508163916877</v>
      </c>
      <c r="N17" s="138">
        <f>(L17/M17-1)/K17</f>
        <v>-3.6310777892989421E-3</v>
      </c>
      <c r="O17" s="125">
        <f>((1+N17*K17)*EXP($X$15*K17)-1)/K17</f>
        <v>-3.423589662898685E-3</v>
      </c>
      <c r="P17" s="125">
        <f>((1+K17*N17)*EXP($X$10*K17+0.5*$X$9*K17^2)-1)/K17</f>
        <v>-3.5706377332722639E-3</v>
      </c>
      <c r="Q17" s="125">
        <f t="shared" ref="Q17:Q23" si="9">((1+K17*N17)*EXP($X$5*K17+0.5*$X$4*K17^2+1/3*$X$3*K17^3)-1)/K17</f>
        <v>-3.6216130670796431E-3</v>
      </c>
      <c r="AG17" s="114">
        <f>_xll.qlCalendarAdvance(Calendar,AG16,"1d","mf",,Trigger)</f>
        <v>42817</v>
      </c>
      <c r="AH17" s="100">
        <f>_xll.qlDayCounterYearFraction(DayCounter,SettlementDate,AG17,,,Trigger)</f>
        <v>5.5555555555555552E-2</v>
      </c>
      <c r="AI17" s="112">
        <f t="shared" si="6"/>
        <v>2.0749422556973757E-4</v>
      </c>
      <c r="AJ17" s="112">
        <f t="shared" si="1"/>
        <v>1.202323880348308E-4</v>
      </c>
      <c r="AK17" s="112">
        <f t="shared" si="7"/>
        <v>1.1385405858166278E-4</v>
      </c>
    </row>
    <row r="18" spans="3:37" ht="12.2" customHeight="1" x14ac:dyDescent="0.2">
      <c r="C18" s="113" t="s">
        <v>39</v>
      </c>
      <c r="D18" s="98">
        <f>SettlementDate</f>
        <v>42797</v>
      </c>
      <c r="E18" s="98"/>
      <c r="F18" s="114">
        <f>_xll.qlCalendarAdvance(Calendar,SettlementDate,C18,"Following",,Trigger)</f>
        <v>42804</v>
      </c>
      <c r="G18" s="136"/>
      <c r="H18" s="136"/>
      <c r="I18" s="136"/>
      <c r="J18" s="136"/>
      <c r="K18" s="100">
        <f>_xll.qlDayCounterYearFraction(DayCounter,D18,F18,,,Trigger)</f>
        <v>1.9444444444444445E-2</v>
      </c>
      <c r="L18" s="139">
        <f>_xll.qlYieldTSDiscount(Discounting,D18,,AllTriggers)</f>
        <v>1.000020555872458</v>
      </c>
      <c r="M18" s="115">
        <f>_xll.qlYieldTSDiscount(Discounting,F18,,AllTriggers)</f>
        <v>1.000089589834422</v>
      </c>
      <c r="N18" s="138">
        <f t="shared" ref="N18:N23" si="10">(L18/M18-1)/K18</f>
        <v>-3.549999999951885E-3</v>
      </c>
      <c r="O18" s="112">
        <f t="shared" ref="O18:O22" si="11">((1+N18*K18)*EXP($X$15*K18)-1)/K18</f>
        <v>-3.34251967869102E-3</v>
      </c>
      <c r="P18" s="112">
        <f t="shared" ref="P18:P22" si="12">((1+K18*N18)*EXP($X$10*K18+0.5*$X$9*K18^2)-1)/K18</f>
        <v>-3.483098865245512E-3</v>
      </c>
      <c r="Q18" s="112">
        <f t="shared" si="9"/>
        <v>-3.5283676195677466E-3</v>
      </c>
      <c r="AG18" s="114">
        <f>_xll.qlCalendarAdvance(Calendar,AG17,"1d","mf",,Trigger)</f>
        <v>42818</v>
      </c>
      <c r="AH18" s="100">
        <f>_xll.qlDayCounterYearFraction(DayCounter,SettlementDate,AG18,,,Trigger)</f>
        <v>5.8333333333333334E-2</v>
      </c>
      <c r="AI18" s="112">
        <f t="shared" si="6"/>
        <v>2.0749422556973757E-4</v>
      </c>
      <c r="AJ18" s="112">
        <f t="shared" si="1"/>
        <v>1.2346430794353105E-4</v>
      </c>
      <c r="AK18" s="112">
        <f t="shared" si="7"/>
        <v>1.189131418226483E-4</v>
      </c>
    </row>
    <row r="19" spans="3:37" ht="12.2" customHeight="1" x14ac:dyDescent="0.2">
      <c r="C19" s="113" t="s">
        <v>40</v>
      </c>
      <c r="D19" s="98">
        <f t="shared" si="8"/>
        <v>42797</v>
      </c>
      <c r="E19" s="98"/>
      <c r="F19" s="114">
        <f>_xll.qlCalendarAdvance(Calendar,SettlementDate,C19,"Following",,Trigger)</f>
        <v>42811</v>
      </c>
      <c r="G19" s="136"/>
      <c r="H19" s="136"/>
      <c r="I19" s="136"/>
      <c r="J19" s="136"/>
      <c r="K19" s="100">
        <f>_xll.qlDayCounterYearFraction(DayCounter,D19,F19,,,Trigger)</f>
        <v>3.888888888888889E-2</v>
      </c>
      <c r="L19" s="139">
        <f>_xll.qlYieldTSDiscount(Discounting,D19,,AllTriggers)</f>
        <v>1.000020555872458</v>
      </c>
      <c r="M19" s="115">
        <f>_xll.qlYieldTSDiscount(Discounting,F19,,AllTriggers)</f>
        <v>1.0001586333282257</v>
      </c>
      <c r="N19" s="138">
        <f t="shared" si="10"/>
        <v>-3.5499999999975629E-3</v>
      </c>
      <c r="O19" s="112">
        <f t="shared" si="11"/>
        <v>-3.3425335831114922E-3</v>
      </c>
      <c r="P19" s="112">
        <f t="shared" si="12"/>
        <v>-3.4717932501842391E-3</v>
      </c>
      <c r="Q19" s="112">
        <f t="shared" si="9"/>
        <v>-3.5078429321466764E-3</v>
      </c>
      <c r="AG19" s="114">
        <f>_xll.qlCalendarAdvance(Calendar,AG18,"1d","mf",,Trigger)</f>
        <v>42821</v>
      </c>
      <c r="AH19" s="100">
        <f>_xll.qlDayCounterYearFraction(DayCounter,SettlementDate,AG19,,,Trigger)</f>
        <v>6.6666666666666666E-2</v>
      </c>
      <c r="AI19" s="112">
        <f t="shared" si="6"/>
        <v>2.0749422556973757E-4</v>
      </c>
      <c r="AJ19" s="112">
        <f t="shared" si="1"/>
        <v>1.3316006766963181E-4</v>
      </c>
      <c r="AK19" s="112">
        <f t="shared" si="7"/>
        <v>1.3373201775680591E-4</v>
      </c>
    </row>
    <row r="20" spans="3:37" ht="12.2" customHeight="1" x14ac:dyDescent="0.2">
      <c r="C20" s="113" t="s">
        <v>41</v>
      </c>
      <c r="D20" s="98">
        <f t="shared" si="8"/>
        <v>42797</v>
      </c>
      <c r="E20" s="98"/>
      <c r="F20" s="114">
        <f>_xll.qlCalendarAdvance(Calendar,SettlementDate,C20,"Following",,Trigger)</f>
        <v>42818</v>
      </c>
      <c r="G20" s="136"/>
      <c r="H20" s="136"/>
      <c r="I20" s="136"/>
      <c r="J20" s="136"/>
      <c r="K20" s="100">
        <f>_xll.qlDayCounterYearFraction(DayCounter,D20,F20,,,Trigger)</f>
        <v>5.8333333333333334E-2</v>
      </c>
      <c r="L20" s="139">
        <f>_xll.qlYieldTSDiscount(Discounting,D20,,AllTriggers)</f>
        <v>1.000020555872458</v>
      </c>
      <c r="M20" s="115">
        <f>_xll.qlYieldTSDiscount(Discounting,F20,,AllTriggers)</f>
        <v>1.0002276863558459</v>
      </c>
      <c r="N20" s="138">
        <f t="shared" si="10"/>
        <v>-3.5500000000870152E-3</v>
      </c>
      <c r="O20" s="112">
        <f t="shared" si="11"/>
        <v>-3.342547487630933E-3</v>
      </c>
      <c r="P20" s="112">
        <f t="shared" si="12"/>
        <v>-3.4604891574423796E-3</v>
      </c>
      <c r="Q20" s="112">
        <f t="shared" si="9"/>
        <v>-3.4882964034834074E-3</v>
      </c>
      <c r="AG20" s="114">
        <f>_xll.qlCalendarAdvance(Calendar,AG19,"1d","mf",,Trigger)</f>
        <v>42822</v>
      </c>
      <c r="AH20" s="100">
        <f>_xll.qlDayCounterYearFraction(DayCounter,SettlementDate,AG20,,,Trigger)</f>
        <v>6.9444444444444448E-2</v>
      </c>
      <c r="AI20" s="112">
        <f t="shared" si="6"/>
        <v>2.0749422556973757E-4</v>
      </c>
      <c r="AJ20" s="112">
        <f t="shared" si="1"/>
        <v>1.3639198757833208E-4</v>
      </c>
      <c r="AK20" s="112">
        <f t="shared" si="7"/>
        <v>1.3855218513859216E-4</v>
      </c>
    </row>
    <row r="21" spans="3:37" ht="12.2" customHeight="1" x14ac:dyDescent="0.2">
      <c r="C21" s="113" t="s">
        <v>35</v>
      </c>
      <c r="D21" s="98">
        <f t="shared" si="8"/>
        <v>42797</v>
      </c>
      <c r="E21" s="98"/>
      <c r="F21" s="114">
        <f>_xll.qlCalendarAdvance(Calendar,SettlementDate,C21,"mf",TRUE,Trigger)</f>
        <v>42828</v>
      </c>
      <c r="G21" s="136"/>
      <c r="H21" s="136"/>
      <c r="I21" s="136"/>
      <c r="J21" s="136"/>
      <c r="K21" s="100">
        <f>_xll.qlDayCounterYearFraction(DayCounter,D21,F21,,,Trigger)</f>
        <v>8.611111111111111E-2</v>
      </c>
      <c r="L21" s="139">
        <f>_xll.qlYieldTSDiscount(Discounting,D21,,AllTriggers)</f>
        <v>1.000020555872458</v>
      </c>
      <c r="M21" s="115">
        <f>_xll.qlYieldTSDiscount(Discounting,F21,,AllTriggers)</f>
        <v>1.0003246267722015</v>
      </c>
      <c r="N21" s="138">
        <f t="shared" si="10"/>
        <v>-3.5299999999987581E-3</v>
      </c>
      <c r="O21" s="112">
        <f t="shared" si="11"/>
        <v>-3.3225669937546826E-3</v>
      </c>
      <c r="P21" s="112">
        <f t="shared" si="12"/>
        <v>-3.4243428972054405E-3</v>
      </c>
      <c r="Q21" s="112">
        <f t="shared" si="9"/>
        <v>-3.4420690128427046E-3</v>
      </c>
      <c r="AG21" s="114">
        <f>_xll.qlCalendarAdvance(Calendar,AG20,"1d","mf",,Trigger)</f>
        <v>42823</v>
      </c>
      <c r="AH21" s="100">
        <f>_xll.qlDayCounterYearFraction(DayCounter,SettlementDate,AG21,,,Trigger)</f>
        <v>7.2222222222222215E-2</v>
      </c>
      <c r="AI21" s="112">
        <f t="shared" si="6"/>
        <v>2.0749422556973757E-4</v>
      </c>
      <c r="AJ21" s="112">
        <f t="shared" si="1"/>
        <v>1.3962390748703231E-4</v>
      </c>
      <c r="AK21" s="112">
        <f t="shared" si="7"/>
        <v>1.4331262355557858E-4</v>
      </c>
    </row>
    <row r="22" spans="3:37" ht="12.2" customHeight="1" x14ac:dyDescent="0.2">
      <c r="C22" s="113" t="s">
        <v>42</v>
      </c>
      <c r="D22" s="98">
        <f t="shared" si="8"/>
        <v>42797</v>
      </c>
      <c r="E22" s="98"/>
      <c r="F22" s="114">
        <f>_xll.qlCalendarAdvance(Calendar,SettlementDate,C22,"mf",TRUE,Trigger)</f>
        <v>42858</v>
      </c>
      <c r="G22" s="136"/>
      <c r="H22" s="136"/>
      <c r="I22" s="136"/>
      <c r="J22" s="136"/>
      <c r="K22" s="100">
        <f>_xll.qlDayCounterYearFraction(DayCounter,D22,F22,,,Trigger)</f>
        <v>0.16944444444444445</v>
      </c>
      <c r="L22" s="139">
        <f>_xll.qlYieldTSDiscount(Discounting,D22,,AllTriggers)</f>
        <v>1.000020555872458</v>
      </c>
      <c r="M22" s="115">
        <f>_xll.qlYieldTSDiscount(Discounting,F22,,AllTriggers)</f>
        <v>1.0006195858250457</v>
      </c>
      <c r="N22" s="138">
        <f t="shared" si="10"/>
        <v>-3.5330696966807116E-3</v>
      </c>
      <c r="O22" s="112">
        <f t="shared" si="11"/>
        <v>-3.3256960439254444E-3</v>
      </c>
      <c r="P22" s="112">
        <f t="shared" si="12"/>
        <v>-3.3789924309405978E-3</v>
      </c>
      <c r="Q22" s="112">
        <f t="shared" si="9"/>
        <v>-3.3784253306276589E-3</v>
      </c>
      <c r="AG22" s="114">
        <f>_xll.qlCalendarAdvance(Calendar,AG21,"1d","mf",,Trigger)</f>
        <v>42824</v>
      </c>
      <c r="AH22" s="100">
        <f>_xll.qlDayCounterYearFraction(DayCounter,SettlementDate,AG22,,,Trigger)</f>
        <v>7.4999999999999997E-2</v>
      </c>
      <c r="AI22" s="112">
        <f t="shared" si="6"/>
        <v>2.0749422556973757E-4</v>
      </c>
      <c r="AJ22" s="112">
        <f t="shared" si="1"/>
        <v>1.4285582739573255E-4</v>
      </c>
      <c r="AK22" s="112">
        <f t="shared" si="7"/>
        <v>1.480133330077652E-4</v>
      </c>
    </row>
    <row r="23" spans="3:37" ht="12.2" customHeight="1" x14ac:dyDescent="0.2">
      <c r="C23" s="117" t="s">
        <v>36</v>
      </c>
      <c r="D23" s="103">
        <f t="shared" si="8"/>
        <v>42797</v>
      </c>
      <c r="E23" s="103"/>
      <c r="F23" s="118">
        <f>_xll.qlCalendarAdvance(Calendar,SettlementDate,C23,"mf",TRUE,Trigger)</f>
        <v>42891</v>
      </c>
      <c r="G23" s="140"/>
      <c r="H23" s="140"/>
      <c r="I23" s="140"/>
      <c r="J23" s="140"/>
      <c r="K23" s="105">
        <f>_xll.qlDayCounterYearFraction(DayCounter,D23,F23,,,Trigger)</f>
        <v>0.26111111111111113</v>
      </c>
      <c r="L23" s="141">
        <f>_xll.qlYieldTSDiscount(Discounting,D23,,AllTriggers)</f>
        <v>1.000020555872458</v>
      </c>
      <c r="M23" s="119">
        <f>_xll.qlYieldTSDiscount(Discounting,F23,,AllTriggers)</f>
        <v>1.0009443099914743</v>
      </c>
      <c r="N23" s="142">
        <f t="shared" si="10"/>
        <v>-3.534444121504751E-3</v>
      </c>
      <c r="O23" s="121">
        <f>((1+N23*K23)*EXP($X$15*K23)-1)/K23</f>
        <v>-3.3271357729184065E-3</v>
      </c>
      <c r="P23" s="121">
        <f>((1+K23*N23)*EXP($X$10*K23+0.5*$X$9*K23^2)-1)/K23</f>
        <v>-3.3271357729184065E-3</v>
      </c>
      <c r="Q23" s="121">
        <f t="shared" si="9"/>
        <v>-3.3271357729184065E-3</v>
      </c>
      <c r="AG23" s="114">
        <f>_xll.qlCalendarAdvance(Calendar,AG22,"1d","mf",,Trigger)</f>
        <v>42825</v>
      </c>
      <c r="AH23" s="100">
        <f>_xll.qlDayCounterYearFraction(DayCounter,SettlementDate,AG23,,,Trigger)</f>
        <v>7.7777777777777779E-2</v>
      </c>
      <c r="AI23" s="112">
        <f t="shared" si="6"/>
        <v>2.0749422556973757E-4</v>
      </c>
      <c r="AJ23" s="112">
        <f t="shared" si="1"/>
        <v>1.4608774730443284E-4</v>
      </c>
      <c r="AK23" s="112">
        <f t="shared" si="7"/>
        <v>1.5265431349515202E-4</v>
      </c>
    </row>
    <row r="24" spans="3:37" ht="12.2" customHeight="1" x14ac:dyDescent="0.2">
      <c r="AG24" s="114">
        <f>_xll.qlCalendarAdvance(Calendar,AG23,"1d","mf",,Trigger)</f>
        <v>42828</v>
      </c>
      <c r="AH24" s="100">
        <f>_xll.qlDayCounterYearFraction(DayCounter,SettlementDate,AG24,,,Trigger)</f>
        <v>8.611111111111111E-2</v>
      </c>
      <c r="AI24" s="112">
        <f t="shared" si="6"/>
        <v>2.0749422556973757E-4</v>
      </c>
      <c r="AJ24" s="112">
        <f t="shared" si="1"/>
        <v>1.557835070305336E-4</v>
      </c>
      <c r="AK24" s="112">
        <f t="shared" si="7"/>
        <v>1.6621888116851349E-4</v>
      </c>
    </row>
    <row r="25" spans="3:37" ht="12.2" customHeight="1" x14ac:dyDescent="0.2">
      <c r="C25" s="87" t="s">
        <v>106</v>
      </c>
      <c r="AG25" s="114">
        <f>_xll.qlCalendarAdvance(Calendar,AG24,"1d","mf",,Trigger)</f>
        <v>42829</v>
      </c>
      <c r="AH25" s="100">
        <f>_xll.qlDayCounterYearFraction(DayCounter,SettlementDate,AG25,,,Trigger)</f>
        <v>8.8888888888888892E-2</v>
      </c>
      <c r="AI25" s="112">
        <f t="shared" si="6"/>
        <v>2.0749422556973757E-4</v>
      </c>
      <c r="AJ25" s="112">
        <f t="shared" si="1"/>
        <v>1.5901542693923384E-4</v>
      </c>
      <c r="AK25" s="112">
        <f t="shared" si="7"/>
        <v>1.7062094579670104E-4</v>
      </c>
    </row>
    <row r="26" spans="3:37" ht="12.2" customHeight="1" x14ac:dyDescent="0.2">
      <c r="C26" s="124" t="s">
        <v>90</v>
      </c>
      <c r="AG26" s="114">
        <f>_xll.qlCalendarAdvance(Calendar,AG25,"1d","mf",,Trigger)</f>
        <v>42830</v>
      </c>
      <c r="AH26" s="100">
        <f>_xll.qlDayCounterYearFraction(DayCounter,SettlementDate,AG26,,,Trigger)</f>
        <v>9.166666666666666E-2</v>
      </c>
      <c r="AI26" s="112">
        <f t="shared" si="6"/>
        <v>2.0749422556973757E-4</v>
      </c>
      <c r="AJ26" s="112">
        <f t="shared" si="1"/>
        <v>1.6224734684793408E-4</v>
      </c>
      <c r="AK26" s="112">
        <f t="shared" si="7"/>
        <v>1.7496328146008875E-4</v>
      </c>
    </row>
    <row r="27" spans="3:37" ht="12.2" customHeight="1" x14ac:dyDescent="0.2">
      <c r="C27" s="112">
        <f t="shared" ref="C27:C33" si="13">IF($C$26="FLAT",O17,IF($C$26="linear",P17,Q17))</f>
        <v>-3.6216130670796431E-3</v>
      </c>
      <c r="AG27" s="114">
        <f>_xll.qlCalendarAdvance(Calendar,AG26,"1d","mf",,Trigger)</f>
        <v>42831</v>
      </c>
      <c r="AH27" s="100">
        <f>_xll.qlDayCounterYearFraction(DayCounter,SettlementDate,AG27,,,Trigger)</f>
        <v>9.4444444444444442E-2</v>
      </c>
      <c r="AI27" s="112">
        <f t="shared" si="6"/>
        <v>2.0749422556973757E-4</v>
      </c>
      <c r="AJ27" s="112">
        <f t="shared" si="1"/>
        <v>1.6547926675663434E-4</v>
      </c>
      <c r="AK27" s="112">
        <f t="shared" si="7"/>
        <v>1.7924588815867667E-4</v>
      </c>
    </row>
    <row r="28" spans="3:37" ht="12.2" customHeight="1" x14ac:dyDescent="0.2">
      <c r="C28" s="112">
        <f t="shared" si="13"/>
        <v>-3.5283676195677466E-3</v>
      </c>
      <c r="AG28" s="114">
        <f>_xll.qlCalendarAdvance(Calendar,AG27,"1d","mf",,Trigger)</f>
        <v>42832</v>
      </c>
      <c r="AH28" s="100">
        <f>_xll.qlDayCounterYearFraction(DayCounter,SettlementDate,AG28,,,Trigger)</f>
        <v>9.7222222222222224E-2</v>
      </c>
      <c r="AI28" s="112">
        <f t="shared" si="6"/>
        <v>2.0749422556973757E-4</v>
      </c>
      <c r="AJ28" s="112">
        <f t="shared" si="1"/>
        <v>1.687111866653346E-4</v>
      </c>
      <c r="AK28" s="112">
        <f t="shared" si="7"/>
        <v>1.8346876589246476E-4</v>
      </c>
    </row>
    <row r="29" spans="3:37" ht="12.2" customHeight="1" x14ac:dyDescent="0.2">
      <c r="C29" s="112">
        <f t="shared" si="13"/>
        <v>-3.5078429321466764E-3</v>
      </c>
      <c r="AG29" s="114">
        <f>_xll.qlCalendarAdvance(Calendar,AG28,"1d","mf",,Trigger)</f>
        <v>42835</v>
      </c>
      <c r="AH29" s="100">
        <f>_xll.qlDayCounterYearFraction(DayCounter,SettlementDate,AG29,,,Trigger)</f>
        <v>0.10555555555555556</v>
      </c>
      <c r="AI29" s="112">
        <f t="shared" si="6"/>
        <v>2.0749422556973757E-4</v>
      </c>
      <c r="AJ29" s="112">
        <f t="shared" si="1"/>
        <v>1.7840694639143537E-4</v>
      </c>
      <c r="AK29" s="112">
        <f t="shared" si="7"/>
        <v>1.9577902530503011E-4</v>
      </c>
    </row>
    <row r="30" spans="3:37" ht="12.2" customHeight="1" x14ac:dyDescent="0.2">
      <c r="C30" s="112">
        <f t="shared" si="13"/>
        <v>-3.4882964034834074E-3</v>
      </c>
      <c r="AG30" s="114">
        <f>_xll.qlCalendarAdvance(Calendar,AG29,"1d","mf",,Trigger)</f>
        <v>42836</v>
      </c>
      <c r="AH30" s="100">
        <f>_xll.qlDayCounterYearFraction(DayCounter,SettlementDate,AG30,,,Trigger)</f>
        <v>0.10833333333333334</v>
      </c>
      <c r="AI30" s="112">
        <f t="shared" si="6"/>
        <v>2.0749422556973757E-4</v>
      </c>
      <c r="AJ30" s="112">
        <f t="shared" si="1"/>
        <v>1.816388663001356E-4</v>
      </c>
      <c r="AK30" s="112">
        <f t="shared" si="7"/>
        <v>1.9976298717961892E-4</v>
      </c>
    </row>
    <row r="31" spans="3:37" ht="12.2" customHeight="1" x14ac:dyDescent="0.2">
      <c r="C31" s="112">
        <f t="shared" si="13"/>
        <v>-3.4420690128427046E-3</v>
      </c>
      <c r="AG31" s="114">
        <f>_xll.qlCalendarAdvance(Calendar,AG30,"1d","mf",,Trigger)</f>
        <v>42837</v>
      </c>
      <c r="AH31" s="100">
        <f>_xll.qlDayCounterYearFraction(DayCounter,SettlementDate,AG31,,,Trigger)</f>
        <v>0.1111111111111111</v>
      </c>
      <c r="AI31" s="112">
        <f t="shared" si="6"/>
        <v>2.0749422556973757E-4</v>
      </c>
      <c r="AJ31" s="112">
        <f t="shared" si="1"/>
        <v>1.8487078620883587E-4</v>
      </c>
      <c r="AK31" s="112">
        <f t="shared" si="7"/>
        <v>2.0368722008940794E-4</v>
      </c>
    </row>
    <row r="32" spans="3:37" ht="12.2" customHeight="1" x14ac:dyDescent="0.2">
      <c r="C32" s="112">
        <f t="shared" si="13"/>
        <v>-3.3784253306276589E-3</v>
      </c>
      <c r="AG32" s="114">
        <f>_xll.qlCalendarAdvance(Calendar,AG31,"1d","mf",,Trigger)</f>
        <v>42838</v>
      </c>
      <c r="AH32" s="100">
        <f>_xll.qlDayCounterYearFraction(DayCounter,SettlementDate,AG32,,,Trigger)</f>
        <v>0.11388888888888889</v>
      </c>
      <c r="AI32" s="112">
        <f t="shared" si="6"/>
        <v>2.0749422556973757E-4</v>
      </c>
      <c r="AJ32" s="112">
        <f t="shared" si="1"/>
        <v>1.881027061175361E-4</v>
      </c>
      <c r="AK32" s="112">
        <f t="shared" si="7"/>
        <v>2.0755172403439715E-4</v>
      </c>
    </row>
    <row r="33" spans="3:37" ht="12.2" customHeight="1" x14ac:dyDescent="0.2">
      <c r="C33" s="121">
        <f t="shared" si="13"/>
        <v>-3.3271357729184065E-3</v>
      </c>
      <c r="AG33" s="114">
        <f>_xll.qlCalendarAdvance(Calendar,AG32,"1d","mf",,Trigger)</f>
        <v>42843</v>
      </c>
      <c r="AH33" s="100">
        <f>_xll.qlDayCounterYearFraction(DayCounter,SettlementDate,AG33,,,Trigger)</f>
        <v>0.12777777777777777</v>
      </c>
      <c r="AI33" s="112">
        <f t="shared" si="6"/>
        <v>2.0749422556973757E-4</v>
      </c>
      <c r="AJ33" s="112">
        <f t="shared" si="1"/>
        <v>2.0426230566103736E-4</v>
      </c>
      <c r="AK33" s="112">
        <f t="shared" si="7"/>
        <v>2.2597830928734584E-4</v>
      </c>
    </row>
    <row r="34" spans="3:37" ht="12.2" customHeight="1" x14ac:dyDescent="0.2">
      <c r="AG34" s="114">
        <f>_xll.qlCalendarAdvance(Calendar,AG33,"1d","mf",,Trigger)</f>
        <v>42844</v>
      </c>
      <c r="AH34" s="100">
        <f>_xll.qlDayCounterYearFraction(DayCounter,SettlementDate,AG34,,,Trigger)</f>
        <v>0.13055555555555556</v>
      </c>
      <c r="AI34" s="112">
        <f t="shared" si="6"/>
        <v>2.0749422556973757E-4</v>
      </c>
      <c r="AJ34" s="112">
        <f t="shared" si="1"/>
        <v>2.0749422556973766E-4</v>
      </c>
      <c r="AK34" s="112">
        <f t="shared" si="7"/>
        <v>2.2948443944353618E-4</v>
      </c>
    </row>
    <row r="35" spans="3:37" x14ac:dyDescent="0.2">
      <c r="AG35" s="114">
        <f>_xll.qlCalendarAdvance(Calendar,AG34,"1d","mf",,Trigger)</f>
        <v>42845</v>
      </c>
      <c r="AH35" s="100">
        <f>_xll.qlDayCounterYearFraction(DayCounter,SettlementDate,AG35,,,Trigger)</f>
        <v>0.13333333333333333</v>
      </c>
      <c r="AI35" s="112">
        <f t="shared" si="6"/>
        <v>2.0749422556973757E-4</v>
      </c>
      <c r="AJ35" s="112">
        <f t="shared" si="1"/>
        <v>2.1072614547843789E-4</v>
      </c>
      <c r="AK35" s="112">
        <f t="shared" ref="AK35:AK65" si="14">($X$5+$X$4*AH35+$X$3*AH35^2)</f>
        <v>2.3293084063492664E-4</v>
      </c>
    </row>
    <row r="36" spans="3:37" x14ac:dyDescent="0.2">
      <c r="AG36" s="114">
        <f>_xll.qlCalendarAdvance(Calendar,AG35,"1d","mf",,Trigger)</f>
        <v>42846</v>
      </c>
      <c r="AH36" s="100">
        <f>_xll.qlDayCounterYearFraction(DayCounter,SettlementDate,AG36,,,Trigger)</f>
        <v>0.1361111111111111</v>
      </c>
      <c r="AI36" s="112">
        <f t="shared" si="6"/>
        <v>2.0749422556973757E-4</v>
      </c>
      <c r="AJ36" s="112">
        <f t="shared" si="1"/>
        <v>2.1395806538713813E-4</v>
      </c>
      <c r="AK36" s="112">
        <f t="shared" si="14"/>
        <v>2.3631751286151733E-4</v>
      </c>
    </row>
    <row r="37" spans="3:37" x14ac:dyDescent="0.2">
      <c r="AG37" s="114">
        <f>_xll.qlCalendarAdvance(Calendar,AG36,"1d","mf",,Trigger)</f>
        <v>42849</v>
      </c>
      <c r="AH37" s="100">
        <f>_xll.qlDayCounterYearFraction(DayCounter,SettlementDate,AG37,,,Trigger)</f>
        <v>0.14444444444444443</v>
      </c>
      <c r="AI37" s="112">
        <f t="shared" si="6"/>
        <v>2.0749422556973757E-4</v>
      </c>
      <c r="AJ37" s="112">
        <f t="shared" si="1"/>
        <v>2.2365382511323889E-4</v>
      </c>
      <c r="AK37" s="112">
        <f t="shared" si="14"/>
        <v>2.4611915575249043E-4</v>
      </c>
    </row>
    <row r="38" spans="3:37" x14ac:dyDescent="0.2">
      <c r="AG38" s="114">
        <f>_xll.qlCalendarAdvance(Calendar,AG37,"1d","mf",,Trigger)</f>
        <v>42850</v>
      </c>
      <c r="AH38" s="100">
        <f>_xll.qlDayCounterYearFraction(DayCounter,SettlementDate,AG38,,,Trigger)</f>
        <v>0.14722222222222223</v>
      </c>
      <c r="AI38" s="112">
        <f t="shared" si="6"/>
        <v>2.0749422556973757E-4</v>
      </c>
      <c r="AJ38" s="112">
        <f t="shared" si="1"/>
        <v>2.2688574502193915E-4</v>
      </c>
      <c r="AK38" s="112">
        <f t="shared" si="14"/>
        <v>2.4926691211988179E-4</v>
      </c>
    </row>
    <row r="39" spans="3:37" x14ac:dyDescent="0.2">
      <c r="AG39" s="114">
        <f>_xll.qlCalendarAdvance(Calendar,AG38,"1d","mf",,Trigger)</f>
        <v>42851</v>
      </c>
      <c r="AH39" s="100">
        <f>_xll.qlDayCounterYearFraction(DayCounter,SettlementDate,AG39,,,Trigger)</f>
        <v>0.15</v>
      </c>
      <c r="AI39" s="112">
        <f t="shared" si="6"/>
        <v>2.0749422556973757E-4</v>
      </c>
      <c r="AJ39" s="112">
        <f t="shared" si="1"/>
        <v>2.3011766493063939E-4</v>
      </c>
      <c r="AK39" s="112">
        <f t="shared" si="14"/>
        <v>2.5235493952247343E-4</v>
      </c>
    </row>
    <row r="40" spans="3:37" x14ac:dyDescent="0.2">
      <c r="AG40" s="114">
        <f>_xll.qlCalendarAdvance(Calendar,AG39,"1d","mf",,Trigger)</f>
        <v>42852</v>
      </c>
      <c r="AH40" s="100">
        <f>_xll.qlDayCounterYearFraction(DayCounter,SettlementDate,AG40,,,Trigger)</f>
        <v>0.15277777777777779</v>
      </c>
      <c r="AI40" s="112">
        <f t="shared" si="6"/>
        <v>2.0749422556973757E-4</v>
      </c>
      <c r="AJ40" s="112">
        <f t="shared" si="1"/>
        <v>2.3334958483933968E-4</v>
      </c>
      <c r="AK40" s="112">
        <f t="shared" si="14"/>
        <v>2.5538323796026518E-4</v>
      </c>
    </row>
    <row r="41" spans="3:37" x14ac:dyDescent="0.2">
      <c r="AG41" s="114">
        <f>_xll.qlCalendarAdvance(Calendar,AG40,"1d","mf",,Trigger)</f>
        <v>42853</v>
      </c>
      <c r="AH41" s="100">
        <f>_xll.qlDayCounterYearFraction(DayCounter,SettlementDate,AG41,,,Trigger)</f>
        <v>0.15555555555555556</v>
      </c>
      <c r="AI41" s="112">
        <f t="shared" si="6"/>
        <v>2.0749422556973757E-4</v>
      </c>
      <c r="AJ41" s="112">
        <f t="shared" si="1"/>
        <v>2.3658150474803992E-4</v>
      </c>
      <c r="AK41" s="112">
        <f t="shared" si="14"/>
        <v>2.5835180743325717E-4</v>
      </c>
    </row>
    <row r="42" spans="3:37" x14ac:dyDescent="0.2">
      <c r="AG42" s="114">
        <f>_xll.qlCalendarAdvance(Calendar,AG41,"1d","mf",,Trigger)</f>
        <v>42857</v>
      </c>
      <c r="AH42" s="100">
        <f>_xll.qlDayCounterYearFraction(DayCounter,SettlementDate,AG42,,,Trigger)</f>
        <v>0.16666666666666666</v>
      </c>
      <c r="AI42" s="112">
        <f t="shared" si="6"/>
        <v>2.0749422556973757E-4</v>
      </c>
      <c r="AJ42" s="112">
        <f t="shared" si="1"/>
        <v>2.4950918438284089E-4</v>
      </c>
      <c r="AK42" s="112">
        <f t="shared" si="14"/>
        <v>2.696287956772268E-4</v>
      </c>
    </row>
    <row r="43" spans="3:37" x14ac:dyDescent="0.2">
      <c r="N43" s="85"/>
      <c r="O43" s="85"/>
      <c r="AG43" s="114">
        <f>_xll.qlCalendarAdvance(Calendar,AG42,"1d","mf",,Trigger)</f>
        <v>42858</v>
      </c>
      <c r="AH43" s="100">
        <f>_xll.qlDayCounterYearFraction(DayCounter,SettlementDate,AG43,,,Trigger)</f>
        <v>0.16944444444444445</v>
      </c>
      <c r="AI43" s="112">
        <f t="shared" si="6"/>
        <v>2.0749422556973757E-4</v>
      </c>
      <c r="AJ43" s="112">
        <f t="shared" si="1"/>
        <v>2.5274110429154118E-4</v>
      </c>
      <c r="AK43" s="112">
        <f t="shared" si="14"/>
        <v>2.7229872032621971E-4</v>
      </c>
    </row>
    <row r="44" spans="3:37" x14ac:dyDescent="0.2">
      <c r="AG44" s="114">
        <f>_xll.qlCalendarAdvance(Calendar,AG43,"1d","mf",,Trigger)</f>
        <v>42859</v>
      </c>
      <c r="AH44" s="100">
        <f>_xll.qlDayCounterYearFraction(DayCounter,SettlementDate,AG44,,,Trigger)</f>
        <v>0.17222222222222222</v>
      </c>
      <c r="AI44" s="112">
        <f t="shared" si="6"/>
        <v>2.0749422556973757E-4</v>
      </c>
      <c r="AJ44" s="112">
        <f t="shared" si="1"/>
        <v>2.5597302420024147E-4</v>
      </c>
      <c r="AK44" s="112">
        <f t="shared" si="14"/>
        <v>2.7490891601041274E-4</v>
      </c>
    </row>
    <row r="45" spans="3:37" ht="11.25" customHeight="1" x14ac:dyDescent="0.2">
      <c r="AG45" s="114">
        <f>_xll.qlCalendarAdvance(Calendar,AG44,"1d","mf",,Trigger)</f>
        <v>42860</v>
      </c>
      <c r="AH45" s="100">
        <f>_xll.qlDayCounterYearFraction(DayCounter,SettlementDate,AG45,,,Trigger)</f>
        <v>0.17499999999999999</v>
      </c>
      <c r="AI45" s="112">
        <f t="shared" ref="AI45:AI65" si="15">$X$15</f>
        <v>2.0749422556973757E-4</v>
      </c>
      <c r="AJ45" s="112">
        <f t="shared" si="1"/>
        <v>2.5920494410894171E-4</v>
      </c>
      <c r="AK45" s="112">
        <f t="shared" si="14"/>
        <v>2.7745938272980605E-4</v>
      </c>
    </row>
    <row r="46" spans="3:37" x14ac:dyDescent="0.2">
      <c r="R46" s="84"/>
      <c r="AG46" s="114">
        <f>_xll.qlCalendarAdvance(Calendar,AG45,"1d","mf",,Trigger)</f>
        <v>42863</v>
      </c>
      <c r="AH46" s="100">
        <f>_xll.qlDayCounterYearFraction(DayCounter,SettlementDate,AG46,,,Trigger)</f>
        <v>0.18333333333333332</v>
      </c>
      <c r="AI46" s="112">
        <f t="shared" si="15"/>
        <v>2.0749422556973757E-4</v>
      </c>
      <c r="AJ46" s="112">
        <f t="shared" si="1"/>
        <v>2.6890070383504242E-4</v>
      </c>
      <c r="AK46" s="112">
        <f t="shared" si="14"/>
        <v>2.8475240909918686E-4</v>
      </c>
    </row>
    <row r="47" spans="3:37" x14ac:dyDescent="0.2">
      <c r="R47" s="84"/>
      <c r="AG47" s="114">
        <f>_xll.qlCalendarAdvance(Calendar,AG46,"1d","mf",,Trigger)</f>
        <v>42864</v>
      </c>
      <c r="AH47" s="100">
        <f>_xll.qlDayCounterYearFraction(DayCounter,SettlementDate,AG47,,,Trigger)</f>
        <v>0.18611111111111112</v>
      </c>
      <c r="AI47" s="112">
        <f t="shared" si="15"/>
        <v>2.0749422556973757E-4</v>
      </c>
      <c r="AJ47" s="112">
        <f t="shared" si="1"/>
        <v>2.7213262374374271E-4</v>
      </c>
      <c r="AK47" s="112">
        <f t="shared" si="14"/>
        <v>2.8706395995938081E-4</v>
      </c>
    </row>
    <row r="48" spans="3:37" x14ac:dyDescent="0.2">
      <c r="R48" s="84"/>
      <c r="AG48" s="114">
        <f>_xll.qlCalendarAdvance(Calendar,AG47,"1d","mf",,Trigger)</f>
        <v>42865</v>
      </c>
      <c r="AH48" s="100">
        <f>_xll.qlDayCounterYearFraction(DayCounter,SettlementDate,AG48,,,Trigger)</f>
        <v>0.18888888888888888</v>
      </c>
      <c r="AI48" s="112">
        <f t="shared" si="15"/>
        <v>2.0749422556973757E-4</v>
      </c>
      <c r="AJ48" s="112">
        <f t="shared" si="1"/>
        <v>2.7536454365244294E-4</v>
      </c>
      <c r="AK48" s="112">
        <f t="shared" si="14"/>
        <v>2.8931578185477499E-4</v>
      </c>
    </row>
    <row r="49" spans="14:37" x14ac:dyDescent="0.2">
      <c r="R49" s="84"/>
      <c r="AG49" s="114">
        <f>_xll.qlCalendarAdvance(Calendar,AG48,"1d","mf",,Trigger)</f>
        <v>42866</v>
      </c>
      <c r="AH49" s="100">
        <f>_xll.qlDayCounterYearFraction(DayCounter,SettlementDate,AG49,,,Trigger)</f>
        <v>0.19166666666666668</v>
      </c>
      <c r="AI49" s="112">
        <f t="shared" si="15"/>
        <v>2.0749422556973757E-4</v>
      </c>
      <c r="AJ49" s="112">
        <f t="shared" si="1"/>
        <v>2.7859646356114323E-4</v>
      </c>
      <c r="AK49" s="112">
        <f t="shared" si="14"/>
        <v>2.9150787478536935E-4</v>
      </c>
    </row>
    <row r="50" spans="14:37" x14ac:dyDescent="0.2">
      <c r="R50" s="84"/>
      <c r="AG50" s="114">
        <f>_xll.qlCalendarAdvance(Calendar,AG49,"1d","mf",,Trigger)</f>
        <v>42867</v>
      </c>
      <c r="AH50" s="100">
        <f>_xll.qlDayCounterYearFraction(DayCounter,SettlementDate,AG50,,,Trigger)</f>
        <v>0.19444444444444445</v>
      </c>
      <c r="AI50" s="112">
        <f t="shared" si="15"/>
        <v>2.0749422556973757E-4</v>
      </c>
      <c r="AJ50" s="112">
        <f t="shared" si="1"/>
        <v>2.8182838346984347E-4</v>
      </c>
      <c r="AK50" s="112">
        <f t="shared" si="14"/>
        <v>2.9364023875116393E-4</v>
      </c>
    </row>
    <row r="51" spans="14:37" x14ac:dyDescent="0.2">
      <c r="AG51" s="114">
        <f>_xll.qlCalendarAdvance(Calendar,AG50,"1d","mf",,Trigger)</f>
        <v>42870</v>
      </c>
      <c r="AH51" s="100">
        <f>_xll.qlDayCounterYearFraction(DayCounter,SettlementDate,AG51,,,Trigger)</f>
        <v>0.20277777777777778</v>
      </c>
      <c r="AI51" s="112">
        <f t="shared" si="15"/>
        <v>2.0749422556973757E-4</v>
      </c>
      <c r="AJ51" s="112">
        <f t="shared" si="1"/>
        <v>2.9152414319594418E-4</v>
      </c>
      <c r="AK51" s="112">
        <f t="shared" si="14"/>
        <v>2.9967895685974861E-4</v>
      </c>
    </row>
    <row r="52" spans="14:37" x14ac:dyDescent="0.2">
      <c r="AG52" s="114">
        <f>_xll.qlCalendarAdvance(Calendar,AG51,"1d","mf",,Trigger)</f>
        <v>42871</v>
      </c>
      <c r="AH52" s="100">
        <f>_xll.qlDayCounterYearFraction(DayCounter,SettlementDate,AG52,,,Trigger)</f>
        <v>0.20555555555555555</v>
      </c>
      <c r="AI52" s="112">
        <f t="shared" si="15"/>
        <v>2.0749422556973757E-4</v>
      </c>
      <c r="AJ52" s="112">
        <f t="shared" si="1"/>
        <v>2.9475606310464447E-4</v>
      </c>
      <c r="AK52" s="112">
        <f t="shared" si="14"/>
        <v>3.0157240496634383E-4</v>
      </c>
    </row>
    <row r="53" spans="14:37" x14ac:dyDescent="0.2">
      <c r="AG53" s="114">
        <f>_xll.qlCalendarAdvance(Calendar,AG52,"1d","mf",,Trigger)</f>
        <v>42872</v>
      </c>
      <c r="AH53" s="100">
        <f>_xll.qlDayCounterYearFraction(DayCounter,SettlementDate,AG53,,,Trigger)</f>
        <v>0.20833333333333334</v>
      </c>
      <c r="AI53" s="112">
        <f t="shared" si="15"/>
        <v>2.0749422556973757E-4</v>
      </c>
      <c r="AJ53" s="112">
        <f t="shared" si="1"/>
        <v>2.9798798301334476E-4</v>
      </c>
      <c r="AK53" s="112">
        <f t="shared" si="14"/>
        <v>3.0340612410813934E-4</v>
      </c>
    </row>
    <row r="54" spans="14:37" x14ac:dyDescent="0.2">
      <c r="AG54" s="114">
        <f>_xll.qlCalendarAdvance(Calendar,AG53,"1d","mf",,Trigger)</f>
        <v>42873</v>
      </c>
      <c r="AH54" s="100">
        <f>_xll.qlDayCounterYearFraction(DayCounter,SettlementDate,AG54,,,Trigger)</f>
        <v>0.21111111111111111</v>
      </c>
      <c r="AI54" s="112">
        <f t="shared" si="15"/>
        <v>2.0749422556973757E-4</v>
      </c>
      <c r="AJ54" s="112">
        <f t="shared" si="1"/>
        <v>3.01219902922045E-4</v>
      </c>
      <c r="AK54" s="112">
        <f t="shared" si="14"/>
        <v>3.0518011428513501E-4</v>
      </c>
    </row>
    <row r="55" spans="14:37" x14ac:dyDescent="0.2">
      <c r="AG55" s="114">
        <f>_xll.qlCalendarAdvance(Calendar,AG54,"1d","mf",,Trigger)</f>
        <v>42874</v>
      </c>
      <c r="AH55" s="100">
        <f>_xll.qlDayCounterYearFraction(DayCounter,SettlementDate,AG55,,,Trigger)</f>
        <v>0.21388888888888888</v>
      </c>
      <c r="AI55" s="112">
        <f t="shared" si="15"/>
        <v>2.0749422556973757E-4</v>
      </c>
      <c r="AJ55" s="112">
        <f t="shared" si="1"/>
        <v>3.0445182283074523E-4</v>
      </c>
      <c r="AK55" s="112">
        <f t="shared" si="14"/>
        <v>3.0689437549733076E-4</v>
      </c>
    </row>
    <row r="56" spans="14:37" x14ac:dyDescent="0.2">
      <c r="AG56" s="114">
        <f>_xll.qlCalendarAdvance(Calendar,AG55,"1d","mf",,Trigger)</f>
        <v>42877</v>
      </c>
      <c r="AH56" s="100">
        <f>_xll.qlDayCounterYearFraction(DayCounter,SettlementDate,AG56,,,Trigger)</f>
        <v>0.22222222222222221</v>
      </c>
      <c r="AI56" s="112">
        <f t="shared" si="15"/>
        <v>2.0749422556973757E-4</v>
      </c>
      <c r="AJ56" s="112">
        <f t="shared" si="1"/>
        <v>3.14147582556846E-4</v>
      </c>
      <c r="AK56" s="112">
        <f t="shared" si="14"/>
        <v>3.1167878534511936E-4</v>
      </c>
    </row>
    <row r="57" spans="14:37" x14ac:dyDescent="0.2">
      <c r="AG57" s="114">
        <f>_xll.qlCalendarAdvance(Calendar,AG56,"1d","mf",,Trigger)</f>
        <v>42878</v>
      </c>
      <c r="AH57" s="100">
        <f>_xll.qlDayCounterYearFraction(DayCounter,SettlementDate,AG57,,,Trigger)</f>
        <v>0.22500000000000001</v>
      </c>
      <c r="AI57" s="112">
        <f t="shared" si="15"/>
        <v>2.0749422556973757E-4</v>
      </c>
      <c r="AJ57" s="112">
        <f t="shared" si="1"/>
        <v>3.1737950246554623E-4</v>
      </c>
      <c r="AK57" s="112">
        <f t="shared" si="14"/>
        <v>3.1315413069811591E-4</v>
      </c>
    </row>
    <row r="58" spans="14:37" x14ac:dyDescent="0.2">
      <c r="AG58" s="114">
        <f>_xll.qlCalendarAdvance(Calendar,AG57,"1d","mf",,Trigger)</f>
        <v>42879</v>
      </c>
      <c r="AH58" s="100">
        <f>_xll.qlDayCounterYearFraction(DayCounter,SettlementDate,AG58,,,Trigger)</f>
        <v>0.22777777777777777</v>
      </c>
      <c r="AI58" s="112">
        <f t="shared" si="15"/>
        <v>2.0749422556973757E-4</v>
      </c>
      <c r="AJ58" s="112">
        <f t="shared" si="1"/>
        <v>3.2061142237424647E-4</v>
      </c>
      <c r="AK58" s="112">
        <f t="shared" si="14"/>
        <v>3.1456974708631274E-4</v>
      </c>
    </row>
    <row r="59" spans="14:37" x14ac:dyDescent="0.2">
      <c r="AG59" s="114">
        <f>_xll.qlCalendarAdvance(Calendar,AG58,"1d","mf",,Trigger)</f>
        <v>42880</v>
      </c>
      <c r="AH59" s="100">
        <f>_xll.qlDayCounterYearFraction(DayCounter,SettlementDate,AG59,,,Trigger)</f>
        <v>0.23055555555555557</v>
      </c>
      <c r="AI59" s="112">
        <f t="shared" si="15"/>
        <v>2.0749422556973757E-4</v>
      </c>
      <c r="AJ59" s="112">
        <f t="shared" si="1"/>
        <v>3.2384334228294676E-4</v>
      </c>
      <c r="AK59" s="112">
        <f t="shared" si="14"/>
        <v>3.1592563450970963E-4</v>
      </c>
    </row>
    <row r="60" spans="14:37" x14ac:dyDescent="0.2">
      <c r="AG60" s="114">
        <f>_xll.qlCalendarAdvance(Calendar,AG59,"1d","mf",,Trigger)</f>
        <v>42881</v>
      </c>
      <c r="AH60" s="100">
        <f>_xll.qlDayCounterYearFraction(DayCounter,SettlementDate,AG60,,,Trigger)</f>
        <v>0.23333333333333334</v>
      </c>
      <c r="AI60" s="112">
        <f t="shared" si="15"/>
        <v>2.0749422556973757E-4</v>
      </c>
      <c r="AJ60" s="112">
        <f t="shared" si="1"/>
        <v>3.27075262191647E-4</v>
      </c>
      <c r="AK60" s="112">
        <f t="shared" si="14"/>
        <v>3.1722179296830676E-4</v>
      </c>
    </row>
    <row r="61" spans="14:37" x14ac:dyDescent="0.2">
      <c r="AG61" s="114">
        <f>_xll.qlCalendarAdvance(Calendar,AG60,"1d","mf",,Trigger)</f>
        <v>42884</v>
      </c>
      <c r="AH61" s="100">
        <f>_xll.qlDayCounterYearFraction(DayCounter,SettlementDate,AG61,,,Trigger)</f>
        <v>0.24166666666666667</v>
      </c>
      <c r="AI61" s="112">
        <f t="shared" si="15"/>
        <v>2.0749422556973757E-4</v>
      </c>
      <c r="AJ61" s="112">
        <f t="shared" si="1"/>
        <v>3.3677102191774776E-4</v>
      </c>
      <c r="AK61" s="112">
        <f t="shared" si="14"/>
        <v>3.2075189455529917E-4</v>
      </c>
    </row>
    <row r="62" spans="14:37" x14ac:dyDescent="0.2">
      <c r="N62" s="85"/>
      <c r="AG62" s="114">
        <f>_xll.qlCalendarAdvance(Calendar,AG61,"1d","mf",,Trigger)</f>
        <v>42885</v>
      </c>
      <c r="AH62" s="100">
        <f>_xll.qlDayCounterYearFraction(DayCounter,SettlementDate,AG62,,,Trigger)</f>
        <v>0.24444444444444444</v>
      </c>
      <c r="AI62" s="112">
        <f t="shared" si="15"/>
        <v>2.0749422556973757E-4</v>
      </c>
      <c r="AJ62" s="112">
        <f t="shared" si="1"/>
        <v>3.40002941826448E-4</v>
      </c>
      <c r="AK62" s="112">
        <f t="shared" si="14"/>
        <v>3.2180913715469705E-4</v>
      </c>
    </row>
    <row r="63" spans="14:37" x14ac:dyDescent="0.2">
      <c r="N63" s="85"/>
      <c r="AG63" s="114">
        <f>_xll.qlCalendarAdvance(Calendar,AG62,"1d","mf",,Trigger)</f>
        <v>42886</v>
      </c>
      <c r="AH63" s="100">
        <f>_xll.qlDayCounterYearFraction(DayCounter,SettlementDate,AG63,,,Trigger)</f>
        <v>0.24722222222222223</v>
      </c>
      <c r="AI63" s="112">
        <f t="shared" si="15"/>
        <v>2.0749422556973757E-4</v>
      </c>
      <c r="AJ63" s="112">
        <f t="shared" si="1"/>
        <v>3.4323486173514829E-4</v>
      </c>
      <c r="AK63" s="112">
        <f t="shared" si="14"/>
        <v>3.2280665078929509E-4</v>
      </c>
    </row>
    <row r="64" spans="14:37" x14ac:dyDescent="0.2">
      <c r="N64" s="85"/>
      <c r="AG64" s="114">
        <f>_xll.qlCalendarAdvance(Calendar,AG63,"1d","mf",,Trigger)</f>
        <v>42887</v>
      </c>
      <c r="AH64" s="100">
        <f>_xll.qlDayCounterYearFraction(DayCounter,SettlementDate,AG64,,,Trigger)</f>
        <v>0.25</v>
      </c>
      <c r="AI64" s="112">
        <f t="shared" si="15"/>
        <v>2.0749422556973757E-4</v>
      </c>
      <c r="AJ64" s="112">
        <f t="shared" si="1"/>
        <v>3.4646678164384852E-4</v>
      </c>
      <c r="AK64" s="112">
        <f t="shared" si="14"/>
        <v>3.2374443545909331E-4</v>
      </c>
    </row>
    <row r="65" spans="14:37" x14ac:dyDescent="0.2">
      <c r="N65" s="85"/>
      <c r="AG65" s="118">
        <f>_xll.qlCalendarAdvance(Calendar,AG64,"1d","mf",,Trigger)</f>
        <v>42888</v>
      </c>
      <c r="AH65" s="105">
        <f>_xll.qlDayCounterYearFraction(DayCounter,SettlementDate,AG65,,,Trigger)</f>
        <v>0.25277777777777777</v>
      </c>
      <c r="AI65" s="121">
        <f t="shared" si="15"/>
        <v>2.0749422556973757E-4</v>
      </c>
      <c r="AJ65" s="121">
        <f t="shared" si="1"/>
        <v>3.4969870155254876E-4</v>
      </c>
      <c r="AK65" s="121">
        <f t="shared" si="14"/>
        <v>3.2462249116409176E-4</v>
      </c>
    </row>
    <row r="66" spans="14:37" x14ac:dyDescent="0.2">
      <c r="N66" s="85"/>
    </row>
    <row r="67" spans="14:37" x14ac:dyDescent="0.2">
      <c r="N67" s="85"/>
    </row>
    <row r="68" spans="14:37" x14ac:dyDescent="0.2">
      <c r="N68" s="85"/>
      <c r="O68" s="85"/>
    </row>
    <row r="69" spans="14:37" x14ac:dyDescent="0.2">
      <c r="N69" s="85"/>
      <c r="O69" s="85"/>
    </row>
    <row r="70" spans="14:37" x14ac:dyDescent="0.2">
      <c r="N70" s="85"/>
      <c r="O70" s="85"/>
    </row>
    <row r="71" spans="14:37" x14ac:dyDescent="0.2">
      <c r="N71" s="85"/>
      <c r="O71" s="85"/>
    </row>
    <row r="72" spans="14:37" x14ac:dyDescent="0.2">
      <c r="N72" s="85"/>
      <c r="O72" s="85"/>
    </row>
    <row r="73" spans="14:37" x14ac:dyDescent="0.2">
      <c r="N73" s="85"/>
      <c r="O73" s="85"/>
    </row>
    <row r="74" spans="14:37" x14ac:dyDescent="0.2">
      <c r="N74" s="85"/>
      <c r="O74" s="85"/>
    </row>
    <row r="75" spans="14:37" x14ac:dyDescent="0.2">
      <c r="N75" s="85"/>
      <c r="O75" s="85"/>
    </row>
    <row r="76" spans="14:37" x14ac:dyDescent="0.2">
      <c r="N76" s="85"/>
      <c r="O76" s="85"/>
    </row>
    <row r="77" spans="14:37" x14ac:dyDescent="0.2">
      <c r="N77" s="85"/>
      <c r="O77" s="85"/>
    </row>
    <row r="78" spans="14:37" x14ac:dyDescent="0.2">
      <c r="N78" s="85"/>
      <c r="O78" s="85"/>
    </row>
    <row r="79" spans="14:37" x14ac:dyDescent="0.2">
      <c r="N79" s="85"/>
      <c r="O79" s="85"/>
    </row>
    <row r="80" spans="14:37" x14ac:dyDescent="0.2">
      <c r="N80" s="85"/>
      <c r="O80" s="85"/>
    </row>
    <row r="81" spans="14:15" x14ac:dyDescent="0.2">
      <c r="N81" s="85"/>
      <c r="O81" s="85"/>
    </row>
    <row r="82" spans="14:15" x14ac:dyDescent="0.2">
      <c r="N82" s="85"/>
      <c r="O82" s="85"/>
    </row>
    <row r="83" spans="14:15" x14ac:dyDescent="0.2">
      <c r="N83" s="85"/>
      <c r="O83" s="85"/>
    </row>
    <row r="84" spans="14:15" x14ac:dyDescent="0.2">
      <c r="N84" s="85"/>
      <c r="O84" s="85"/>
    </row>
    <row r="85" spans="14:15" x14ac:dyDescent="0.2">
      <c r="N85" s="85"/>
      <c r="O85" s="85"/>
    </row>
    <row r="86" spans="14:15" x14ac:dyDescent="0.2">
      <c r="N86" s="85"/>
      <c r="O86" s="85"/>
    </row>
    <row r="87" spans="14:15" x14ac:dyDescent="0.2">
      <c r="N87" s="85"/>
      <c r="O87" s="85"/>
    </row>
    <row r="88" spans="14:15" x14ac:dyDescent="0.2">
      <c r="N88" s="85"/>
      <c r="O88" s="85"/>
    </row>
    <row r="89" spans="14:15" x14ac:dyDescent="0.2">
      <c r="N89" s="85"/>
      <c r="O89" s="85"/>
    </row>
    <row r="90" spans="14:15" x14ac:dyDescent="0.2">
      <c r="N90" s="85"/>
      <c r="O90" s="85"/>
    </row>
    <row r="91" spans="14:15" x14ac:dyDescent="0.2">
      <c r="N91" s="85"/>
      <c r="O91" s="85"/>
    </row>
    <row r="92" spans="14:15" x14ac:dyDescent="0.2">
      <c r="N92" s="85"/>
      <c r="O92" s="85"/>
    </row>
    <row r="93" spans="14:15" x14ac:dyDescent="0.2">
      <c r="N93" s="85"/>
      <c r="O93" s="85"/>
    </row>
    <row r="94" spans="14:15" x14ac:dyDescent="0.2">
      <c r="N94" s="85"/>
      <c r="O94" s="85"/>
    </row>
    <row r="95" spans="14:15" x14ac:dyDescent="0.2">
      <c r="N95" s="85"/>
      <c r="O95" s="85"/>
    </row>
    <row r="96" spans="14:15" x14ac:dyDescent="0.2">
      <c r="N96" s="85"/>
      <c r="O96" s="85"/>
    </row>
    <row r="97" spans="14:15" x14ac:dyDescent="0.2">
      <c r="N97" s="85"/>
      <c r="O97" s="85"/>
    </row>
    <row r="98" spans="14:15" x14ac:dyDescent="0.2">
      <c r="N98" s="85"/>
      <c r="O98" s="85"/>
    </row>
    <row r="99" spans="14:15" x14ac:dyDescent="0.2">
      <c r="N99" s="85"/>
      <c r="O99" s="85"/>
    </row>
    <row r="100" spans="14:15" x14ac:dyDescent="0.2">
      <c r="N100" s="85"/>
      <c r="O100" s="85"/>
    </row>
    <row r="101" spans="14:15" x14ac:dyDescent="0.2">
      <c r="N101" s="85"/>
      <c r="O101" s="85"/>
    </row>
    <row r="102" spans="14:15" x14ac:dyDescent="0.2">
      <c r="N102" s="85"/>
      <c r="O102" s="85"/>
    </row>
    <row r="103" spans="14:15" x14ac:dyDescent="0.2">
      <c r="N103" s="85"/>
      <c r="O103" s="85"/>
    </row>
    <row r="104" spans="14:15" x14ac:dyDescent="0.2">
      <c r="N104" s="85"/>
      <c r="O104" s="85"/>
    </row>
    <row r="105" spans="14:15" x14ac:dyDescent="0.2">
      <c r="N105" s="85"/>
      <c r="O105" s="85"/>
    </row>
    <row r="106" spans="14:15" x14ac:dyDescent="0.2">
      <c r="N106" s="85"/>
      <c r="O106" s="85"/>
    </row>
    <row r="107" spans="14:15" x14ac:dyDescent="0.2">
      <c r="N107" s="85"/>
      <c r="O107" s="85"/>
    </row>
    <row r="108" spans="14:15" x14ac:dyDescent="0.2">
      <c r="N108" s="85"/>
      <c r="O108" s="85"/>
    </row>
    <row r="109" spans="14:15" x14ac:dyDescent="0.2">
      <c r="N109" s="85"/>
      <c r="O109" s="85"/>
    </row>
    <row r="110" spans="14:15" x14ac:dyDescent="0.2">
      <c r="N110" s="85"/>
      <c r="O110" s="85"/>
    </row>
    <row r="111" spans="14:15" x14ac:dyDescent="0.2">
      <c r="N111" s="85"/>
      <c r="O111" s="85"/>
    </row>
    <row r="112" spans="14:15" x14ac:dyDescent="0.2">
      <c r="N112" s="85"/>
      <c r="O112" s="85"/>
    </row>
    <row r="113" spans="14:15" x14ac:dyDescent="0.2">
      <c r="N113" s="85"/>
      <c r="O113" s="85"/>
    </row>
    <row r="114" spans="14:15" x14ac:dyDescent="0.2">
      <c r="N114" s="85"/>
      <c r="O114" s="85"/>
    </row>
    <row r="115" spans="14:15" x14ac:dyDescent="0.2">
      <c r="N115" s="86"/>
      <c r="O115" s="85"/>
    </row>
    <row r="116" spans="14:15" x14ac:dyDescent="0.2">
      <c r="N116" s="86"/>
      <c r="O116" s="85"/>
    </row>
    <row r="117" spans="14:15" x14ac:dyDescent="0.2">
      <c r="N117" s="86"/>
      <c r="O117" s="85"/>
    </row>
    <row r="118" spans="14:15" x14ac:dyDescent="0.2">
      <c r="N118" s="86"/>
      <c r="O118" s="85"/>
    </row>
    <row r="119" spans="14:15" x14ac:dyDescent="0.2">
      <c r="N119" s="86"/>
      <c r="O119" s="85"/>
    </row>
    <row r="120" spans="14:15" x14ac:dyDescent="0.2">
      <c r="N120" s="86"/>
      <c r="O120" s="85"/>
    </row>
    <row r="121" spans="14:15" x14ac:dyDescent="0.2">
      <c r="N121" s="86"/>
      <c r="O121" s="86"/>
    </row>
    <row r="122" spans="14:15" x14ac:dyDescent="0.2">
      <c r="N122" s="86"/>
      <c r="O122" s="86"/>
    </row>
    <row r="123" spans="14:15" x14ac:dyDescent="0.2">
      <c r="N123" s="86"/>
      <c r="O123" s="86"/>
    </row>
    <row r="124" spans="14:15" x14ac:dyDescent="0.2">
      <c r="N124" s="86"/>
      <c r="O124" s="86"/>
    </row>
    <row r="125" spans="14:15" x14ac:dyDescent="0.2">
      <c r="N125" s="86"/>
      <c r="O125" s="86"/>
    </row>
    <row r="126" spans="14:15" x14ac:dyDescent="0.2">
      <c r="N126" s="86"/>
      <c r="O126" s="86"/>
    </row>
    <row r="127" spans="14:15" x14ac:dyDescent="0.2">
      <c r="N127" s="86"/>
      <c r="O127" s="86"/>
    </row>
    <row r="128" spans="14:15" x14ac:dyDescent="0.2">
      <c r="N128" s="86"/>
      <c r="O128" s="86"/>
    </row>
    <row r="129" spans="14:15" x14ac:dyDescent="0.2">
      <c r="N129" s="86"/>
      <c r="O129" s="86"/>
    </row>
    <row r="130" spans="14:15" x14ac:dyDescent="0.2">
      <c r="N130" s="86"/>
      <c r="O130" s="86"/>
    </row>
    <row r="131" spans="14:15" x14ac:dyDescent="0.2">
      <c r="O131" s="86"/>
    </row>
    <row r="132" spans="14:15" x14ac:dyDescent="0.2">
      <c r="O132" s="86"/>
    </row>
    <row r="133" spans="14:15" x14ac:dyDescent="0.2">
      <c r="O133" s="86"/>
    </row>
    <row r="134" spans="14:15" x14ac:dyDescent="0.2">
      <c r="O134" s="86"/>
    </row>
    <row r="135" spans="14:15" x14ac:dyDescent="0.2">
      <c r="O135" s="86"/>
    </row>
    <row r="136" spans="14:15" x14ac:dyDescent="0.2">
      <c r="O136" s="86"/>
    </row>
  </sheetData>
  <mergeCells count="5">
    <mergeCell ref="AB2:AD2"/>
    <mergeCell ref="S3:S5"/>
    <mergeCell ref="S9:S10"/>
    <mergeCell ref="W9:W10"/>
    <mergeCell ref="Y9:Y10"/>
  </mergeCells>
  <dataValidations disablePrompts="1" count="3">
    <dataValidation type="list" allowBlank="1" showInputMessage="1" showErrorMessage="1" sqref="C26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AK136"/>
  <sheetViews>
    <sheetView workbookViewId="0">
      <selection activeCell="C2" sqref="C2"/>
    </sheetView>
  </sheetViews>
  <sheetFormatPr defaultColWidth="9.5" defaultRowHeight="11.25" outlineLevelCol="1" x14ac:dyDescent="0.2"/>
  <cols>
    <col min="1" max="2" width="3.5" style="60" customWidth="1"/>
    <col min="3" max="4" width="22.83203125" style="60" customWidth="1"/>
    <col min="5" max="5" width="18" style="60" hidden="1" customWidth="1" outlineLevel="1"/>
    <col min="6" max="6" width="22.83203125" style="60" customWidth="1" collapsed="1"/>
    <col min="7" max="8" width="14.1640625" style="60" hidden="1" customWidth="1" outlineLevel="1"/>
    <col min="9" max="9" width="8.1640625" style="60" hidden="1" customWidth="1" outlineLevel="1"/>
    <col min="10" max="10" width="10.5" style="60" hidden="1" customWidth="1" outlineLevel="1"/>
    <col min="11" max="11" width="10.5" style="60" bestFit="1" customWidth="1" collapsed="1"/>
    <col min="12" max="13" width="14.1640625" style="60" bestFit="1" customWidth="1"/>
    <col min="14" max="14" width="10.5" style="60" bestFit="1" customWidth="1"/>
    <col min="15" max="17" width="10.5" style="60" customWidth="1"/>
    <col min="18" max="18" width="10.83203125" style="60" customWidth="1"/>
    <col min="19" max="19" width="13.1640625" style="60" customWidth="1"/>
    <col min="20" max="22" width="6.83203125" style="60" customWidth="1"/>
    <col min="23" max="23" width="2.33203125" style="60" bestFit="1" customWidth="1"/>
    <col min="24" max="24" width="10.83203125" style="60" customWidth="1"/>
    <col min="25" max="25" width="2.33203125" style="60" bestFit="1" customWidth="1"/>
    <col min="26" max="26" width="10.83203125" style="60" customWidth="1"/>
    <col min="27" max="27" width="12.5" style="60" bestFit="1" customWidth="1"/>
    <col min="28" max="30" width="9.33203125" style="60" customWidth="1"/>
    <col min="31" max="32" width="9.5" style="60"/>
    <col min="33" max="33" width="20.33203125" style="60" bestFit="1" customWidth="1"/>
    <col min="34" max="34" width="8.1640625" style="60" bestFit="1" customWidth="1"/>
    <col min="35" max="36" width="9.5" style="60" bestFit="1" customWidth="1"/>
    <col min="37" max="37" width="11.6640625" style="60" bestFit="1" customWidth="1"/>
    <col min="38" max="16384" width="9.5" style="60"/>
  </cols>
  <sheetData>
    <row r="2" spans="1:37" ht="19.5" customHeight="1" x14ac:dyDescent="0.2">
      <c r="C2" s="87" t="s">
        <v>89</v>
      </c>
      <c r="D2" s="87" t="s">
        <v>80</v>
      </c>
      <c r="E2" s="87" t="s">
        <v>151</v>
      </c>
      <c r="F2" s="87" t="s">
        <v>81</v>
      </c>
      <c r="G2" s="87" t="s">
        <v>120</v>
      </c>
      <c r="H2" s="87" t="s">
        <v>121</v>
      </c>
      <c r="I2" s="87" t="s">
        <v>119</v>
      </c>
      <c r="J2" s="87" t="s">
        <v>122</v>
      </c>
      <c r="K2" s="87" t="s">
        <v>123</v>
      </c>
      <c r="L2" s="87" t="s">
        <v>127</v>
      </c>
      <c r="M2" s="87" t="s">
        <v>128</v>
      </c>
      <c r="N2" s="87" t="s">
        <v>96</v>
      </c>
      <c r="O2" s="88" t="s">
        <v>97</v>
      </c>
      <c r="P2" s="87" t="s">
        <v>98</v>
      </c>
      <c r="Q2" s="87" t="s">
        <v>105</v>
      </c>
      <c r="X2" s="77" t="s">
        <v>94</v>
      </c>
      <c r="AB2" s="355" t="s">
        <v>93</v>
      </c>
      <c r="AC2" s="355"/>
      <c r="AD2" s="355"/>
      <c r="AG2" s="87" t="s">
        <v>80</v>
      </c>
      <c r="AH2" s="87" t="s">
        <v>119</v>
      </c>
      <c r="AI2" s="87" t="s">
        <v>34</v>
      </c>
      <c r="AJ2" s="87" t="s">
        <v>87</v>
      </c>
      <c r="AK2" s="87" t="s">
        <v>88</v>
      </c>
    </row>
    <row r="3" spans="1:37" ht="12.2" customHeight="1" x14ac:dyDescent="0.2">
      <c r="C3" s="92" t="str">
        <f>$D$10&amp;"LastFixing"&amp;QuoteSuffix</f>
        <v>Euribor6MLastFixing_Quote</v>
      </c>
      <c r="D3" s="93">
        <f>_xll.qlCalendarAdvance(Calendar,_xll.qlLastFixingQuoteReferenceDate($C$3),_xll.qlInterestRateIndexFixingDays($D$10)&amp;"D","f",,LastFixingsTrigger)</f>
        <v>42796</v>
      </c>
      <c r="E3" s="128">
        <f>(D3-EvaluationDate)/365</f>
        <v>2.7397260273972603E-3</v>
      </c>
      <c r="F3" s="93">
        <f>_xll.qlInterestRateIndexMaturity($D$10,D3)</f>
        <v>42982</v>
      </c>
      <c r="G3" s="127">
        <f>_xll.qlYieldTSDiscount(Discounting,D3,,AllTriggers)</f>
        <v>1.0000102778834115</v>
      </c>
      <c r="H3" s="127">
        <f>_xll.qlYieldTSDiscount(Discounting,F3,,AllTriggers)</f>
        <v>1.0018385113188129</v>
      </c>
      <c r="I3" s="128">
        <f>_xll.qlDayCounterYearFraction(DayCounter,D3,F3,,,Trigger)</f>
        <v>0.51666666666666672</v>
      </c>
      <c r="J3" s="129">
        <f>(G3/H3-1)/I3</f>
        <v>-3.5320226629391212E-3</v>
      </c>
      <c r="K3" s="94">
        <f>'Delta 6M '!R3</f>
        <v>5.8731837093059969E-4</v>
      </c>
      <c r="L3" s="95">
        <f>_xll.qlDayCounterYearFraction(DayCounter,SettlementDate,D3,,,Trigger)</f>
        <v>-2.7777777777777779E-3</v>
      </c>
      <c r="M3" s="95">
        <f>_xll.qlDayCounterYearFraction(DayCounter,SettlementDate,F3,,,Trigger)</f>
        <v>0.51388888888888884</v>
      </c>
      <c r="N3" s="95">
        <f>M3-L3</f>
        <v>0.51666666666666661</v>
      </c>
      <c r="O3" s="95">
        <f>(M3^2-L3^2)/2</f>
        <v>0.13203703703703701</v>
      </c>
      <c r="P3" s="95">
        <f>(M3^3-L3^3)/3</f>
        <v>4.5236239711934134E-2</v>
      </c>
      <c r="Q3" s="96" t="b">
        <f>IF(D12="fixing",TRUE,FALSE)</f>
        <v>0</v>
      </c>
      <c r="S3" s="356" t="s">
        <v>90</v>
      </c>
      <c r="T3" s="72">
        <f t="array" ref="T3:T5">_xll.ohFilter(P3:P7,Q3:Q7)</f>
        <v>4.5236232567443968E-2</v>
      </c>
      <c r="U3" s="78">
        <f t="array" ref="U3:U5">_xll.ohFilter(O3:O7,Q3:Q7)</f>
        <v>0.13204089506172836</v>
      </c>
      <c r="V3" s="73">
        <f t="array" ref="V3:V5">_xll.ohFilter(N3:N7,Q3:Q7)</f>
        <v>0.51388888888888884</v>
      </c>
      <c r="W3" s="79"/>
      <c r="X3" s="74">
        <f t="array" ref="X3:X5">MMULT(AB3:AD5,Z3:Z5)</f>
        <v>-3.0496645675813505E-4</v>
      </c>
      <c r="Y3" s="80"/>
      <c r="Z3" s="147">
        <f t="array" ref="Z3:Z5">_xll.ohFilter(K3:K7,Q3:Q7)</f>
        <v>5.9238525402357882E-4</v>
      </c>
      <c r="AB3" s="72">
        <f t="array" ref="AB3:AD5">MINVERSE(T3:V5)</f>
        <v>132.28733242033189</v>
      </c>
      <c r="AC3" s="78">
        <v>-265.27384540259163</v>
      </c>
      <c r="AD3" s="73">
        <v>130.8258544071351</v>
      </c>
      <c r="AG3" s="109">
        <f>SettlementDate</f>
        <v>42797</v>
      </c>
      <c r="AH3" s="100">
        <f>_xll.qlDayCounterYearFraction(DayCounter,SettlementDate,AG3,,,Trigger)</f>
        <v>0</v>
      </c>
      <c r="AI3" s="125">
        <f t="shared" ref="AI3:AI34" si="0">$X$15</f>
        <v>1.1527496835053426E-3</v>
      </c>
      <c r="AJ3" s="125">
        <f t="shared" ref="AJ3:AJ34" si="1">$X$10+$X$9*AH3</f>
        <v>9.1101949516902547E-4</v>
      </c>
      <c r="AK3" s="125">
        <f t="shared" ref="AK3:AK34" si="2">($X$5+$X$4*AH3+$X$3*AH3^2)</f>
        <v>8.9151186500617281E-4</v>
      </c>
    </row>
    <row r="4" spans="1:37" ht="12.2" customHeight="1" x14ac:dyDescent="0.2">
      <c r="A4" s="60">
        <v>0</v>
      </c>
      <c r="B4" s="146">
        <f>A4+SUBSTITUTE($D$9,"M","")</f>
        <v>6</v>
      </c>
      <c r="C4" s="97" t="str">
        <f>"Delta("&amp;A4&amp;"M,"&amp;B4&amp;"M)extrap"</f>
        <v>Delta(0M,6M)extrap</v>
      </c>
      <c r="D4" s="98">
        <f>SettlementDate</f>
        <v>42797</v>
      </c>
      <c r="E4" s="131">
        <f>(D4-EvaluationDate)/365</f>
        <v>5.4794520547945206E-3</v>
      </c>
      <c r="F4" s="98">
        <f>_xll.qlInterestRateIndexMaturity($D$10,D4)</f>
        <v>42982</v>
      </c>
      <c r="G4" s="130">
        <f>_xll.qlYieldTSDiscount(Discounting,D4,,AllTriggers)</f>
        <v>1.000020555872458</v>
      </c>
      <c r="H4" s="130">
        <f>_xll.qlYieldTSDiscount(Discounting,F4,,AllTriggers)</f>
        <v>1.0018385113188129</v>
      </c>
      <c r="I4" s="131">
        <f>_xll.qlDayCounterYearFraction(DayCounter,D4,F4,,,Trigger)</f>
        <v>0.51388888888888884</v>
      </c>
      <c r="J4" s="132">
        <f t="shared" ref="J4:J7" si="3">(G4/H4-1)/I4</f>
        <v>-3.5311509697183536E-3</v>
      </c>
      <c r="K4" s="99">
        <f>IF(Mode6M="Standard",LN((1+(_xll.qlInterpolationInterpolate(B6Minterpolation,D4,TRUE,AllTriggers)+J4)*I4)/(1+J4*I4)),LN((1+(_xll.qlInterpolationInterpolate(AbcdInterpolation6M,E4,TRUE,AllTriggers)+J4)*I4)/(1+J4*I4)))</f>
        <v>5.9238525402357882E-4</v>
      </c>
      <c r="L4" s="100">
        <f>_xll.qlDayCounterYearFraction(DayCounter,SettlementDate,D4,,,Trigger)</f>
        <v>0</v>
      </c>
      <c r="M4" s="100">
        <f>_xll.qlDayCounterYearFraction(DayCounter,SettlementDate,F4,,,Trigger)</f>
        <v>0.51388888888888884</v>
      </c>
      <c r="N4" s="100">
        <f>M4-L4</f>
        <v>0.51388888888888884</v>
      </c>
      <c r="O4" s="100">
        <f>(M4^2-L4^2)/2</f>
        <v>0.13204089506172836</v>
      </c>
      <c r="P4" s="100">
        <f>(M4^3-L4^3)/3</f>
        <v>4.5236232567443968E-2</v>
      </c>
      <c r="Q4" s="101" t="b">
        <f>IF(D12="fixing",FALSE,TRUE)</f>
        <v>1</v>
      </c>
      <c r="S4" s="356"/>
      <c r="T4" s="72">
        <v>6.9805619855967074E-2</v>
      </c>
      <c r="U4" s="78">
        <v>0.17297453703703702</v>
      </c>
      <c r="V4" s="73">
        <v>0.5083333333333333</v>
      </c>
      <c r="W4" s="81" t="s">
        <v>32</v>
      </c>
      <c r="X4" s="74">
        <v>1.1211885967469803E-3</v>
      </c>
      <c r="Y4" s="81" t="s">
        <v>33</v>
      </c>
      <c r="Z4" s="147">
        <v>6.2583390394904106E-4</v>
      </c>
      <c r="AB4" s="72">
        <v>-101.60502459727984</v>
      </c>
      <c r="AC4" s="78">
        <v>180.5274993827922</v>
      </c>
      <c r="AD4" s="73">
        <v>-77.389145850838048</v>
      </c>
      <c r="AG4" s="114">
        <f>_xll.qlCalendarAdvance(Calendar,AG3,"1d","mf",,Trigger)</f>
        <v>42800</v>
      </c>
      <c r="AH4" s="100">
        <f>_xll.qlDayCounterYearFraction(DayCounter,SettlementDate,AG4,,,Trigger)</f>
        <v>8.3333333333333332E-3</v>
      </c>
      <c r="AI4" s="112">
        <f t="shared" si="0"/>
        <v>1.1527496835053426E-3</v>
      </c>
      <c r="AJ4" s="112">
        <f t="shared" si="1"/>
        <v>9.1885939316912221E-4</v>
      </c>
      <c r="AK4" s="112">
        <f t="shared" si="2"/>
        <v>9.0083392508623393E-4</v>
      </c>
    </row>
    <row r="5" spans="1:37" ht="12.2" customHeight="1" x14ac:dyDescent="0.2">
      <c r="A5" s="62">
        <v>1</v>
      </c>
      <c r="B5" s="146">
        <f t="shared" ref="B5:B7" si="4">A5+SUBSTITUTE($D$9,"M","")</f>
        <v>7</v>
      </c>
      <c r="C5" s="97" t="str">
        <f>"Delta("&amp;A5&amp;"M,"&amp;B5&amp;"M)"</f>
        <v>Delta(1M,7M)</v>
      </c>
      <c r="D5" s="98">
        <f>_xll.qlCalendarAdvance(Calendar,SettlementDate,A5&amp;"M","mf")</f>
        <v>42828</v>
      </c>
      <c r="E5" s="131">
        <f>(D5-EvaluationDate)/365</f>
        <v>9.0410958904109592E-2</v>
      </c>
      <c r="F5" s="98">
        <f>_xll.qlInterestRateIndexMaturity($D$10,D5)</f>
        <v>43011</v>
      </c>
      <c r="G5" s="130">
        <f>_xll.qlYieldTSDiscount(Discounting,D5,,AllTriggers)</f>
        <v>1.0003246267722015</v>
      </c>
      <c r="H5" s="130">
        <f>_xll.qlYieldTSDiscount(Discounting,F5,,AllTriggers)</f>
        <v>1.002122508009355</v>
      </c>
      <c r="I5" s="131">
        <f>_xll.qlDayCounterYearFraction(DayCounter,D5,F5,,,Trigger)</f>
        <v>0.5083333333333333</v>
      </c>
      <c r="J5" s="132">
        <f t="shared" si="3"/>
        <v>-3.5293245289185681E-3</v>
      </c>
      <c r="K5" s="99">
        <f>IF(Mode6M="Standard",LN((1+(_xll.qlInterpolationInterpolate(B6Minterpolation,D5,TRUE,AllTriggers)+J5)*I5)/(1+J5*I5)),LN((1+(_xll.qlInterpolationInterpolate(AbcdInterpolation6M,E5,TRUE,AllTriggers)+J5)*I5)/(1+J5*I5)))</f>
        <v>6.2583390394904106E-4</v>
      </c>
      <c r="L5" s="100">
        <f>_xll.qlDayCounterYearFraction(DayCounter,SettlementDate,D5,,,Trigger)</f>
        <v>8.611111111111111E-2</v>
      </c>
      <c r="M5" s="100">
        <f>_xll.qlDayCounterYearFraction(DayCounter,SettlementDate,F5,,,Trigger)</f>
        <v>0.59444444444444444</v>
      </c>
      <c r="N5" s="100">
        <f>M5-L5</f>
        <v>0.5083333333333333</v>
      </c>
      <c r="O5" s="100">
        <f>(M5^2-L5^2)/2</f>
        <v>0.17297453703703702</v>
      </c>
      <c r="P5" s="100">
        <f>(M5^3-L5^3)/3</f>
        <v>6.9805619855967074E-2</v>
      </c>
      <c r="Q5" s="101" t="b">
        <v>1</v>
      </c>
      <c r="S5" s="356"/>
      <c r="T5" s="72">
        <v>0.10344610196616372</v>
      </c>
      <c r="U5" s="78">
        <v>0.21722222222222223</v>
      </c>
      <c r="V5" s="73">
        <v>0.51111111111111107</v>
      </c>
      <c r="W5" s="62"/>
      <c r="X5" s="74">
        <v>8.9151186500617281E-4</v>
      </c>
      <c r="Y5" s="81"/>
      <c r="Z5" s="147">
        <v>6.6766110722557928E-4</v>
      </c>
      <c r="AB5" s="72">
        <v>16.407900691785443</v>
      </c>
      <c r="AC5" s="78">
        <v>-23.034207380239824</v>
      </c>
      <c r="AD5" s="73">
        <v>8.3684691445846777</v>
      </c>
      <c r="AG5" s="114">
        <f>_xll.qlCalendarAdvance(Calendar,AG4,"1d","mf",,Trigger)</f>
        <v>42801</v>
      </c>
      <c r="AH5" s="100">
        <f>_xll.qlDayCounterYearFraction(DayCounter,SettlementDate,AG5,,,Trigger)</f>
        <v>1.1111111111111112E-2</v>
      </c>
      <c r="AI5" s="112">
        <f t="shared" si="0"/>
        <v>1.1527496835053426E-3</v>
      </c>
      <c r="AJ5" s="112">
        <f t="shared" si="1"/>
        <v>9.2147269250248787E-4</v>
      </c>
      <c r="AK5" s="112">
        <f t="shared" si="2"/>
        <v>9.0393186590129258E-4</v>
      </c>
    </row>
    <row r="6" spans="1:37" ht="12.2" customHeight="1" x14ac:dyDescent="0.2">
      <c r="A6" s="62">
        <v>2</v>
      </c>
      <c r="B6" s="146">
        <f t="shared" si="4"/>
        <v>8</v>
      </c>
      <c r="C6" s="97" t="str">
        <f>"Delta("&amp;A6&amp;"M,"&amp;B6&amp;"M)"</f>
        <v>Delta(2M,8M)</v>
      </c>
      <c r="D6" s="98">
        <f>_xll.qlCalendarAdvance(Calendar,SettlementDate,A6&amp;"M","mf")</f>
        <v>42858</v>
      </c>
      <c r="E6" s="131">
        <f>(D6-EvaluationDate)/365</f>
        <v>0.17260273972602741</v>
      </c>
      <c r="F6" s="98">
        <f>_xll.qlInterestRateIndexMaturity($D$10,D6)</f>
        <v>43042</v>
      </c>
      <c r="G6" s="130">
        <f>_xll.qlYieldTSDiscount(Discounting,D6,,AllTriggers)</f>
        <v>1.0006195858250457</v>
      </c>
      <c r="H6" s="130">
        <f>_xll.qlYieldTSDiscount(Discounting,F6,,AllTriggers)</f>
        <v>1.0024253022553387</v>
      </c>
      <c r="I6" s="131">
        <f>_xll.qlDayCounterYearFraction(DayCounter,D6,F6,,,Trigger)</f>
        <v>0.51111111111111107</v>
      </c>
      <c r="J6" s="132">
        <f t="shared" si="3"/>
        <v>-3.5243757740595653E-3</v>
      </c>
      <c r="K6" s="99">
        <f>IF(Mode6M="Standard",LN((1+(_xll.qlInterpolationInterpolate(B6Minterpolation,D6,TRUE,AllTriggers)+J6)*I6)/(1+J6*I6)),LN((1+(_xll.qlInterpolationInterpolate(AbcdInterpolation6M,E6,TRUE,AllTriggers)+J6)*I6)/(1+J6*I6)))</f>
        <v>6.6766110722557928E-4</v>
      </c>
      <c r="L6" s="100">
        <f>_xll.qlDayCounterYearFraction(DayCounter,SettlementDate,D6,,,Trigger)</f>
        <v>0.16944444444444445</v>
      </c>
      <c r="M6" s="100">
        <f>_xll.qlDayCounterYearFraction(DayCounter,SettlementDate,F6,,,Trigger)</f>
        <v>0.68055555555555558</v>
      </c>
      <c r="N6" s="100">
        <f>M6-L6</f>
        <v>0.51111111111111107</v>
      </c>
      <c r="O6" s="100">
        <f>(M6^2-L6^2)/2</f>
        <v>0.21722222222222223</v>
      </c>
      <c r="P6" s="100">
        <f>(M6^3-L6^3)/3</f>
        <v>0.10344610196616372</v>
      </c>
      <c r="Q6" s="101" t="b">
        <v>1</v>
      </c>
      <c r="X6" s="76"/>
      <c r="Y6" s="69"/>
      <c r="Z6" s="70"/>
      <c r="AG6" s="114">
        <f>_xll.qlCalendarAdvance(Calendar,AG5,"1d","mf",,Trigger)</f>
        <v>42802</v>
      </c>
      <c r="AH6" s="100">
        <f>_xll.qlDayCounterYearFraction(DayCounter,SettlementDate,AG6,,,Trigger)</f>
        <v>1.3888888888888888E-2</v>
      </c>
      <c r="AI6" s="112">
        <f t="shared" si="0"/>
        <v>1.1527496835053426E-3</v>
      </c>
      <c r="AJ6" s="112">
        <f t="shared" si="1"/>
        <v>9.2408599183585341E-4</v>
      </c>
      <c r="AK6" s="112">
        <f t="shared" si="2"/>
        <v>9.0702510044387045E-4</v>
      </c>
    </row>
    <row r="7" spans="1:37" ht="12.2" customHeight="1" x14ac:dyDescent="0.2">
      <c r="A7" s="62">
        <v>3</v>
      </c>
      <c r="B7" s="146">
        <f t="shared" si="4"/>
        <v>9</v>
      </c>
      <c r="C7" s="102" t="str">
        <f>"Delta("&amp;A7&amp;"M,"&amp;B7&amp;"M)"</f>
        <v>Delta(3M,9M)</v>
      </c>
      <c r="D7" s="103">
        <f>_xll.qlCalendarAdvance(Calendar,SettlementDate,A7&amp;"M","mf")</f>
        <v>42891</v>
      </c>
      <c r="E7" s="134">
        <f>(D7-EvaluationDate)/365</f>
        <v>0.26301369863013696</v>
      </c>
      <c r="F7" s="103">
        <f>_xll.qlInterestRateIndexMaturity($D$10,D7)</f>
        <v>43074</v>
      </c>
      <c r="G7" s="133">
        <f>_xll.qlYieldTSDiscount(Discounting,D7,,AllTriggers)</f>
        <v>1.0009443099914743</v>
      </c>
      <c r="H7" s="133">
        <f>_xll.qlYieldTSDiscount(Discounting,F7,,AllTriggers)</f>
        <v>1.0027392010904121</v>
      </c>
      <c r="I7" s="134">
        <f>_xll.qlDayCounterYearFraction(DayCounter,D7,F7,,,Trigger)</f>
        <v>0.5083333333333333</v>
      </c>
      <c r="J7" s="135">
        <f t="shared" si="3"/>
        <v>-3.5212877940208826E-3</v>
      </c>
      <c r="K7" s="104">
        <f>IF(Mode6M="Standard",LN((1+(_xll.qlInterpolationInterpolate(B6Minterpolation,D7,TRUE,AllTriggers)+J7)*I7)/(1+J7*I7)),LN((1+(_xll.qlInterpolationInterpolate(AbcdInterpolation6M,E7,TRUE,AllTriggers)+J7)*I7)/(1+J7*I7)))</f>
        <v>7.2861047342473006E-4</v>
      </c>
      <c r="L7" s="105">
        <f>_xll.qlDayCounterYearFraction(DayCounter,SettlementDate,D7,,,Trigger)</f>
        <v>0.26111111111111113</v>
      </c>
      <c r="M7" s="105">
        <f>_xll.qlDayCounterYearFraction(DayCounter,SettlementDate,F7,,,Trigger)</f>
        <v>0.76944444444444449</v>
      </c>
      <c r="N7" s="105">
        <f>M7-L7</f>
        <v>0.5083333333333333</v>
      </c>
      <c r="O7" s="105">
        <f>(M7^2-L7^2)/2</f>
        <v>0.26193287037037039</v>
      </c>
      <c r="P7" s="105">
        <f>(M7^3-L7^3)/3</f>
        <v>0.14591441615226339</v>
      </c>
      <c r="Q7" s="106" t="b">
        <v>0</v>
      </c>
      <c r="X7" s="76"/>
      <c r="Y7" s="69"/>
      <c r="Z7" s="70"/>
      <c r="AG7" s="114">
        <f>_xll.qlCalendarAdvance(Calendar,AG6,"1d","mf",,Trigger)</f>
        <v>42803</v>
      </c>
      <c r="AH7" s="100">
        <f>_xll.qlDayCounterYearFraction(DayCounter,SettlementDate,AG7,,,Trigger)</f>
        <v>1.6666666666666666E-2</v>
      </c>
      <c r="AI7" s="112">
        <f t="shared" si="0"/>
        <v>1.1527496835053426E-3</v>
      </c>
      <c r="AJ7" s="112">
        <f t="shared" si="1"/>
        <v>9.2669929116921896E-4</v>
      </c>
      <c r="AK7" s="112">
        <f t="shared" si="2"/>
        <v>9.1011362871396744E-4</v>
      </c>
    </row>
    <row r="8" spans="1:37" ht="12.2" customHeight="1" x14ac:dyDescent="0.2">
      <c r="B8" s="63"/>
      <c r="C8" s="63"/>
      <c r="D8" s="64"/>
      <c r="E8" s="64"/>
      <c r="F8" s="64"/>
      <c r="G8" s="64"/>
      <c r="H8" s="64"/>
      <c r="I8" s="64"/>
      <c r="J8" s="64"/>
      <c r="K8" s="65"/>
      <c r="L8" s="66"/>
      <c r="M8" s="66"/>
      <c r="N8" s="66"/>
      <c r="O8" s="66"/>
      <c r="P8" s="66"/>
      <c r="Q8" s="67"/>
      <c r="X8" s="68" t="s">
        <v>95</v>
      </c>
      <c r="Y8" s="69"/>
      <c r="Z8" s="70"/>
      <c r="AG8" s="114">
        <f>_xll.qlCalendarAdvance(Calendar,AG7,"1d","mf",,Trigger)</f>
        <v>42804</v>
      </c>
      <c r="AH8" s="100">
        <f>_xll.qlDayCounterYearFraction(DayCounter,SettlementDate,AG8,,,Trigger)</f>
        <v>1.9444444444444445E-2</v>
      </c>
      <c r="AI8" s="112">
        <f t="shared" si="0"/>
        <v>1.1527496835053426E-3</v>
      </c>
      <c r="AJ8" s="112">
        <f t="shared" si="1"/>
        <v>9.2931259050258461E-4</v>
      </c>
      <c r="AK8" s="112">
        <f t="shared" si="2"/>
        <v>9.1319745071158365E-4</v>
      </c>
    </row>
    <row r="9" spans="1:37" ht="12.2" customHeight="1" x14ac:dyDescent="0.2">
      <c r="C9" s="87" t="s">
        <v>134</v>
      </c>
      <c r="D9" s="122" t="s">
        <v>37</v>
      </c>
      <c r="S9" s="355" t="s">
        <v>91</v>
      </c>
      <c r="T9" s="71"/>
      <c r="U9" s="72">
        <f t="array" ref="U9:U10">_xll.ohFilter(O3:O7,Q3:Q7)</f>
        <v>0.13204089506172836</v>
      </c>
      <c r="V9" s="73">
        <f t="array" ref="V9:V10">_xll.ohFilter(N3:N7,Q3:Q7)</f>
        <v>0.51388888888888884</v>
      </c>
      <c r="W9" s="357" t="s">
        <v>32</v>
      </c>
      <c r="X9" s="74">
        <f t="array" ref="X9:X10">MMULT(AB9:AC10,Z9:Z10)</f>
        <v>9.4078776001161116E-4</v>
      </c>
      <c r="Y9" s="357" t="s">
        <v>33</v>
      </c>
      <c r="Z9" s="147">
        <f t="array" ref="Z9:Z10">_xll.ohFilter(K3:K7,Q3:Q7)</f>
        <v>5.9238525402357882E-4</v>
      </c>
      <c r="AB9" s="72">
        <f t="array" ref="AB9:AC10">MINVERSE(U9:V10)</f>
        <v>-23.351351351351347</v>
      </c>
      <c r="AC9" s="73">
        <v>23.606557377049175</v>
      </c>
      <c r="AG9" s="114">
        <f>_xll.qlCalendarAdvance(Calendar,AG8,"1d","mf",,Trigger)</f>
        <v>42807</v>
      </c>
      <c r="AH9" s="100">
        <f>_xll.qlDayCounterYearFraction(DayCounter,SettlementDate,AG9,,,Trigger)</f>
        <v>2.7777777777777776E-2</v>
      </c>
      <c r="AI9" s="112">
        <f t="shared" si="0"/>
        <v>1.1527496835053426E-3</v>
      </c>
      <c r="AJ9" s="112">
        <f t="shared" si="1"/>
        <v>9.3715248850268136E-4</v>
      </c>
      <c r="AK9" s="112">
        <f t="shared" si="2"/>
        <v>9.2242067906954709E-4</v>
      </c>
    </row>
    <row r="10" spans="1:37" ht="12.2" customHeight="1" x14ac:dyDescent="0.2">
      <c r="C10" s="87" t="s">
        <v>104</v>
      </c>
      <c r="D10" s="122" t="str">
        <f>PROPER(Currency)&amp;IborType&amp;$D$9</f>
        <v>Euribor6M</v>
      </c>
      <c r="S10" s="355"/>
      <c r="T10" s="71"/>
      <c r="U10" s="72">
        <v>0.17297453703703702</v>
      </c>
      <c r="V10" s="73">
        <v>0.5083333333333333</v>
      </c>
      <c r="W10" s="357"/>
      <c r="X10" s="74">
        <v>9.1101949516902547E-4</v>
      </c>
      <c r="Y10" s="357"/>
      <c r="Z10" s="147">
        <v>6.2583390394904106E-4</v>
      </c>
      <c r="AB10" s="72">
        <v>7.9459459459459438</v>
      </c>
      <c r="AC10" s="73">
        <v>-6.0655737704918007</v>
      </c>
      <c r="AG10" s="114">
        <f>_xll.qlCalendarAdvance(Calendar,AG9,"1d","mf",,Trigger)</f>
        <v>42808</v>
      </c>
      <c r="AH10" s="100">
        <f>_xll.qlDayCounterYearFraction(DayCounter,SettlementDate,AG10,,,Trigger)</f>
        <v>3.0555555555555555E-2</v>
      </c>
      <c r="AI10" s="112">
        <f t="shared" si="0"/>
        <v>1.1527496835053426E-3</v>
      </c>
      <c r="AJ10" s="112">
        <f t="shared" si="1"/>
        <v>9.397657878360469E-4</v>
      </c>
      <c r="AK10" s="112">
        <f t="shared" si="2"/>
        <v>9.2548567597723998E-4</v>
      </c>
    </row>
    <row r="11" spans="1:37" ht="12.2" customHeight="1" x14ac:dyDescent="0.2">
      <c r="C11" s="87" t="s">
        <v>126</v>
      </c>
      <c r="D11" s="123" t="s">
        <v>83</v>
      </c>
      <c r="X11" s="76"/>
      <c r="Y11" s="69"/>
      <c r="Z11" s="70"/>
      <c r="AG11" s="114">
        <f>_xll.qlCalendarAdvance(Calendar,AG10,"1d","mf",,Trigger)</f>
        <v>42809</v>
      </c>
      <c r="AH11" s="100">
        <f>_xll.qlDayCounterYearFraction(DayCounter,SettlementDate,AG11,,,Trigger)</f>
        <v>3.3333333333333333E-2</v>
      </c>
      <c r="AI11" s="112">
        <f t="shared" si="0"/>
        <v>1.1527496835053426E-3</v>
      </c>
      <c r="AJ11" s="112">
        <f t="shared" si="1"/>
        <v>9.4237908716941245E-4</v>
      </c>
      <c r="AK11" s="112">
        <f t="shared" si="2"/>
        <v>9.2854596661245199E-4</v>
      </c>
    </row>
    <row r="12" spans="1:37" ht="12.2" customHeight="1" x14ac:dyDescent="0.2">
      <c r="C12" s="87" t="s">
        <v>125</v>
      </c>
      <c r="D12" s="122" t="s">
        <v>130</v>
      </c>
      <c r="R12" s="85"/>
      <c r="X12" s="77" t="s">
        <v>30</v>
      </c>
      <c r="Y12" s="69"/>
      <c r="Z12" s="70"/>
      <c r="AG12" s="114">
        <f>_xll.qlCalendarAdvance(Calendar,AG11,"1d","mf",,Trigger)</f>
        <v>42810</v>
      </c>
      <c r="AH12" s="100">
        <f>_xll.qlDayCounterYearFraction(DayCounter,SettlementDate,AG12,,,Trigger)</f>
        <v>3.6111111111111108E-2</v>
      </c>
      <c r="AI12" s="112">
        <f t="shared" si="0"/>
        <v>1.1527496835053426E-3</v>
      </c>
      <c r="AJ12" s="112">
        <f t="shared" si="1"/>
        <v>9.449923865027781E-4</v>
      </c>
      <c r="AK12" s="112">
        <f t="shared" si="2"/>
        <v>9.3160155097518312E-4</v>
      </c>
    </row>
    <row r="13" spans="1:37" ht="12.2" customHeight="1" x14ac:dyDescent="0.2">
      <c r="C13" s="87" t="s">
        <v>153</v>
      </c>
      <c r="D13" s="122" t="str">
        <f>IF(OR(FixingDiff6M&gt;Range6M,FixingDiff6M&lt;-Range6M),"Safe","Standard")</f>
        <v>Standard</v>
      </c>
      <c r="R13" s="85"/>
      <c r="X13" s="77"/>
      <c r="Y13" s="69"/>
      <c r="Z13" s="70"/>
      <c r="AG13" s="114">
        <f>_xll.qlCalendarAdvance(Calendar,AG12,"1d","mf",,Trigger)</f>
        <v>42811</v>
      </c>
      <c r="AH13" s="100">
        <f>_xll.qlDayCounterYearFraction(DayCounter,SettlementDate,AG13,,,Trigger)</f>
        <v>3.888888888888889E-2</v>
      </c>
      <c r="AI13" s="112">
        <f t="shared" si="0"/>
        <v>1.1527496835053426E-3</v>
      </c>
      <c r="AJ13" s="112">
        <f t="shared" si="1"/>
        <v>9.4760568583614365E-4</v>
      </c>
      <c r="AK13" s="112">
        <f t="shared" si="2"/>
        <v>9.3465242906543347E-4</v>
      </c>
    </row>
    <row r="14" spans="1:37" ht="12.2" customHeight="1" x14ac:dyDescent="0.2">
      <c r="C14" s="87" t="s">
        <v>154</v>
      </c>
      <c r="D14" s="345">
        <v>0.7</v>
      </c>
      <c r="R14" s="85"/>
      <c r="X14" s="77"/>
      <c r="Y14" s="69"/>
      <c r="Z14" s="70"/>
      <c r="AG14" s="114">
        <f>_xll.qlCalendarAdvance(Calendar,AG13,"1d","mf",,Trigger)</f>
        <v>42814</v>
      </c>
      <c r="AH14" s="100">
        <f>_xll.qlDayCounterYearFraction(DayCounter,SettlementDate,AG14,,,Trigger)</f>
        <v>4.7222222222222221E-2</v>
      </c>
      <c r="AI14" s="112">
        <f t="shared" si="0"/>
        <v>1.1527496835053426E-3</v>
      </c>
      <c r="AJ14" s="112">
        <f t="shared" si="1"/>
        <v>9.5544558383624039E-4</v>
      </c>
      <c r="AK14" s="112">
        <f t="shared" si="2"/>
        <v>9.4377682570129945E-4</v>
      </c>
    </row>
    <row r="15" spans="1:37" ht="12.2" customHeight="1" x14ac:dyDescent="0.2">
      <c r="O15" s="143" t="str">
        <f>"Synthetic Deposits "&amp;D9</f>
        <v>Synthetic Deposits 6M</v>
      </c>
      <c r="P15" s="144"/>
      <c r="Q15" s="145"/>
      <c r="R15" s="85"/>
      <c r="S15" s="82" t="s">
        <v>92</v>
      </c>
      <c r="V15" s="83">
        <f t="array" ref="V15">_xll.ohFilter(N3:N7,Q3:Q7)</f>
        <v>0.51388888888888884</v>
      </c>
      <c r="W15" s="82" t="s">
        <v>32</v>
      </c>
      <c r="X15" s="74">
        <f>MMULT(AB15,Z15)</f>
        <v>1.1527496835053426E-3</v>
      </c>
      <c r="Y15" s="82" t="s">
        <v>33</v>
      </c>
      <c r="Z15" s="147">
        <f t="array" ref="Z15">_xll.ohFilter(K3:K7,Q3:Q7)</f>
        <v>5.9238525402357882E-4</v>
      </c>
      <c r="AB15" s="83">
        <f>MINVERSE(V15)</f>
        <v>1.9459459459459461</v>
      </c>
      <c r="AG15" s="114">
        <f>_xll.qlCalendarAdvance(Calendar,AG14,"1d","mf",,Trigger)</f>
        <v>42815</v>
      </c>
      <c r="AH15" s="100">
        <f>_xll.qlDayCounterYearFraction(DayCounter,SettlementDate,AG15,,,Trigger)</f>
        <v>0.05</v>
      </c>
      <c r="AI15" s="112">
        <f t="shared" si="0"/>
        <v>1.1527496835053426E-3</v>
      </c>
      <c r="AJ15" s="112">
        <f t="shared" si="1"/>
        <v>9.5805888316960605E-4</v>
      </c>
      <c r="AK15" s="112">
        <f t="shared" si="2"/>
        <v>9.4680887870162648E-4</v>
      </c>
    </row>
    <row r="16" spans="1:37" ht="12.2" customHeight="1" x14ac:dyDescent="0.2">
      <c r="C16" s="87" t="s">
        <v>99</v>
      </c>
      <c r="D16" s="87" t="s">
        <v>80</v>
      </c>
      <c r="E16" s="87"/>
      <c r="F16" s="87" t="s">
        <v>81</v>
      </c>
      <c r="G16" s="126"/>
      <c r="H16" s="126"/>
      <c r="I16" s="126"/>
      <c r="J16" s="126"/>
      <c r="K16" s="88" t="s">
        <v>119</v>
      </c>
      <c r="L16" s="88" t="s">
        <v>120</v>
      </c>
      <c r="M16" s="88" t="s">
        <v>121</v>
      </c>
      <c r="N16" s="88" t="s">
        <v>122</v>
      </c>
      <c r="O16" s="90" t="s">
        <v>92</v>
      </c>
      <c r="P16" s="90" t="s">
        <v>91</v>
      </c>
      <c r="Q16" s="90" t="s">
        <v>117</v>
      </c>
      <c r="R16" s="85"/>
      <c r="AG16" s="114">
        <f>_xll.qlCalendarAdvance(Calendar,AG15,"1d","mf",,Trigger)</f>
        <v>42816</v>
      </c>
      <c r="AH16" s="100">
        <f>_xll.qlDayCounterYearFraction(DayCounter,SettlementDate,AG16,,,Trigger)</f>
        <v>5.2777777777777778E-2</v>
      </c>
      <c r="AI16" s="112">
        <f t="shared" si="0"/>
        <v>1.1527496835053426E-3</v>
      </c>
      <c r="AJ16" s="112">
        <f t="shared" si="1"/>
        <v>9.6067218250297159E-4</v>
      </c>
      <c r="AK16" s="112">
        <f t="shared" si="2"/>
        <v>9.4983622542947263E-4</v>
      </c>
    </row>
    <row r="17" spans="3:37" ht="12.2" customHeight="1" x14ac:dyDescent="0.2">
      <c r="C17" s="107" t="s">
        <v>38</v>
      </c>
      <c r="D17" s="108">
        <f t="shared" ref="D17:D26" si="5">SettlementDate</f>
        <v>42797</v>
      </c>
      <c r="E17" s="108"/>
      <c r="F17" s="109">
        <f>_xll.qlCalendarAdvance(Calendar,SettlementDate,C17,"Following",,Trigger)</f>
        <v>42800</v>
      </c>
      <c r="G17" s="136"/>
      <c r="H17" s="136"/>
      <c r="I17" s="136"/>
      <c r="J17" s="136"/>
      <c r="K17" s="110">
        <f>_xll.qlDayCounterYearFraction(DayCounter,D17,F17,,,Trigger)</f>
        <v>8.3333333333333332E-3</v>
      </c>
      <c r="L17" s="137">
        <f>_xll.qlYieldTSDiscount(Discounting,D17,,AllTriggers)</f>
        <v>1.000020555872458</v>
      </c>
      <c r="M17" s="137">
        <f>_xll.qlYieldTSDiscount(Discounting,F17,,AllTriggers)</f>
        <v>1.0000508163916877</v>
      </c>
      <c r="N17" s="148">
        <f>(L17/M17-1)/K17</f>
        <v>-3.6310777892989421E-3</v>
      </c>
      <c r="O17" s="112">
        <f t="shared" ref="O17:O26" si="6">((1+N17*K17)*EXP($X$15*K17)-1)/K17</f>
        <v>-2.4783574501840988E-3</v>
      </c>
      <c r="P17" s="112">
        <f>((1+K17*N17)*EXP($X$10*K17+0.5*$X$9*K17^2)-1)/K17</f>
        <v>-2.7161625423754998E-3</v>
      </c>
      <c r="Q17" s="112">
        <f>((1+K17*N17)*EXP($X$5*K17+0.5*$X$4*K17^2+1/3*$X$3*K17^3)-1)/K17</f>
        <v>-2.7349251356412196E-3</v>
      </c>
      <c r="R17" s="85"/>
      <c r="AG17" s="114">
        <f>_xll.qlCalendarAdvance(Calendar,AG16,"1d","mf",,Trigger)</f>
        <v>42817</v>
      </c>
      <c r="AH17" s="100">
        <f>_xll.qlDayCounterYearFraction(DayCounter,SettlementDate,AG17,,,Trigger)</f>
        <v>5.5555555555555552E-2</v>
      </c>
      <c r="AI17" s="112">
        <f t="shared" si="0"/>
        <v>1.1527496835053426E-3</v>
      </c>
      <c r="AJ17" s="112">
        <f t="shared" si="1"/>
        <v>9.6328548183633724E-4</v>
      </c>
      <c r="AK17" s="112">
        <f t="shared" si="2"/>
        <v>9.5285886588483801E-4</v>
      </c>
    </row>
    <row r="18" spans="3:37" ht="12.2" customHeight="1" x14ac:dyDescent="0.2">
      <c r="C18" s="113" t="s">
        <v>39</v>
      </c>
      <c r="D18" s="98">
        <f>SettlementDate</f>
        <v>42797</v>
      </c>
      <c r="E18" s="98"/>
      <c r="F18" s="114">
        <f>_xll.qlCalendarAdvance(Calendar,SettlementDate,C18,"Following",,Trigger)</f>
        <v>42804</v>
      </c>
      <c r="G18" s="136"/>
      <c r="H18" s="136"/>
      <c r="I18" s="136"/>
      <c r="J18" s="136"/>
      <c r="K18" s="100">
        <f>_xll.qlDayCounterYearFraction(DayCounter,D18,F18,,,Trigger)</f>
        <v>1.9444444444444445E-2</v>
      </c>
      <c r="L18" s="139">
        <f>_xll.qlYieldTSDiscount(Discounting,D18,,AllTriggers)</f>
        <v>1.000020555872458</v>
      </c>
      <c r="M18" s="139">
        <f>_xll.qlYieldTSDiscount(Discounting,F18,,AllTriggers)</f>
        <v>1.000089589834422</v>
      </c>
      <c r="N18" s="149">
        <f t="shared" ref="N18:N26" si="7">(L18/M18-1)/K18</f>
        <v>-3.549999999951885E-3</v>
      </c>
      <c r="O18" s="112">
        <f t="shared" si="6"/>
        <v>-2.39731696978916E-3</v>
      </c>
      <c r="P18" s="112">
        <f t="shared" ref="P18:P26" si="8">((1+K18*N18)*EXP($X$10*K18+0.5*$X$9*K18^2)-1)/K18</f>
        <v>-2.6298892427949788E-3</v>
      </c>
      <c r="Q18" s="112">
        <f t="shared" ref="Q18:Q26" si="9">((1+K18*N18)*EXP($X$5*K18+0.5*$X$4*K18^2+1/3*$X$3*K18^3)-1)/K18</f>
        <v>-2.64768049757867E-3</v>
      </c>
      <c r="R18" s="85"/>
      <c r="AG18" s="114">
        <f>_xll.qlCalendarAdvance(Calendar,AG17,"1d","mf",,Trigger)</f>
        <v>42818</v>
      </c>
      <c r="AH18" s="100">
        <f>_xll.qlDayCounterYearFraction(DayCounter,SettlementDate,AG18,,,Trigger)</f>
        <v>5.8333333333333334E-2</v>
      </c>
      <c r="AI18" s="112">
        <f t="shared" si="0"/>
        <v>1.1527496835053426E-3</v>
      </c>
      <c r="AJ18" s="112">
        <f t="shared" si="1"/>
        <v>9.6589878116970279E-4</v>
      </c>
      <c r="AK18" s="112">
        <f t="shared" si="2"/>
        <v>9.558768000677225E-4</v>
      </c>
    </row>
    <row r="19" spans="3:37" ht="12.2" customHeight="1" x14ac:dyDescent="0.2">
      <c r="C19" s="113" t="s">
        <v>40</v>
      </c>
      <c r="D19" s="98">
        <f t="shared" si="5"/>
        <v>42797</v>
      </c>
      <c r="E19" s="98"/>
      <c r="F19" s="114">
        <f>_xll.qlCalendarAdvance(Calendar,SettlementDate,C19,"Following",,Trigger)</f>
        <v>42811</v>
      </c>
      <c r="G19" s="136"/>
      <c r="H19" s="136"/>
      <c r="I19" s="136"/>
      <c r="J19" s="136"/>
      <c r="K19" s="100">
        <f>_xll.qlDayCounterYearFraction(DayCounter,D19,F19,,,Trigger)</f>
        <v>3.888888888888889E-2</v>
      </c>
      <c r="L19" s="139">
        <f>_xll.qlYieldTSDiscount(Discounting,D19,,AllTriggers)</f>
        <v>1.000020555872458</v>
      </c>
      <c r="M19" s="139">
        <f>_xll.qlYieldTSDiscount(Discounting,F19,,AllTriggers)</f>
        <v>1.0001586333282257</v>
      </c>
      <c r="N19" s="149">
        <f t="shared" si="7"/>
        <v>-3.5499999999975629E-3</v>
      </c>
      <c r="O19" s="112">
        <f t="shared" si="6"/>
        <v>-2.3973836247706943E-3</v>
      </c>
      <c r="P19" s="112">
        <f t="shared" si="8"/>
        <v>-2.6207989157324618E-3</v>
      </c>
      <c r="Q19" s="112">
        <f t="shared" si="9"/>
        <v>-2.6369508386316276E-3</v>
      </c>
      <c r="R19" s="85"/>
      <c r="AG19" s="114">
        <f>_xll.qlCalendarAdvance(Calendar,AG18,"1d","mf",,Trigger)</f>
        <v>42821</v>
      </c>
      <c r="AH19" s="100">
        <f>_xll.qlDayCounterYearFraction(DayCounter,SettlementDate,AG19,,,Trigger)</f>
        <v>6.6666666666666666E-2</v>
      </c>
      <c r="AI19" s="112">
        <f t="shared" si="0"/>
        <v>1.1527496835053426E-3</v>
      </c>
      <c r="AJ19" s="112">
        <f t="shared" si="1"/>
        <v>9.7373867916979954E-4</v>
      </c>
      <c r="AK19" s="112">
        <f t="shared" si="2"/>
        <v>9.649023649814909E-4</v>
      </c>
    </row>
    <row r="20" spans="3:37" ht="12.2" customHeight="1" x14ac:dyDescent="0.2">
      <c r="C20" s="113" t="s">
        <v>41</v>
      </c>
      <c r="D20" s="98">
        <f t="shared" si="5"/>
        <v>42797</v>
      </c>
      <c r="E20" s="98"/>
      <c r="F20" s="114">
        <f>_xll.qlCalendarAdvance(Calendar,SettlementDate,C20,"Following",,Trigger)</f>
        <v>42818</v>
      </c>
      <c r="G20" s="136"/>
      <c r="H20" s="136"/>
      <c r="I20" s="136"/>
      <c r="J20" s="136"/>
      <c r="K20" s="100">
        <f>_xll.qlDayCounterYearFraction(DayCounter,D20,F20,,,Trigger)</f>
        <v>5.8333333333333334E-2</v>
      </c>
      <c r="L20" s="139">
        <f>_xll.qlYieldTSDiscount(Discounting,D20,,AllTriggers)</f>
        <v>1.000020555872458</v>
      </c>
      <c r="M20" s="139">
        <f>_xll.qlYieldTSDiscount(Discounting,F20,,AllTriggers)</f>
        <v>1.0002276863558459</v>
      </c>
      <c r="N20" s="149">
        <f t="shared" si="7"/>
        <v>-3.5500000000870152E-3</v>
      </c>
      <c r="O20" s="112">
        <f t="shared" si="6"/>
        <v>-2.3974502813909177E-3</v>
      </c>
      <c r="P20" s="112">
        <f t="shared" si="8"/>
        <v>-2.6117095187697509E-3</v>
      </c>
      <c r="Q20" s="112">
        <f t="shared" si="9"/>
        <v>-2.6262991396126217E-3</v>
      </c>
      <c r="R20" s="85"/>
      <c r="AG20" s="114">
        <f>_xll.qlCalendarAdvance(Calendar,AG19,"1d","mf",,Trigger)</f>
        <v>42822</v>
      </c>
      <c r="AH20" s="100">
        <f>_xll.qlDayCounterYearFraction(DayCounter,SettlementDate,AG20,,,Trigger)</f>
        <v>6.9444444444444448E-2</v>
      </c>
      <c r="AI20" s="112">
        <f t="shared" si="0"/>
        <v>1.1527496835053426E-3</v>
      </c>
      <c r="AJ20" s="112">
        <f t="shared" si="1"/>
        <v>9.7635197850316508E-4</v>
      </c>
      <c r="AK20" s="112">
        <f t="shared" si="2"/>
        <v>9.6790147407445207E-4</v>
      </c>
    </row>
    <row r="21" spans="3:37" ht="12.2" customHeight="1" x14ac:dyDescent="0.2">
      <c r="C21" s="113" t="s">
        <v>35</v>
      </c>
      <c r="D21" s="98">
        <f t="shared" si="5"/>
        <v>42797</v>
      </c>
      <c r="E21" s="98"/>
      <c r="F21" s="114">
        <f>_xll.qlCalendarAdvance(Calendar,SettlementDate,C21,"mf",TRUE,Trigger)</f>
        <v>42828</v>
      </c>
      <c r="G21" s="136"/>
      <c r="H21" s="136"/>
      <c r="I21" s="136"/>
      <c r="J21" s="136"/>
      <c r="K21" s="100">
        <f>_xll.qlDayCounterYearFraction(DayCounter,D21,F21,,,Trigger)</f>
        <v>8.611111111111111E-2</v>
      </c>
      <c r="L21" s="139">
        <f>_xll.qlYieldTSDiscount(Discounting,D21,,AllTriggers)</f>
        <v>1.000020555872458</v>
      </c>
      <c r="M21" s="139">
        <f>_xll.qlYieldTSDiscount(Discounting,F21,,AllTriggers)</f>
        <v>1.0003246267722015</v>
      </c>
      <c r="N21" s="149">
        <f t="shared" si="7"/>
        <v>-3.5299999999987581E-3</v>
      </c>
      <c r="O21" s="112">
        <f t="shared" si="6"/>
        <v>-2.3775435222828816E-3</v>
      </c>
      <c r="P21" s="112">
        <f t="shared" si="8"/>
        <v>-2.5787246307648884E-3</v>
      </c>
      <c r="Q21" s="112">
        <f t="shared" si="9"/>
        <v>-2.5912160095233464E-3</v>
      </c>
      <c r="R21" s="85"/>
      <c r="AG21" s="114">
        <f>_xll.qlCalendarAdvance(Calendar,AG20,"1d","mf",,Trigger)</f>
        <v>42823</v>
      </c>
      <c r="AH21" s="100">
        <f>_xll.qlDayCounterYearFraction(DayCounter,SettlementDate,AG21,,,Trigger)</f>
        <v>7.2222222222222215E-2</v>
      </c>
      <c r="AI21" s="112">
        <f t="shared" si="0"/>
        <v>1.1527496835053426E-3</v>
      </c>
      <c r="AJ21" s="112">
        <f t="shared" si="1"/>
        <v>9.7896527783653074E-4</v>
      </c>
      <c r="AK21" s="112">
        <f t="shared" si="2"/>
        <v>9.7089587689493237E-4</v>
      </c>
    </row>
    <row r="22" spans="3:37" ht="12.2" customHeight="1" x14ac:dyDescent="0.2">
      <c r="C22" s="113" t="s">
        <v>42</v>
      </c>
      <c r="D22" s="98">
        <f t="shared" si="5"/>
        <v>42797</v>
      </c>
      <c r="E22" s="98"/>
      <c r="F22" s="114">
        <f>_xll.qlCalendarAdvance(Calendar,SettlementDate,C22,"mf",TRUE,Trigger)</f>
        <v>42858</v>
      </c>
      <c r="G22" s="136"/>
      <c r="H22" s="136"/>
      <c r="I22" s="136"/>
      <c r="J22" s="136"/>
      <c r="K22" s="100">
        <f>_xll.qlDayCounterYearFraction(DayCounter,D22,F22,,,Trigger)</f>
        <v>0.16944444444444445</v>
      </c>
      <c r="L22" s="139">
        <f>_xll.qlYieldTSDiscount(Discounting,D22,,AllTriggers)</f>
        <v>1.000020555872458</v>
      </c>
      <c r="M22" s="139">
        <f>_xll.qlYieldTSDiscount(Discounting,F22,,AllTriggers)</f>
        <v>1.0006195858250457</v>
      </c>
      <c r="N22" s="149">
        <f t="shared" si="7"/>
        <v>-3.5330696966807116E-3</v>
      </c>
      <c r="O22" s="112">
        <f t="shared" si="6"/>
        <v>-2.3808975956708372E-3</v>
      </c>
      <c r="P22" s="112">
        <f t="shared" si="8"/>
        <v>-2.542854565586004E-3</v>
      </c>
      <c r="Q22" s="112">
        <f t="shared" si="9"/>
        <v>-2.5499938275269731E-3</v>
      </c>
      <c r="R22" s="85"/>
      <c r="AG22" s="114">
        <f>_xll.qlCalendarAdvance(Calendar,AG21,"1d","mf",,Trigger)</f>
        <v>42824</v>
      </c>
      <c r="AH22" s="100">
        <f>_xll.qlDayCounterYearFraction(DayCounter,SettlementDate,AG22,,,Trigger)</f>
        <v>7.4999999999999997E-2</v>
      </c>
      <c r="AI22" s="112">
        <f t="shared" si="0"/>
        <v>1.1527496835053426E-3</v>
      </c>
      <c r="AJ22" s="112">
        <f t="shared" si="1"/>
        <v>9.8157857716989639E-4</v>
      </c>
      <c r="AK22" s="112">
        <f t="shared" si="2"/>
        <v>9.7388557344293188E-4</v>
      </c>
    </row>
    <row r="23" spans="3:37" ht="12.2" customHeight="1" x14ac:dyDescent="0.2">
      <c r="C23" s="113" t="s">
        <v>36</v>
      </c>
      <c r="D23" s="98">
        <f t="shared" si="5"/>
        <v>42797</v>
      </c>
      <c r="E23" s="98"/>
      <c r="F23" s="114">
        <f>_xll.qlCalendarAdvance(Calendar,SettlementDate,C23,"mf",TRUE,Trigger)</f>
        <v>42891</v>
      </c>
      <c r="G23" s="136"/>
      <c r="H23" s="136"/>
      <c r="I23" s="136"/>
      <c r="J23" s="136"/>
      <c r="K23" s="100">
        <f>_xll.qlDayCounterYearFraction(DayCounter,D23,F23,,,Trigger)</f>
        <v>0.26111111111111113</v>
      </c>
      <c r="L23" s="139">
        <f>_xll.qlYieldTSDiscount(Discounting,D23,,AllTriggers)</f>
        <v>1.000020555872458</v>
      </c>
      <c r="M23" s="139">
        <f>_xll.qlYieldTSDiscount(Discounting,F23,,AllTriggers)</f>
        <v>1.0009443099914743</v>
      </c>
      <c r="N23" s="149">
        <f t="shared" si="7"/>
        <v>-3.534444121504751E-3</v>
      </c>
      <c r="O23" s="112">
        <f t="shared" si="6"/>
        <v>-2.3825849469990344E-3</v>
      </c>
      <c r="P23" s="112">
        <f t="shared" si="8"/>
        <v>-2.5014142488021178E-3</v>
      </c>
      <c r="Q23" s="112">
        <f t="shared" si="9"/>
        <v>-2.5042984319943932E-3</v>
      </c>
      <c r="R23" s="85"/>
      <c r="AG23" s="114">
        <f>_xll.qlCalendarAdvance(Calendar,AG22,"1d","mf",,Trigger)</f>
        <v>42825</v>
      </c>
      <c r="AH23" s="100">
        <f>_xll.qlDayCounterYearFraction(DayCounter,SettlementDate,AG23,,,Trigger)</f>
        <v>7.7777777777777779E-2</v>
      </c>
      <c r="AI23" s="112">
        <f t="shared" si="0"/>
        <v>1.1527496835053426E-3</v>
      </c>
      <c r="AJ23" s="112">
        <f t="shared" si="1"/>
        <v>9.8419187650326183E-4</v>
      </c>
      <c r="AK23" s="112">
        <f t="shared" si="2"/>
        <v>9.7687056371845052E-4</v>
      </c>
    </row>
    <row r="24" spans="3:37" ht="12.2" customHeight="1" x14ac:dyDescent="0.2">
      <c r="C24" s="113" t="s">
        <v>43</v>
      </c>
      <c r="D24" s="98">
        <f t="shared" si="5"/>
        <v>42797</v>
      </c>
      <c r="E24" s="98"/>
      <c r="F24" s="114">
        <f>_xll.qlCalendarAdvance(Calendar,SettlementDate,C24,"mf",TRUE,Trigger)</f>
        <v>42919</v>
      </c>
      <c r="G24" s="136"/>
      <c r="H24" s="136"/>
      <c r="I24" s="136"/>
      <c r="J24" s="136"/>
      <c r="K24" s="100">
        <f>_xll.qlDayCounterYearFraction(DayCounter,D24,F24,,,Trigger)</f>
        <v>0.33888888888888891</v>
      </c>
      <c r="L24" s="139">
        <f>_xll.qlYieldTSDiscount(Discounting,D24,,AllTriggers)</f>
        <v>1.000020555872458</v>
      </c>
      <c r="M24" s="139">
        <f>_xll.qlYieldTSDiscount(Discounting,F24,,AllTriggers)</f>
        <v>1.0012198517777355</v>
      </c>
      <c r="N24" s="149">
        <f t="shared" si="7"/>
        <v>-3.5345942688967246E-3</v>
      </c>
      <c r="O24" s="112">
        <f t="shared" si="6"/>
        <v>-2.3830004662396607E-3</v>
      </c>
      <c r="P24" s="112">
        <f t="shared" si="8"/>
        <v>-2.4652517694604905E-3</v>
      </c>
      <c r="Q24" s="112">
        <f t="shared" si="9"/>
        <v>-2.4658656599677712E-3</v>
      </c>
      <c r="R24" s="85"/>
      <c r="AG24" s="114">
        <f>_xll.qlCalendarAdvance(Calendar,AG23,"1d","mf",,Trigger)</f>
        <v>42828</v>
      </c>
      <c r="AH24" s="100">
        <f>_xll.qlDayCounterYearFraction(DayCounter,SettlementDate,AG24,,,Trigger)</f>
        <v>8.611111111111111E-2</v>
      </c>
      <c r="AI24" s="112">
        <f t="shared" si="0"/>
        <v>1.1527496835053426E-3</v>
      </c>
      <c r="AJ24" s="112">
        <f t="shared" si="1"/>
        <v>9.9203177450335857E-4</v>
      </c>
      <c r="AK24" s="112">
        <f t="shared" si="2"/>
        <v>9.8579729691012133E-4</v>
      </c>
    </row>
    <row r="25" spans="3:37" ht="12.2" customHeight="1" x14ac:dyDescent="0.2">
      <c r="C25" s="113" t="s">
        <v>44</v>
      </c>
      <c r="D25" s="98">
        <f t="shared" si="5"/>
        <v>42797</v>
      </c>
      <c r="E25" s="98"/>
      <c r="F25" s="114">
        <f>_xll.qlCalendarAdvance(Calendar,SettlementDate,C25,"mf",TRUE,Trigger)</f>
        <v>42950</v>
      </c>
      <c r="G25" s="136"/>
      <c r="H25" s="136"/>
      <c r="I25" s="136"/>
      <c r="J25" s="136"/>
      <c r="K25" s="100">
        <f>_xll.qlDayCounterYearFraction(DayCounter,D25,F25,,,Trigger)</f>
        <v>0.42499999999999999</v>
      </c>
      <c r="L25" s="139">
        <f>_xll.qlYieldTSDiscount(Discounting,D25,,AllTriggers)</f>
        <v>1.000020555872458</v>
      </c>
      <c r="M25" s="139">
        <f>_xll.qlYieldTSDiscount(Discounting,F25,,AllTriggers)</f>
        <v>1.0015239797167339</v>
      </c>
      <c r="N25" s="149">
        <f t="shared" si="7"/>
        <v>-3.5320850429212797E-3</v>
      </c>
      <c r="O25" s="112">
        <f t="shared" si="6"/>
        <v>-2.3807837947009041E-3</v>
      </c>
      <c r="P25" s="112">
        <f t="shared" si="8"/>
        <v>-2.4225539053326752E-3</v>
      </c>
      <c r="Q25" s="112">
        <f t="shared" si="9"/>
        <v>-2.4220883595401708E-3</v>
      </c>
      <c r="R25" s="85"/>
      <c r="AG25" s="114">
        <f>_xll.qlCalendarAdvance(Calendar,AG24,"1d","mf",,Trigger)</f>
        <v>42829</v>
      </c>
      <c r="AH25" s="100">
        <f>_xll.qlDayCounterYearFraction(DayCounter,SettlementDate,AG25,,,Trigger)</f>
        <v>8.8888888888888892E-2</v>
      </c>
      <c r="AI25" s="112">
        <f t="shared" si="0"/>
        <v>1.1527496835053426E-3</v>
      </c>
      <c r="AJ25" s="112">
        <f t="shared" si="1"/>
        <v>9.9464507383672423E-4</v>
      </c>
      <c r="AK25" s="112">
        <f t="shared" si="2"/>
        <v>9.8876346209571687E-4</v>
      </c>
    </row>
    <row r="26" spans="3:37" ht="12.2" customHeight="1" x14ac:dyDescent="0.2">
      <c r="C26" s="117" t="s">
        <v>37</v>
      </c>
      <c r="D26" s="103">
        <f t="shared" si="5"/>
        <v>42797</v>
      </c>
      <c r="E26" s="103"/>
      <c r="F26" s="118">
        <f>_xll.qlCalendarAdvance(Calendar,SettlementDate,C26,"mf",TRUE,Trigger)</f>
        <v>42982</v>
      </c>
      <c r="G26" s="140"/>
      <c r="H26" s="140"/>
      <c r="I26" s="140"/>
      <c r="J26" s="140"/>
      <c r="K26" s="105">
        <f>_xll.qlDayCounterYearFraction(DayCounter,D26,F26,,,Trigger)</f>
        <v>0.51388888888888884</v>
      </c>
      <c r="L26" s="141">
        <f>_xll.qlYieldTSDiscount(Discounting,D26,,AllTriggers)</f>
        <v>1.000020555872458</v>
      </c>
      <c r="M26" s="141">
        <f>_xll.qlYieldTSDiscount(Discounting,F26,,AllTriggers)</f>
        <v>1.0018385113188129</v>
      </c>
      <c r="N26" s="150">
        <f t="shared" si="7"/>
        <v>-3.5311509697183536E-3</v>
      </c>
      <c r="O26" s="121">
        <f t="shared" si="6"/>
        <v>-2.3801522042883449E-3</v>
      </c>
      <c r="P26" s="121">
        <f t="shared" si="8"/>
        <v>-2.3801522042883449E-3</v>
      </c>
      <c r="Q26" s="121">
        <f t="shared" si="9"/>
        <v>-2.3801522042883449E-3</v>
      </c>
      <c r="AG26" s="114">
        <f>_xll.qlCalendarAdvance(Calendar,AG25,"1d","mf",,Trigger)</f>
        <v>42830</v>
      </c>
      <c r="AH26" s="100">
        <f>_xll.qlDayCounterYearFraction(DayCounter,SettlementDate,AG26,,,Trigger)</f>
        <v>9.166666666666666E-2</v>
      </c>
      <c r="AI26" s="112">
        <f t="shared" si="0"/>
        <v>1.1527496835053426E-3</v>
      </c>
      <c r="AJ26" s="112">
        <f t="shared" si="1"/>
        <v>9.9725837317008988E-4</v>
      </c>
      <c r="AK26" s="112">
        <f t="shared" si="2"/>
        <v>9.9172492100883108E-4</v>
      </c>
    </row>
    <row r="27" spans="3:37" ht="12.2" customHeight="1" x14ac:dyDescent="0.2">
      <c r="AG27" s="114">
        <f>_xll.qlCalendarAdvance(Calendar,AG26,"1d","mf",,Trigger)</f>
        <v>42831</v>
      </c>
      <c r="AH27" s="100">
        <f>_xll.qlDayCounterYearFraction(DayCounter,SettlementDate,AG27,,,Trigger)</f>
        <v>9.4444444444444442E-2</v>
      </c>
      <c r="AI27" s="112">
        <f t="shared" si="0"/>
        <v>1.1527496835053426E-3</v>
      </c>
      <c r="AJ27" s="112">
        <f t="shared" si="1"/>
        <v>9.9987167250345532E-4</v>
      </c>
      <c r="AK27" s="112">
        <f t="shared" si="2"/>
        <v>9.9468167364946463E-4</v>
      </c>
    </row>
    <row r="28" spans="3:37" ht="12.2" customHeight="1" x14ac:dyDescent="0.2">
      <c r="C28" s="87" t="s">
        <v>106</v>
      </c>
      <c r="AG28" s="114">
        <f>_xll.qlCalendarAdvance(Calendar,AG27,"1d","mf",,Trigger)</f>
        <v>42832</v>
      </c>
      <c r="AH28" s="100">
        <f>_xll.qlDayCounterYearFraction(DayCounter,SettlementDate,AG28,,,Trigger)</f>
        <v>9.7222222222222224E-2</v>
      </c>
      <c r="AI28" s="112">
        <f t="shared" si="0"/>
        <v>1.1527496835053426E-3</v>
      </c>
      <c r="AJ28" s="112">
        <f t="shared" si="1"/>
        <v>1.002484971836821E-3</v>
      </c>
      <c r="AK28" s="112">
        <f t="shared" si="2"/>
        <v>9.9763372001761752E-4</v>
      </c>
    </row>
    <row r="29" spans="3:37" ht="12.2" customHeight="1" x14ac:dyDescent="0.2">
      <c r="C29" s="124" t="s">
        <v>91</v>
      </c>
      <c r="AG29" s="114">
        <f>_xll.qlCalendarAdvance(Calendar,AG28,"1d","mf",,Trigger)</f>
        <v>42835</v>
      </c>
      <c r="AH29" s="100">
        <f>_xll.qlDayCounterYearFraction(DayCounter,SettlementDate,AG29,,,Trigger)</f>
        <v>0.10555555555555556</v>
      </c>
      <c r="AI29" s="112">
        <f t="shared" si="0"/>
        <v>1.1527496835053426E-3</v>
      </c>
      <c r="AJ29" s="112">
        <f t="shared" si="1"/>
        <v>1.0103248698369177E-3</v>
      </c>
      <c r="AK29" s="112">
        <f t="shared" si="2"/>
        <v>1.0064616214871909E-3</v>
      </c>
    </row>
    <row r="30" spans="3:37" ht="12.2" customHeight="1" x14ac:dyDescent="0.2">
      <c r="C30" s="112">
        <f t="shared" ref="C30:C39" si="10">IF($C$29="FLAT",O17,IF($C$29="linear",P17,Q17))</f>
        <v>-2.7161625423754998E-3</v>
      </c>
      <c r="AG30" s="114">
        <f>_xll.qlCalendarAdvance(Calendar,AG29,"1d","mf",,Trigger)</f>
        <v>42836</v>
      </c>
      <c r="AH30" s="100">
        <f>_xll.qlDayCounterYearFraction(DayCounter,SettlementDate,AG30,,,Trigger)</f>
        <v>0.10833333333333334</v>
      </c>
      <c r="AI30" s="112">
        <f t="shared" si="0"/>
        <v>1.1527496835053426E-3</v>
      </c>
      <c r="AJ30" s="112">
        <f t="shared" si="1"/>
        <v>1.0129381691702834E-3</v>
      </c>
      <c r="AK30" s="112">
        <f t="shared" si="2"/>
        <v>1.0093948427654204E-3</v>
      </c>
    </row>
    <row r="31" spans="3:37" ht="12.2" customHeight="1" x14ac:dyDescent="0.2">
      <c r="C31" s="112">
        <f t="shared" si="10"/>
        <v>-2.6298892427949788E-3</v>
      </c>
      <c r="AG31" s="114">
        <f>_xll.qlCalendarAdvance(Calendar,AG30,"1d","mf",,Trigger)</f>
        <v>42837</v>
      </c>
      <c r="AH31" s="100">
        <f>_xll.qlDayCounterYearFraction(DayCounter,SettlementDate,AG31,,,Trigger)</f>
        <v>0.1111111111111111</v>
      </c>
      <c r="AI31" s="112">
        <f t="shared" si="0"/>
        <v>1.1527496835053426E-3</v>
      </c>
      <c r="AJ31" s="112">
        <f t="shared" si="1"/>
        <v>1.015551468503649E-3</v>
      </c>
      <c r="AK31" s="112">
        <f t="shared" si="2"/>
        <v>1.0123233577711689E-3</v>
      </c>
    </row>
    <row r="32" spans="3:37" ht="12.2" customHeight="1" x14ac:dyDescent="0.2">
      <c r="C32" s="112">
        <f t="shared" si="10"/>
        <v>-2.6207989157324618E-3</v>
      </c>
      <c r="AG32" s="114">
        <f>_xll.qlCalendarAdvance(Calendar,AG31,"1d","mf",,Trigger)</f>
        <v>42838</v>
      </c>
      <c r="AH32" s="100">
        <f>_xll.qlDayCounterYearFraction(DayCounter,SettlementDate,AG32,,,Trigger)</f>
        <v>0.11388888888888889</v>
      </c>
      <c r="AI32" s="112">
        <f t="shared" si="0"/>
        <v>1.1527496835053426E-3</v>
      </c>
      <c r="AJ32" s="112">
        <f t="shared" si="1"/>
        <v>1.0181647678370145E-3</v>
      </c>
      <c r="AK32" s="112">
        <f t="shared" si="2"/>
        <v>1.0152471665044367E-3</v>
      </c>
    </row>
    <row r="33" spans="3:37" ht="12.2" customHeight="1" x14ac:dyDescent="0.2">
      <c r="C33" s="112">
        <f t="shared" si="10"/>
        <v>-2.6117095187697509E-3</v>
      </c>
      <c r="AG33" s="114">
        <f>_xll.qlCalendarAdvance(Calendar,AG32,"1d","mf",,Trigger)</f>
        <v>42843</v>
      </c>
      <c r="AH33" s="100">
        <f>_xll.qlDayCounterYearFraction(DayCounter,SettlementDate,AG33,,,Trigger)</f>
        <v>0.12777777777777777</v>
      </c>
      <c r="AI33" s="112">
        <f t="shared" si="0"/>
        <v>1.1527496835053426E-3</v>
      </c>
      <c r="AJ33" s="112">
        <f t="shared" si="1"/>
        <v>1.0312312645038425E-3</v>
      </c>
      <c r="AK33" s="112">
        <f t="shared" si="2"/>
        <v>1.0297956160835631E-3</v>
      </c>
    </row>
    <row r="34" spans="3:37" ht="12.2" customHeight="1" x14ac:dyDescent="0.2">
      <c r="C34" s="112">
        <f t="shared" si="10"/>
        <v>-2.5787246307648884E-3</v>
      </c>
      <c r="AG34" s="114">
        <f>_xll.qlCalendarAdvance(Calendar,AG33,"1d","mf",,Trigger)</f>
        <v>42844</v>
      </c>
      <c r="AH34" s="100">
        <f>_xll.qlDayCounterYearFraction(DayCounter,SettlementDate,AG34,,,Trigger)</f>
        <v>0.13055555555555556</v>
      </c>
      <c r="AI34" s="112">
        <f t="shared" si="0"/>
        <v>1.1527496835053426E-3</v>
      </c>
      <c r="AJ34" s="112">
        <f t="shared" si="1"/>
        <v>1.033844563837208E-3</v>
      </c>
      <c r="AK34" s="112">
        <f t="shared" si="2"/>
        <v>1.0326911871819458E-3</v>
      </c>
    </row>
    <row r="35" spans="3:37" ht="12.2" customHeight="1" x14ac:dyDescent="0.2">
      <c r="C35" s="112">
        <f t="shared" si="10"/>
        <v>-2.542854565586004E-3</v>
      </c>
      <c r="AG35" s="114">
        <f>_xll.qlCalendarAdvance(Calendar,AG34,"1d","mf",,Trigger)</f>
        <v>42845</v>
      </c>
      <c r="AH35" s="100">
        <f>_xll.qlDayCounterYearFraction(DayCounter,SettlementDate,AG35,,,Trigger)</f>
        <v>0.13333333333333333</v>
      </c>
      <c r="AI35" s="112">
        <f t="shared" ref="AI35:AI66" si="11">$X$15</f>
        <v>1.1527496835053426E-3</v>
      </c>
      <c r="AJ35" s="112">
        <f t="shared" ref="AJ35:AJ66" si="12">$X$10+$X$9*AH35</f>
        <v>1.0364578631705736E-3</v>
      </c>
      <c r="AK35" s="112">
        <f t="shared" ref="AK35:AK66" si="13">($X$5+$X$4*AH35+$X$3*AH35^2)</f>
        <v>1.0355820520078476E-3</v>
      </c>
    </row>
    <row r="36" spans="3:37" ht="12.2" customHeight="1" x14ac:dyDescent="0.2">
      <c r="C36" s="112">
        <f t="shared" si="10"/>
        <v>-2.5014142488021178E-3</v>
      </c>
      <c r="AG36" s="114">
        <f>_xll.qlCalendarAdvance(Calendar,AG35,"1d","mf",,Trigger)</f>
        <v>42846</v>
      </c>
      <c r="AH36" s="100">
        <f>_xll.qlDayCounterYearFraction(DayCounter,SettlementDate,AG36,,,Trigger)</f>
        <v>0.1361111111111111</v>
      </c>
      <c r="AI36" s="112">
        <f t="shared" si="11"/>
        <v>1.1527496835053426E-3</v>
      </c>
      <c r="AJ36" s="112">
        <f t="shared" si="12"/>
        <v>1.0390711625039393E-3</v>
      </c>
      <c r="AK36" s="112">
        <f t="shared" si="13"/>
        <v>1.038468210561269E-3</v>
      </c>
    </row>
    <row r="37" spans="3:37" ht="12.2" customHeight="1" x14ac:dyDescent="0.2">
      <c r="C37" s="112">
        <f t="shared" si="10"/>
        <v>-2.4652517694604905E-3</v>
      </c>
      <c r="AG37" s="114">
        <f>_xll.qlCalendarAdvance(Calendar,AG36,"1d","mf",,Trigger)</f>
        <v>42849</v>
      </c>
      <c r="AH37" s="100">
        <f>_xll.qlDayCounterYearFraction(DayCounter,SettlementDate,AG37,,,Trigger)</f>
        <v>0.14444444444444443</v>
      </c>
      <c r="AI37" s="112">
        <f t="shared" si="11"/>
        <v>1.1527496835053426E-3</v>
      </c>
      <c r="AJ37" s="112">
        <f t="shared" si="12"/>
        <v>1.046911060504036E-3</v>
      </c>
      <c r="AK37" s="112">
        <f t="shared" si="13"/>
        <v>1.0470984485866472E-3</v>
      </c>
    </row>
    <row r="38" spans="3:37" ht="12.2" customHeight="1" x14ac:dyDescent="0.2">
      <c r="C38" s="112">
        <f t="shared" si="10"/>
        <v>-2.4225539053326752E-3</v>
      </c>
      <c r="AG38" s="114">
        <f>_xll.qlCalendarAdvance(Calendar,AG37,"1d","mf",,Trigger)</f>
        <v>42850</v>
      </c>
      <c r="AH38" s="100">
        <f>_xll.qlDayCounterYearFraction(DayCounter,SettlementDate,AG38,,,Trigger)</f>
        <v>0.14722222222222223</v>
      </c>
      <c r="AI38" s="112">
        <f t="shared" si="11"/>
        <v>1.1527496835053426E-3</v>
      </c>
      <c r="AJ38" s="112">
        <f t="shared" si="12"/>
        <v>1.0495243598374017E-3</v>
      </c>
      <c r="AK38" s="112">
        <f t="shared" si="13"/>
        <v>1.0499657820501448E-3</v>
      </c>
    </row>
    <row r="39" spans="3:37" ht="12.2" customHeight="1" x14ac:dyDescent="0.2">
      <c r="C39" s="121">
        <f t="shared" si="10"/>
        <v>-2.3801522042883449E-3</v>
      </c>
      <c r="AG39" s="114">
        <f>_xll.qlCalendarAdvance(Calendar,AG38,"1d","mf",,Trigger)</f>
        <v>42851</v>
      </c>
      <c r="AH39" s="100">
        <f>_xll.qlDayCounterYearFraction(DayCounter,SettlementDate,AG39,,,Trigger)</f>
        <v>0.15</v>
      </c>
      <c r="AI39" s="112">
        <f t="shared" si="11"/>
        <v>1.1527496835053426E-3</v>
      </c>
      <c r="AJ39" s="112">
        <f t="shared" si="12"/>
        <v>1.0521376591707671E-3</v>
      </c>
      <c r="AK39" s="112">
        <f t="shared" si="13"/>
        <v>1.0528284092411618E-3</v>
      </c>
    </row>
    <row r="40" spans="3:37" x14ac:dyDescent="0.2">
      <c r="AG40" s="114">
        <f>_xll.qlCalendarAdvance(Calendar,AG39,"1d","mf",,Trigger)</f>
        <v>42852</v>
      </c>
      <c r="AH40" s="100">
        <f>_xll.qlDayCounterYearFraction(DayCounter,SettlementDate,AG40,,,Trigger)</f>
        <v>0.15277777777777779</v>
      </c>
      <c r="AI40" s="112">
        <f t="shared" si="11"/>
        <v>1.1527496835053426E-3</v>
      </c>
      <c r="AJ40" s="112">
        <f t="shared" si="12"/>
        <v>1.0547509585041328E-3</v>
      </c>
      <c r="AK40" s="112">
        <f t="shared" si="13"/>
        <v>1.0556863301596979E-3</v>
      </c>
    </row>
    <row r="41" spans="3:37" x14ac:dyDescent="0.2">
      <c r="AG41" s="114">
        <f>_xll.qlCalendarAdvance(Calendar,AG40,"1d","mf",,Trigger)</f>
        <v>42853</v>
      </c>
      <c r="AH41" s="100">
        <f>_xll.qlDayCounterYearFraction(DayCounter,SettlementDate,AG41,,,Trigger)</f>
        <v>0.15555555555555556</v>
      </c>
      <c r="AI41" s="112">
        <f t="shared" si="11"/>
        <v>1.1527496835053426E-3</v>
      </c>
      <c r="AJ41" s="112">
        <f t="shared" si="12"/>
        <v>1.0573642578374984E-3</v>
      </c>
      <c r="AK41" s="112">
        <f t="shared" si="13"/>
        <v>1.0585395448057533E-3</v>
      </c>
    </row>
    <row r="42" spans="3:37" x14ac:dyDescent="0.2">
      <c r="AG42" s="114">
        <f>_xll.qlCalendarAdvance(Calendar,AG41,"1d","mf",,Trigger)</f>
        <v>42857</v>
      </c>
      <c r="AH42" s="100">
        <f>_xll.qlDayCounterYearFraction(DayCounter,SettlementDate,AG42,,,Trigger)</f>
        <v>0.16666666666666666</v>
      </c>
      <c r="AI42" s="112">
        <f t="shared" si="11"/>
        <v>1.1527496835053426E-3</v>
      </c>
      <c r="AJ42" s="112">
        <f t="shared" si="12"/>
        <v>1.0678174551709606E-3</v>
      </c>
      <c r="AK42" s="112">
        <f t="shared" si="13"/>
        <v>1.0699053406651657E-3</v>
      </c>
    </row>
    <row r="43" spans="3:37" x14ac:dyDescent="0.2">
      <c r="O43" s="85"/>
      <c r="P43" s="85"/>
      <c r="AG43" s="114">
        <f>_xll.qlCalendarAdvance(Calendar,AG42,"1d","mf",,Trigger)</f>
        <v>42858</v>
      </c>
      <c r="AH43" s="100">
        <f>_xll.qlDayCounterYearFraction(DayCounter,SettlementDate,AG43,,,Trigger)</f>
        <v>0.16944444444444445</v>
      </c>
      <c r="AI43" s="112">
        <f t="shared" si="11"/>
        <v>1.1527496835053426E-3</v>
      </c>
      <c r="AJ43" s="112">
        <f t="shared" si="12"/>
        <v>1.0704307545043262E-3</v>
      </c>
      <c r="AK43" s="112">
        <f t="shared" si="13"/>
        <v>1.0727350239488169E-3</v>
      </c>
    </row>
    <row r="44" spans="3:37" x14ac:dyDescent="0.2">
      <c r="AG44" s="114">
        <f>_xll.qlCalendarAdvance(Calendar,AG43,"1d","mf",,Trigger)</f>
        <v>42859</v>
      </c>
      <c r="AH44" s="100">
        <f>_xll.qlDayCounterYearFraction(DayCounter,SettlementDate,AG44,,,Trigger)</f>
        <v>0.17222222222222222</v>
      </c>
      <c r="AI44" s="112">
        <f t="shared" si="11"/>
        <v>1.1527496835053426E-3</v>
      </c>
      <c r="AJ44" s="112">
        <f t="shared" si="12"/>
        <v>1.0730440538376919E-3</v>
      </c>
      <c r="AK44" s="112">
        <f t="shared" si="13"/>
        <v>1.075560000959987E-3</v>
      </c>
    </row>
    <row r="45" spans="3:37" ht="11.25" customHeight="1" x14ac:dyDescent="0.2">
      <c r="AG45" s="114">
        <f>_xll.qlCalendarAdvance(Calendar,AG44,"1d","mf",,Trigger)</f>
        <v>42860</v>
      </c>
      <c r="AH45" s="100">
        <f>_xll.qlDayCounterYearFraction(DayCounter,SettlementDate,AG45,,,Trigger)</f>
        <v>0.17499999999999999</v>
      </c>
      <c r="AI45" s="112">
        <f t="shared" si="11"/>
        <v>1.1527496835053426E-3</v>
      </c>
      <c r="AJ45" s="112">
        <f t="shared" si="12"/>
        <v>1.0756573531710573E-3</v>
      </c>
      <c r="AK45" s="112">
        <f t="shared" si="13"/>
        <v>1.0783802716986767E-3</v>
      </c>
    </row>
    <row r="46" spans="3:37" x14ac:dyDescent="0.2">
      <c r="AG46" s="114">
        <f>_xll.qlCalendarAdvance(Calendar,AG45,"1d","mf",,Trigger)</f>
        <v>42863</v>
      </c>
      <c r="AH46" s="100">
        <f>_xll.qlDayCounterYearFraction(DayCounter,SettlementDate,AG46,,,Trigger)</f>
        <v>0.18333333333333332</v>
      </c>
      <c r="AI46" s="112">
        <f t="shared" si="11"/>
        <v>1.1527496835053426E-3</v>
      </c>
      <c r="AJ46" s="112">
        <f t="shared" si="12"/>
        <v>1.0834972511711541E-3</v>
      </c>
      <c r="AK46" s="112">
        <f t="shared" si="13"/>
        <v>1.0868128462798597E-3</v>
      </c>
    </row>
    <row r="47" spans="3:37" x14ac:dyDescent="0.2">
      <c r="AG47" s="114">
        <f>_xll.qlCalendarAdvance(Calendar,AG46,"1d","mf",,Trigger)</f>
        <v>42864</v>
      </c>
      <c r="AH47" s="100">
        <f>_xll.qlDayCounterYearFraction(DayCounter,SettlementDate,AG47,,,Trigger)</f>
        <v>0.18611111111111112</v>
      </c>
      <c r="AI47" s="112">
        <f t="shared" si="11"/>
        <v>1.1527496835053426E-3</v>
      </c>
      <c r="AJ47" s="112">
        <f t="shared" si="12"/>
        <v>1.0861105505045197E-3</v>
      </c>
      <c r="AK47" s="112">
        <f t="shared" si="13"/>
        <v>1.0896142919286256E-3</v>
      </c>
    </row>
    <row r="48" spans="3:37" x14ac:dyDescent="0.2">
      <c r="AG48" s="114">
        <f>_xll.qlCalendarAdvance(Calendar,AG47,"1d","mf",,Trigger)</f>
        <v>42865</v>
      </c>
      <c r="AH48" s="100">
        <f>_xll.qlDayCounterYearFraction(DayCounter,SettlementDate,AG48,,,Trigger)</f>
        <v>0.18888888888888888</v>
      </c>
      <c r="AI48" s="112">
        <f t="shared" si="11"/>
        <v>1.1527496835053426E-3</v>
      </c>
      <c r="AJ48" s="112">
        <f t="shared" si="12"/>
        <v>1.0887238498378854E-3</v>
      </c>
      <c r="AK48" s="112">
        <f t="shared" si="13"/>
        <v>1.0924110313049111E-3</v>
      </c>
    </row>
    <row r="49" spans="15:37" x14ac:dyDescent="0.2">
      <c r="AG49" s="114">
        <f>_xll.qlCalendarAdvance(Calendar,AG48,"1d","mf",,Trigger)</f>
        <v>42866</v>
      </c>
      <c r="AH49" s="100">
        <f>_xll.qlDayCounterYearFraction(DayCounter,SettlementDate,AG49,,,Trigger)</f>
        <v>0.19166666666666668</v>
      </c>
      <c r="AI49" s="112">
        <f t="shared" si="11"/>
        <v>1.1527496835053426E-3</v>
      </c>
      <c r="AJ49" s="112">
        <f t="shared" si="12"/>
        <v>1.091337149171251E-3</v>
      </c>
      <c r="AK49" s="112">
        <f t="shared" si="13"/>
        <v>1.0952030644087152E-3</v>
      </c>
    </row>
    <row r="50" spans="15:37" x14ac:dyDescent="0.2">
      <c r="AG50" s="114">
        <f>_xll.qlCalendarAdvance(Calendar,AG49,"1d","mf",,Trigger)</f>
        <v>42867</v>
      </c>
      <c r="AH50" s="100">
        <f>_xll.qlDayCounterYearFraction(DayCounter,SettlementDate,AG50,,,Trigger)</f>
        <v>0.19444444444444445</v>
      </c>
      <c r="AI50" s="112">
        <f t="shared" si="11"/>
        <v>1.1527496835053426E-3</v>
      </c>
      <c r="AJ50" s="112">
        <f t="shared" si="12"/>
        <v>1.0939504485046165E-3</v>
      </c>
      <c r="AK50" s="112">
        <f t="shared" si="13"/>
        <v>1.0979903912400389E-3</v>
      </c>
    </row>
    <row r="51" spans="15:37" x14ac:dyDescent="0.2">
      <c r="AG51" s="114">
        <f>_xll.qlCalendarAdvance(Calendar,AG50,"1d","mf",,Trigger)</f>
        <v>42870</v>
      </c>
      <c r="AH51" s="100">
        <f>_xll.qlDayCounterYearFraction(DayCounter,SettlementDate,AG51,,,Trigger)</f>
        <v>0.20277777777777778</v>
      </c>
      <c r="AI51" s="112">
        <f t="shared" si="11"/>
        <v>1.1527496835053426E-3</v>
      </c>
      <c r="AJ51" s="112">
        <f t="shared" si="12"/>
        <v>1.1017903465047132E-3</v>
      </c>
      <c r="AK51" s="112">
        <f t="shared" si="13"/>
        <v>1.1063241340991245E-3</v>
      </c>
    </row>
    <row r="52" spans="15:37" x14ac:dyDescent="0.2">
      <c r="AG52" s="114">
        <f>_xll.qlCalendarAdvance(Calendar,AG51,"1d","mf",,Trigger)</f>
        <v>42871</v>
      </c>
      <c r="AH52" s="100">
        <f>_xll.qlDayCounterYearFraction(DayCounter,SettlementDate,AG52,,,Trigger)</f>
        <v>0.20555555555555555</v>
      </c>
      <c r="AI52" s="112">
        <f t="shared" si="11"/>
        <v>1.1527496835053426E-3</v>
      </c>
      <c r="AJ52" s="112">
        <f t="shared" si="12"/>
        <v>1.1044036458380789E-3</v>
      </c>
      <c r="AK52" s="112">
        <f t="shared" si="13"/>
        <v>1.1090926358405247E-3</v>
      </c>
    </row>
    <row r="53" spans="15:37" x14ac:dyDescent="0.2">
      <c r="AG53" s="114">
        <f>_xll.qlCalendarAdvance(Calendar,AG52,"1d","mf",,Trigger)</f>
        <v>42872</v>
      </c>
      <c r="AH53" s="100">
        <f>_xll.qlDayCounterYearFraction(DayCounter,SettlementDate,AG53,,,Trigger)</f>
        <v>0.20833333333333334</v>
      </c>
      <c r="AI53" s="112">
        <f t="shared" si="11"/>
        <v>1.1527496835053426E-3</v>
      </c>
      <c r="AJ53" s="112">
        <f t="shared" si="12"/>
        <v>1.1070169451714445E-3</v>
      </c>
      <c r="AK53" s="112">
        <f t="shared" si="13"/>
        <v>1.1118564313094441E-3</v>
      </c>
    </row>
    <row r="54" spans="15:37" x14ac:dyDescent="0.2">
      <c r="AG54" s="114">
        <f>_xll.qlCalendarAdvance(Calendar,AG53,"1d","mf",,Trigger)</f>
        <v>42873</v>
      </c>
      <c r="AH54" s="100">
        <f>_xll.qlDayCounterYearFraction(DayCounter,SettlementDate,AG54,,,Trigger)</f>
        <v>0.21111111111111111</v>
      </c>
      <c r="AI54" s="112">
        <f t="shared" si="11"/>
        <v>1.1527496835053426E-3</v>
      </c>
      <c r="AJ54" s="112">
        <f t="shared" si="12"/>
        <v>1.10963024450481E-3</v>
      </c>
      <c r="AK54" s="112">
        <f t="shared" si="13"/>
        <v>1.1146155205058825E-3</v>
      </c>
    </row>
    <row r="55" spans="15:37" x14ac:dyDescent="0.2">
      <c r="AG55" s="114">
        <f>_xll.qlCalendarAdvance(Calendar,AG54,"1d","mf",,Trigger)</f>
        <v>42874</v>
      </c>
      <c r="AH55" s="100">
        <f>_xll.qlDayCounterYearFraction(DayCounter,SettlementDate,AG55,,,Trigger)</f>
        <v>0.21388888888888888</v>
      </c>
      <c r="AI55" s="112">
        <f t="shared" si="11"/>
        <v>1.1527496835053426E-3</v>
      </c>
      <c r="AJ55" s="112">
        <f t="shared" si="12"/>
        <v>1.1122435438381756E-3</v>
      </c>
      <c r="AK55" s="112">
        <f t="shared" si="13"/>
        <v>1.1173699034298405E-3</v>
      </c>
    </row>
    <row r="56" spans="15:37" x14ac:dyDescent="0.2">
      <c r="AG56" s="114">
        <f>_xll.qlCalendarAdvance(Calendar,AG55,"1d","mf",,Trigger)</f>
        <v>42877</v>
      </c>
      <c r="AH56" s="100">
        <f>_xll.qlDayCounterYearFraction(DayCounter,SettlementDate,AG56,,,Trigger)</f>
        <v>0.22222222222222221</v>
      </c>
      <c r="AI56" s="112">
        <f t="shared" si="11"/>
        <v>1.1527496835053426E-3</v>
      </c>
      <c r="AJ56" s="112">
        <f t="shared" si="12"/>
        <v>1.1200834418382724E-3</v>
      </c>
      <c r="AK56" s="112">
        <f t="shared" si="13"/>
        <v>1.1256048145668286E-3</v>
      </c>
    </row>
    <row r="57" spans="15:37" x14ac:dyDescent="0.2">
      <c r="AG57" s="114">
        <f>_xll.qlCalendarAdvance(Calendar,AG56,"1d","mf",,Trigger)</f>
        <v>42878</v>
      </c>
      <c r="AH57" s="100">
        <f>_xll.qlDayCounterYearFraction(DayCounter,SettlementDate,AG57,,,Trigger)</f>
        <v>0.22500000000000001</v>
      </c>
      <c r="AI57" s="112">
        <f t="shared" si="11"/>
        <v>1.1527496835053426E-3</v>
      </c>
      <c r="AJ57" s="112">
        <f t="shared" si="12"/>
        <v>1.122696741171638E-3</v>
      </c>
      <c r="AK57" s="112">
        <f t="shared" si="13"/>
        <v>1.1283403724008628E-3</v>
      </c>
    </row>
    <row r="58" spans="15:37" x14ac:dyDescent="0.2">
      <c r="AG58" s="114">
        <f>_xll.qlCalendarAdvance(Calendar,AG57,"1d","mf",,Trigger)</f>
        <v>42879</v>
      </c>
      <c r="AH58" s="100">
        <f>_xll.qlDayCounterYearFraction(DayCounter,SettlementDate,AG58,,,Trigger)</f>
        <v>0.22777777777777777</v>
      </c>
      <c r="AI58" s="112">
        <f t="shared" si="11"/>
        <v>1.1527496835053426E-3</v>
      </c>
      <c r="AJ58" s="112">
        <f t="shared" si="12"/>
        <v>1.1253100405050035E-3</v>
      </c>
      <c r="AK58" s="112">
        <f t="shared" si="13"/>
        <v>1.1310712239624161E-3</v>
      </c>
    </row>
    <row r="59" spans="15:37" x14ac:dyDescent="0.2">
      <c r="AG59" s="114">
        <f>_xll.qlCalendarAdvance(Calendar,AG58,"1d","mf",,Trigger)</f>
        <v>42880</v>
      </c>
      <c r="AH59" s="100">
        <f>_xll.qlDayCounterYearFraction(DayCounter,SettlementDate,AG59,,,Trigger)</f>
        <v>0.23055555555555557</v>
      </c>
      <c r="AI59" s="112">
        <f t="shared" si="11"/>
        <v>1.1527496835053426E-3</v>
      </c>
      <c r="AJ59" s="112">
        <f t="shared" si="12"/>
        <v>1.1279233398383691E-3</v>
      </c>
      <c r="AK59" s="112">
        <f t="shared" si="13"/>
        <v>1.133797369251489E-3</v>
      </c>
    </row>
    <row r="60" spans="15:37" x14ac:dyDescent="0.2">
      <c r="AG60" s="114">
        <f>_xll.qlCalendarAdvance(Calendar,AG59,"1d","mf",,Trigger)</f>
        <v>42881</v>
      </c>
      <c r="AH60" s="100">
        <f>_xll.qlDayCounterYearFraction(DayCounter,SettlementDate,AG60,,,Trigger)</f>
        <v>0.23333333333333334</v>
      </c>
      <c r="AI60" s="112">
        <f t="shared" si="11"/>
        <v>1.1527496835053426E-3</v>
      </c>
      <c r="AJ60" s="112">
        <f t="shared" si="12"/>
        <v>1.1305366391717348E-3</v>
      </c>
      <c r="AK60" s="112">
        <f t="shared" si="13"/>
        <v>1.1365188082680809E-3</v>
      </c>
    </row>
    <row r="61" spans="15:37" x14ac:dyDescent="0.2">
      <c r="AG61" s="114">
        <f>_xll.qlCalendarAdvance(Calendar,AG60,"1d","mf",,Trigger)</f>
        <v>42884</v>
      </c>
      <c r="AH61" s="100">
        <f>_xll.qlDayCounterYearFraction(DayCounter,SettlementDate,AG61,,,Trigger)</f>
        <v>0.24166666666666667</v>
      </c>
      <c r="AI61" s="112">
        <f t="shared" si="11"/>
        <v>1.1527496835053426E-3</v>
      </c>
      <c r="AJ61" s="112">
        <f t="shared" si="12"/>
        <v>1.1383765371718315E-3</v>
      </c>
      <c r="AK61" s="112">
        <f t="shared" si="13"/>
        <v>1.1446548876829716E-3</v>
      </c>
    </row>
    <row r="62" spans="15:37" x14ac:dyDescent="0.2">
      <c r="O62" s="85"/>
      <c r="AG62" s="114">
        <f>_xll.qlCalendarAdvance(Calendar,AG61,"1d","mf",,Trigger)</f>
        <v>42885</v>
      </c>
      <c r="AH62" s="100">
        <f>_xll.qlDayCounterYearFraction(DayCounter,SettlementDate,AG62,,,Trigger)</f>
        <v>0.24444444444444444</v>
      </c>
      <c r="AI62" s="112">
        <f t="shared" si="11"/>
        <v>1.1527496835053426E-3</v>
      </c>
      <c r="AJ62" s="112">
        <f t="shared" si="12"/>
        <v>1.1409898365051972E-3</v>
      </c>
      <c r="AK62" s="112">
        <f t="shared" si="13"/>
        <v>1.14735750160964E-3</v>
      </c>
    </row>
    <row r="63" spans="15:37" x14ac:dyDescent="0.2">
      <c r="O63" s="85"/>
      <c r="AG63" s="114">
        <f>_xll.qlCalendarAdvance(Calendar,AG62,"1d","mf",,Trigger)</f>
        <v>42886</v>
      </c>
      <c r="AH63" s="100">
        <f>_xll.qlDayCounterYearFraction(DayCounter,SettlementDate,AG63,,,Trigger)</f>
        <v>0.24722222222222223</v>
      </c>
      <c r="AI63" s="112">
        <f t="shared" si="11"/>
        <v>1.1527496835053426E-3</v>
      </c>
      <c r="AJ63" s="112">
        <f t="shared" si="12"/>
        <v>1.1436031358385626E-3</v>
      </c>
      <c r="AK63" s="112">
        <f t="shared" si="13"/>
        <v>1.1500554092638278E-3</v>
      </c>
    </row>
    <row r="64" spans="15:37" x14ac:dyDescent="0.2">
      <c r="O64" s="85"/>
      <c r="AG64" s="114">
        <f>_xll.qlCalendarAdvance(Calendar,AG63,"1d","mf",,Trigger)</f>
        <v>42887</v>
      </c>
      <c r="AH64" s="100">
        <f>_xll.qlDayCounterYearFraction(DayCounter,SettlementDate,AG64,,,Trigger)</f>
        <v>0.25</v>
      </c>
      <c r="AI64" s="112">
        <f t="shared" si="11"/>
        <v>1.1527496835053426E-3</v>
      </c>
      <c r="AJ64" s="112">
        <f t="shared" si="12"/>
        <v>1.1462164351719283E-3</v>
      </c>
      <c r="AK64" s="112">
        <f t="shared" si="13"/>
        <v>1.1527486106455345E-3</v>
      </c>
    </row>
    <row r="65" spans="15:37" x14ac:dyDescent="0.2">
      <c r="O65" s="85"/>
      <c r="AG65" s="114">
        <f>_xll.qlCalendarAdvance(Calendar,AG64,"1d","mf",,Trigger)</f>
        <v>42888</v>
      </c>
      <c r="AH65" s="100">
        <f>_xll.qlDayCounterYearFraction(DayCounter,SettlementDate,AG65,,,Trigger)</f>
        <v>0.25277777777777777</v>
      </c>
      <c r="AI65" s="112">
        <f t="shared" si="11"/>
        <v>1.1527496835053426E-3</v>
      </c>
      <c r="AJ65" s="112">
        <f t="shared" si="12"/>
        <v>1.1488297345052939E-3</v>
      </c>
      <c r="AK65" s="112">
        <f t="shared" si="13"/>
        <v>1.1554371057547605E-3</v>
      </c>
    </row>
    <row r="66" spans="15:37" x14ac:dyDescent="0.2">
      <c r="O66" s="85"/>
      <c r="AG66" s="114">
        <f>_xll.qlCalendarAdvance(Calendar,AG65,"1d","mf",,Trigger)</f>
        <v>42891</v>
      </c>
      <c r="AH66" s="100">
        <f>_xll.qlDayCounterYearFraction(DayCounter,SettlementDate,AG66,,,Trigger)</f>
        <v>0.26111111111111113</v>
      </c>
      <c r="AI66" s="112">
        <f t="shared" si="11"/>
        <v>1.1527496835053426E-3</v>
      </c>
      <c r="AJ66" s="112">
        <f t="shared" si="12"/>
        <v>1.1566696325053907E-3</v>
      </c>
      <c r="AK66" s="112">
        <f t="shared" si="13"/>
        <v>1.1634743534475536E-3</v>
      </c>
    </row>
    <row r="67" spans="15:37" x14ac:dyDescent="0.2">
      <c r="O67" s="85"/>
      <c r="AG67" s="114">
        <f>_xll.qlCalendarAdvance(Calendar,AG66,"1d","mf",,Trigger)</f>
        <v>42892</v>
      </c>
      <c r="AH67" s="100">
        <f>_xll.qlDayCounterYearFraction(DayCounter,SettlementDate,AG67,,,Trigger)</f>
        <v>0.2638888888888889</v>
      </c>
      <c r="AI67" s="112">
        <f t="shared" ref="AI67:AI98" si="14">$X$15</f>
        <v>1.1527496835053426E-3</v>
      </c>
      <c r="AJ67" s="112">
        <f t="shared" ref="AJ67:AJ98" si="15">$X$10+$X$9*AH67</f>
        <v>1.1592829318387561E-3</v>
      </c>
      <c r="AK67" s="112">
        <f t="shared" ref="AK67:AK98" si="16">($X$5+$X$4*AH67+$X$3*AH67^2)</f>
        <v>1.1661440234668561E-3</v>
      </c>
    </row>
    <row r="68" spans="15:37" x14ac:dyDescent="0.2">
      <c r="O68" s="85"/>
      <c r="P68" s="85"/>
      <c r="AG68" s="114">
        <f>_xll.qlCalendarAdvance(Calendar,AG67,"1d","mf",,Trigger)</f>
        <v>42893</v>
      </c>
      <c r="AH68" s="100">
        <f>_xll.qlDayCounterYearFraction(DayCounter,SettlementDate,AG68,,,Trigger)</f>
        <v>0.26666666666666666</v>
      </c>
      <c r="AI68" s="112">
        <f t="shared" si="14"/>
        <v>1.1527496835053426E-3</v>
      </c>
      <c r="AJ68" s="112">
        <f t="shared" si="15"/>
        <v>1.1618962311721217E-3</v>
      </c>
      <c r="AK68" s="112">
        <f t="shared" si="16"/>
        <v>1.1688089872136779E-3</v>
      </c>
    </row>
    <row r="69" spans="15:37" x14ac:dyDescent="0.2">
      <c r="O69" s="85"/>
      <c r="P69" s="85"/>
      <c r="AG69" s="114">
        <f>_xll.qlCalendarAdvance(Calendar,AG68,"1d","mf",,Trigger)</f>
        <v>42894</v>
      </c>
      <c r="AH69" s="100">
        <f>_xll.qlDayCounterYearFraction(DayCounter,SettlementDate,AG69,,,Trigger)</f>
        <v>0.26944444444444443</v>
      </c>
      <c r="AI69" s="112">
        <f t="shared" si="14"/>
        <v>1.1527496835053426E-3</v>
      </c>
      <c r="AJ69" s="112">
        <f t="shared" si="15"/>
        <v>1.1645095305054874E-3</v>
      </c>
      <c r="AK69" s="112">
        <f t="shared" si="16"/>
        <v>1.171469244688019E-3</v>
      </c>
    </row>
    <row r="70" spans="15:37" x14ac:dyDescent="0.2">
      <c r="O70" s="85"/>
      <c r="P70" s="85"/>
      <c r="AG70" s="114">
        <f>_xll.qlCalendarAdvance(Calendar,AG69,"1d","mf",,Trigger)</f>
        <v>42895</v>
      </c>
      <c r="AH70" s="100">
        <f>_xll.qlDayCounterYearFraction(DayCounter,SettlementDate,AG70,,,Trigger)</f>
        <v>0.2722222222222222</v>
      </c>
      <c r="AI70" s="112">
        <f t="shared" si="14"/>
        <v>1.1527496835053426E-3</v>
      </c>
      <c r="AJ70" s="112">
        <f t="shared" si="15"/>
        <v>1.1671228298388531E-3</v>
      </c>
      <c r="AK70" s="112">
        <f t="shared" si="16"/>
        <v>1.1741247958898791E-3</v>
      </c>
    </row>
    <row r="71" spans="15:37" x14ac:dyDescent="0.2">
      <c r="O71" s="85"/>
      <c r="P71" s="85"/>
      <c r="AG71" s="114">
        <f>_xll.qlCalendarAdvance(Calendar,AG70,"1d","mf",,Trigger)</f>
        <v>42898</v>
      </c>
      <c r="AH71" s="100">
        <f>_xll.qlDayCounterYearFraction(DayCounter,SettlementDate,AG71,,,Trigger)</f>
        <v>0.28055555555555556</v>
      </c>
      <c r="AI71" s="112">
        <f t="shared" si="14"/>
        <v>1.1527496835053426E-3</v>
      </c>
      <c r="AJ71" s="112">
        <f t="shared" si="15"/>
        <v>1.1749627278389496E-3</v>
      </c>
      <c r="AK71" s="112">
        <f t="shared" si="16"/>
        <v>1.1820632118605746E-3</v>
      </c>
    </row>
    <row r="72" spans="15:37" x14ac:dyDescent="0.2">
      <c r="O72" s="85"/>
      <c r="P72" s="85"/>
      <c r="AG72" s="114">
        <f>_xll.qlCalendarAdvance(Calendar,AG71,"1d","mf",,Trigger)</f>
        <v>42899</v>
      </c>
      <c r="AH72" s="100">
        <f>_xll.qlDayCounterYearFraction(DayCounter,SettlementDate,AG72,,,Trigger)</f>
        <v>0.28333333333333333</v>
      </c>
      <c r="AI72" s="112">
        <f t="shared" si="14"/>
        <v>1.1527496835053426E-3</v>
      </c>
      <c r="AJ72" s="112">
        <f t="shared" si="15"/>
        <v>1.1775760271723152E-3</v>
      </c>
      <c r="AK72" s="112">
        <f t="shared" si="16"/>
        <v>1.1846999379725113E-3</v>
      </c>
    </row>
    <row r="73" spans="15:37" x14ac:dyDescent="0.2">
      <c r="O73" s="85"/>
      <c r="P73" s="85"/>
      <c r="AG73" s="114">
        <f>_xll.qlCalendarAdvance(Calendar,AG72,"1d","mf",,Trigger)</f>
        <v>42900</v>
      </c>
      <c r="AH73" s="100">
        <f>_xll.qlDayCounterYearFraction(DayCounter,SettlementDate,AG73,,,Trigger)</f>
        <v>0.28611111111111109</v>
      </c>
      <c r="AI73" s="112">
        <f t="shared" si="14"/>
        <v>1.1527496835053426E-3</v>
      </c>
      <c r="AJ73" s="112">
        <f t="shared" si="15"/>
        <v>1.1801893265056809E-3</v>
      </c>
      <c r="AK73" s="112">
        <f t="shared" si="16"/>
        <v>1.1873319578119673E-3</v>
      </c>
    </row>
    <row r="74" spans="15:37" x14ac:dyDescent="0.2">
      <c r="O74" s="85"/>
      <c r="P74" s="85"/>
      <c r="AG74" s="114">
        <f>_xll.qlCalendarAdvance(Calendar,AG73,"1d","mf",,Trigger)</f>
        <v>42901</v>
      </c>
      <c r="AH74" s="100">
        <f>_xll.qlDayCounterYearFraction(DayCounter,SettlementDate,AG74,,,Trigger)</f>
        <v>0.28888888888888886</v>
      </c>
      <c r="AI74" s="112">
        <f t="shared" si="14"/>
        <v>1.1527496835053426E-3</v>
      </c>
      <c r="AJ74" s="112">
        <f t="shared" si="15"/>
        <v>1.1828026258390465E-3</v>
      </c>
      <c r="AK74" s="112">
        <f t="shared" si="16"/>
        <v>1.1899592713789425E-3</v>
      </c>
    </row>
    <row r="75" spans="15:37" x14ac:dyDescent="0.2">
      <c r="O75" s="85"/>
      <c r="P75" s="85"/>
      <c r="AG75" s="114">
        <f>_xll.qlCalendarAdvance(Calendar,AG74,"1d","mf",,Trigger)</f>
        <v>42902</v>
      </c>
      <c r="AH75" s="100">
        <f>_xll.qlDayCounterYearFraction(DayCounter,SettlementDate,AG75,,,Trigger)</f>
        <v>0.29166666666666669</v>
      </c>
      <c r="AI75" s="112">
        <f t="shared" si="14"/>
        <v>1.1527496835053426E-3</v>
      </c>
      <c r="AJ75" s="112">
        <f t="shared" si="15"/>
        <v>1.1854159251724122E-3</v>
      </c>
      <c r="AK75" s="112">
        <f t="shared" si="16"/>
        <v>1.192581878673437E-3</v>
      </c>
    </row>
    <row r="76" spans="15:37" x14ac:dyDescent="0.2">
      <c r="O76" s="85"/>
      <c r="P76" s="85"/>
      <c r="AG76" s="114">
        <f>_xll.qlCalendarAdvance(Calendar,AG75,"1d","mf",,Trigger)</f>
        <v>42905</v>
      </c>
      <c r="AH76" s="100">
        <f>_xll.qlDayCounterYearFraction(DayCounter,SettlementDate,AG76,,,Trigger)</f>
        <v>0.3</v>
      </c>
      <c r="AI76" s="112">
        <f t="shared" si="14"/>
        <v>1.1527496835053426E-3</v>
      </c>
      <c r="AJ76" s="112">
        <f t="shared" si="15"/>
        <v>1.1932558231725087E-3</v>
      </c>
      <c r="AK76" s="112">
        <f t="shared" si="16"/>
        <v>1.2004214629220348E-3</v>
      </c>
    </row>
    <row r="77" spans="15:37" x14ac:dyDescent="0.2">
      <c r="O77" s="85"/>
      <c r="P77" s="85"/>
      <c r="AG77" s="114">
        <f>_xll.qlCalendarAdvance(Calendar,AG76,"1d","mf",,Trigger)</f>
        <v>42906</v>
      </c>
      <c r="AH77" s="100">
        <f>_xll.qlDayCounterYearFraction(DayCounter,SettlementDate,AG77,,,Trigger)</f>
        <v>0.30277777777777776</v>
      </c>
      <c r="AI77" s="112">
        <f t="shared" si="14"/>
        <v>1.1527496835053426E-3</v>
      </c>
      <c r="AJ77" s="112">
        <f t="shared" si="15"/>
        <v>1.1958691225058744E-3</v>
      </c>
      <c r="AK77" s="112">
        <f t="shared" si="16"/>
        <v>1.2030252451266058E-3</v>
      </c>
    </row>
    <row r="78" spans="15:37" x14ac:dyDescent="0.2">
      <c r="O78" s="85"/>
      <c r="P78" s="85"/>
      <c r="AG78" s="114">
        <f>_xll.qlCalendarAdvance(Calendar,AG77,"1d","mf",,Trigger)</f>
        <v>42907</v>
      </c>
      <c r="AH78" s="100">
        <f>_xll.qlDayCounterYearFraction(DayCounter,SettlementDate,AG78,,,Trigger)</f>
        <v>0.30555555555555558</v>
      </c>
      <c r="AI78" s="112">
        <f t="shared" si="14"/>
        <v>1.1527496835053426E-3</v>
      </c>
      <c r="AJ78" s="112">
        <f t="shared" si="15"/>
        <v>1.19848242183924E-3</v>
      </c>
      <c r="AK78" s="112">
        <f t="shared" si="16"/>
        <v>1.2056243210586957E-3</v>
      </c>
    </row>
    <row r="79" spans="15:37" x14ac:dyDescent="0.2">
      <c r="O79" s="85"/>
      <c r="P79" s="85"/>
      <c r="AG79" s="114">
        <f>_xll.qlCalendarAdvance(Calendar,AG78,"1d","mf",,Trigger)</f>
        <v>42908</v>
      </c>
      <c r="AH79" s="100">
        <f>_xll.qlDayCounterYearFraction(DayCounter,SettlementDate,AG79,,,Trigger)</f>
        <v>0.30833333333333335</v>
      </c>
      <c r="AI79" s="112">
        <f t="shared" si="14"/>
        <v>1.1527496835053426E-3</v>
      </c>
      <c r="AJ79" s="112">
        <f t="shared" si="15"/>
        <v>1.2010957211726057E-3</v>
      </c>
      <c r="AK79" s="112">
        <f t="shared" si="16"/>
        <v>1.2082186907183051E-3</v>
      </c>
    </row>
    <row r="80" spans="15:37" x14ac:dyDescent="0.2">
      <c r="O80" s="85"/>
      <c r="P80" s="85"/>
      <c r="AG80" s="114">
        <f>_xll.qlCalendarAdvance(Calendar,AG79,"1d","mf",,Trigger)</f>
        <v>42909</v>
      </c>
      <c r="AH80" s="100">
        <f>_xll.qlDayCounterYearFraction(DayCounter,SettlementDate,AG80,,,Trigger)</f>
        <v>0.31111111111111112</v>
      </c>
      <c r="AI80" s="112">
        <f t="shared" si="14"/>
        <v>1.1527496835053426E-3</v>
      </c>
      <c r="AJ80" s="112">
        <f t="shared" si="15"/>
        <v>1.2037090205059711E-3</v>
      </c>
      <c r="AK80" s="112">
        <f t="shared" si="16"/>
        <v>1.2108083541054336E-3</v>
      </c>
    </row>
    <row r="81" spans="15:37" x14ac:dyDescent="0.2">
      <c r="O81" s="85"/>
      <c r="P81" s="85"/>
      <c r="AG81" s="114">
        <f>_xll.qlCalendarAdvance(Calendar,AG80,"1d","mf",,Trigger)</f>
        <v>42912</v>
      </c>
      <c r="AH81" s="100">
        <f>_xll.qlDayCounterYearFraction(DayCounter,SettlementDate,AG81,,,Trigger)</f>
        <v>0.31944444444444442</v>
      </c>
      <c r="AI81" s="112">
        <f t="shared" si="14"/>
        <v>1.1527496835053426E-3</v>
      </c>
      <c r="AJ81" s="112">
        <f t="shared" si="15"/>
        <v>1.2115489185060679E-3</v>
      </c>
      <c r="AK81" s="112">
        <f t="shared" si="16"/>
        <v>1.2185491066319342E-3</v>
      </c>
    </row>
    <row r="82" spans="15:37" x14ac:dyDescent="0.2">
      <c r="O82" s="85"/>
      <c r="P82" s="85"/>
      <c r="AG82" s="114">
        <f>_xll.qlCalendarAdvance(Calendar,AG81,"1d","mf",,Trigger)</f>
        <v>42913</v>
      </c>
      <c r="AH82" s="100">
        <f>_xll.qlDayCounterYearFraction(DayCounter,SettlementDate,AG82,,,Trigger)</f>
        <v>0.32222222222222224</v>
      </c>
      <c r="AI82" s="112">
        <f t="shared" si="14"/>
        <v>1.1527496835053426E-3</v>
      </c>
      <c r="AJ82" s="112">
        <f t="shared" si="15"/>
        <v>1.2141622178394335E-3</v>
      </c>
      <c r="AK82" s="112">
        <f t="shared" si="16"/>
        <v>1.2211199449291392E-3</v>
      </c>
    </row>
    <row r="83" spans="15:37" x14ac:dyDescent="0.2">
      <c r="O83" s="85"/>
      <c r="P83" s="85"/>
      <c r="AG83" s="114">
        <f>_xll.qlCalendarAdvance(Calendar,AG82,"1d","mf",,Trigger)</f>
        <v>42914</v>
      </c>
      <c r="AH83" s="100">
        <f>_xll.qlDayCounterYearFraction(DayCounter,SettlementDate,AG83,,,Trigger)</f>
        <v>0.32500000000000001</v>
      </c>
      <c r="AI83" s="112">
        <f t="shared" si="14"/>
        <v>1.1527496835053426E-3</v>
      </c>
      <c r="AJ83" s="112">
        <f t="shared" si="15"/>
        <v>1.2167755171727992E-3</v>
      </c>
      <c r="AK83" s="112">
        <f t="shared" si="16"/>
        <v>1.2236860769538633E-3</v>
      </c>
    </row>
    <row r="84" spans="15:37" x14ac:dyDescent="0.2">
      <c r="O84" s="85"/>
      <c r="P84" s="85"/>
      <c r="AG84" s="114">
        <f>_xll.qlCalendarAdvance(Calendar,AG83,"1d","mf",,Trigger)</f>
        <v>42915</v>
      </c>
      <c r="AH84" s="100">
        <f>_xll.qlDayCounterYearFraction(DayCounter,SettlementDate,AG84,,,Trigger)</f>
        <v>0.32777777777777778</v>
      </c>
      <c r="AI84" s="112">
        <f t="shared" si="14"/>
        <v>1.1527496835053426E-3</v>
      </c>
      <c r="AJ84" s="112">
        <f t="shared" si="15"/>
        <v>1.2193888165061646E-3</v>
      </c>
      <c r="AK84" s="112">
        <f t="shared" si="16"/>
        <v>1.226247502706107E-3</v>
      </c>
    </row>
    <row r="85" spans="15:37" x14ac:dyDescent="0.2">
      <c r="O85" s="85"/>
      <c r="P85" s="85"/>
      <c r="AG85" s="114">
        <f>_xll.qlCalendarAdvance(Calendar,AG84,"1d","mf",,Trigger)</f>
        <v>42916</v>
      </c>
      <c r="AH85" s="100">
        <f>_xll.qlDayCounterYearFraction(DayCounter,SettlementDate,AG85,,,Trigger)</f>
        <v>0.33055555555555555</v>
      </c>
      <c r="AI85" s="112">
        <f t="shared" si="14"/>
        <v>1.1527496835053426E-3</v>
      </c>
      <c r="AJ85" s="112">
        <f t="shared" si="15"/>
        <v>1.2220021158395303E-3</v>
      </c>
      <c r="AK85" s="112">
        <f t="shared" si="16"/>
        <v>1.2288042221858693E-3</v>
      </c>
    </row>
    <row r="86" spans="15:37" x14ac:dyDescent="0.2">
      <c r="O86" s="85"/>
      <c r="P86" s="85"/>
      <c r="AG86" s="114">
        <f>_xll.qlCalendarAdvance(Calendar,AG85,"1d","mf",,Trigger)</f>
        <v>42919</v>
      </c>
      <c r="AH86" s="100">
        <f>_xll.qlDayCounterYearFraction(DayCounter,SettlementDate,AG86,,,Trigger)</f>
        <v>0.33888888888888891</v>
      </c>
      <c r="AI86" s="112">
        <f t="shared" si="14"/>
        <v>1.1527496835053426E-3</v>
      </c>
      <c r="AJ86" s="112">
        <f t="shared" si="15"/>
        <v>1.229842013839627E-3</v>
      </c>
      <c r="AK86" s="112">
        <f t="shared" si="16"/>
        <v>1.2364461429902724E-3</v>
      </c>
    </row>
    <row r="87" spans="15:37" x14ac:dyDescent="0.2">
      <c r="O87" s="85"/>
      <c r="P87" s="85"/>
      <c r="AG87" s="114">
        <f>_xll.qlCalendarAdvance(Calendar,AG86,"1d","mf",,Trigger)</f>
        <v>42920</v>
      </c>
      <c r="AH87" s="100">
        <f>_xll.qlDayCounterYearFraction(DayCounter,SettlementDate,AG87,,,Trigger)</f>
        <v>0.34166666666666667</v>
      </c>
      <c r="AI87" s="112">
        <f t="shared" si="14"/>
        <v>1.1527496835053426E-3</v>
      </c>
      <c r="AJ87" s="112">
        <f t="shared" si="15"/>
        <v>1.2324553131729927E-3</v>
      </c>
      <c r="AK87" s="112">
        <f t="shared" si="16"/>
        <v>1.2389840373801116E-3</v>
      </c>
    </row>
    <row r="88" spans="15:37" x14ac:dyDescent="0.2">
      <c r="O88" s="85"/>
      <c r="P88" s="85"/>
      <c r="AG88" s="114">
        <f>_xll.qlCalendarAdvance(Calendar,AG87,"1d","mf",,Trigger)</f>
        <v>42921</v>
      </c>
      <c r="AH88" s="100">
        <f>_xll.qlDayCounterYearFraction(DayCounter,SettlementDate,AG88,,,Trigger)</f>
        <v>0.34444444444444444</v>
      </c>
      <c r="AI88" s="112">
        <f t="shared" si="14"/>
        <v>1.1527496835053426E-3</v>
      </c>
      <c r="AJ88" s="112">
        <f t="shared" si="15"/>
        <v>1.2350686125063583E-3</v>
      </c>
      <c r="AK88" s="112">
        <f t="shared" si="16"/>
        <v>1.24151722549747E-3</v>
      </c>
    </row>
    <row r="89" spans="15:37" x14ac:dyDescent="0.2">
      <c r="O89" s="85"/>
      <c r="P89" s="85"/>
      <c r="AG89" s="114">
        <f>_xll.qlCalendarAdvance(Calendar,AG88,"1d","mf",,Trigger)</f>
        <v>42922</v>
      </c>
      <c r="AH89" s="100">
        <f>_xll.qlDayCounterYearFraction(DayCounter,SettlementDate,AG89,,,Trigger)</f>
        <v>0.34722222222222221</v>
      </c>
      <c r="AI89" s="112">
        <f t="shared" si="14"/>
        <v>1.1527496835053426E-3</v>
      </c>
      <c r="AJ89" s="112">
        <f t="shared" si="15"/>
        <v>1.2376819118397238E-3</v>
      </c>
      <c r="AK89" s="112">
        <f t="shared" si="16"/>
        <v>1.2440457073423477E-3</v>
      </c>
    </row>
    <row r="90" spans="15:37" x14ac:dyDescent="0.2">
      <c r="O90" s="85"/>
      <c r="P90" s="85"/>
      <c r="AG90" s="114">
        <f>_xll.qlCalendarAdvance(Calendar,AG89,"1d","mf",,Trigger)</f>
        <v>42923</v>
      </c>
      <c r="AH90" s="100">
        <f>_xll.qlDayCounterYearFraction(DayCounter,SettlementDate,AG90,,,Trigger)</f>
        <v>0.35</v>
      </c>
      <c r="AI90" s="112">
        <f t="shared" si="14"/>
        <v>1.1527496835053426E-3</v>
      </c>
      <c r="AJ90" s="112">
        <f t="shared" si="15"/>
        <v>1.2402952111730894E-3</v>
      </c>
      <c r="AK90" s="112">
        <f t="shared" si="16"/>
        <v>1.2465694829147443E-3</v>
      </c>
    </row>
    <row r="91" spans="15:37" x14ac:dyDescent="0.2">
      <c r="O91" s="85"/>
      <c r="P91" s="85"/>
      <c r="AG91" s="114">
        <f>_xll.qlCalendarAdvance(Calendar,AG90,"1d","mf",,Trigger)</f>
        <v>42926</v>
      </c>
      <c r="AH91" s="100">
        <f>_xll.qlDayCounterYearFraction(DayCounter,SettlementDate,AG91,,,Trigger)</f>
        <v>0.35833333333333334</v>
      </c>
      <c r="AI91" s="112">
        <f t="shared" si="14"/>
        <v>1.1527496835053426E-3</v>
      </c>
      <c r="AJ91" s="112">
        <f t="shared" si="15"/>
        <v>1.2481351091731862E-3</v>
      </c>
      <c r="AK91" s="112">
        <f t="shared" si="16"/>
        <v>1.2541125719970497E-3</v>
      </c>
    </row>
    <row r="92" spans="15:37" x14ac:dyDescent="0.2">
      <c r="O92" s="85"/>
      <c r="P92" s="85"/>
      <c r="AG92" s="114">
        <f>_xll.qlCalendarAdvance(Calendar,AG91,"1d","mf",,Trigger)</f>
        <v>42927</v>
      </c>
      <c r="AH92" s="100">
        <f>_xll.qlDayCounterYearFraction(DayCounter,SettlementDate,AG92,,,Trigger)</f>
        <v>0.3611111111111111</v>
      </c>
      <c r="AI92" s="112">
        <f t="shared" si="14"/>
        <v>1.1527496835053426E-3</v>
      </c>
      <c r="AJ92" s="112">
        <f t="shared" si="15"/>
        <v>1.2507484085065518E-3</v>
      </c>
      <c r="AK92" s="112">
        <f t="shared" si="16"/>
        <v>1.2566175224795232E-3</v>
      </c>
    </row>
    <row r="93" spans="15:37" x14ac:dyDescent="0.2">
      <c r="O93" s="85"/>
      <c r="P93" s="85"/>
      <c r="AG93" s="114">
        <f>_xll.qlCalendarAdvance(Calendar,AG92,"1d","mf",,Trigger)</f>
        <v>42928</v>
      </c>
      <c r="AH93" s="100">
        <f>_xll.qlDayCounterYearFraction(DayCounter,SettlementDate,AG93,,,Trigger)</f>
        <v>0.36388888888888887</v>
      </c>
      <c r="AI93" s="112">
        <f t="shared" si="14"/>
        <v>1.1527496835053426E-3</v>
      </c>
      <c r="AJ93" s="112">
        <f t="shared" si="15"/>
        <v>1.2533617078399173E-3</v>
      </c>
      <c r="AK93" s="112">
        <f t="shared" si="16"/>
        <v>1.2591177666895156E-3</v>
      </c>
    </row>
    <row r="94" spans="15:37" x14ac:dyDescent="0.2">
      <c r="O94" s="85"/>
      <c r="P94" s="85"/>
      <c r="AG94" s="114">
        <f>_xll.qlCalendarAdvance(Calendar,AG93,"1d","mf",,Trigger)</f>
        <v>42929</v>
      </c>
      <c r="AH94" s="100">
        <f>_xll.qlDayCounterYearFraction(DayCounter,SettlementDate,AG94,,,Trigger)</f>
        <v>0.36666666666666664</v>
      </c>
      <c r="AI94" s="112">
        <f t="shared" si="14"/>
        <v>1.1527496835053426E-3</v>
      </c>
      <c r="AJ94" s="112">
        <f t="shared" si="15"/>
        <v>1.2559750071732829E-3</v>
      </c>
      <c r="AK94" s="112">
        <f t="shared" si="16"/>
        <v>1.2616133046270276E-3</v>
      </c>
    </row>
    <row r="95" spans="15:37" x14ac:dyDescent="0.2">
      <c r="O95" s="85"/>
      <c r="P95" s="85"/>
      <c r="AG95" s="114">
        <f>_xll.qlCalendarAdvance(Calendar,AG94,"1d","mf",,Trigger)</f>
        <v>42930</v>
      </c>
      <c r="AH95" s="100">
        <f>_xll.qlDayCounterYearFraction(DayCounter,SettlementDate,AG95,,,Trigger)</f>
        <v>0.36944444444444446</v>
      </c>
      <c r="AI95" s="112">
        <f t="shared" si="14"/>
        <v>1.1527496835053426E-3</v>
      </c>
      <c r="AJ95" s="112">
        <f t="shared" si="15"/>
        <v>1.2585883065066486E-3</v>
      </c>
      <c r="AK95" s="112">
        <f t="shared" si="16"/>
        <v>1.2641041362920584E-3</v>
      </c>
    </row>
    <row r="96" spans="15:37" x14ac:dyDescent="0.2">
      <c r="O96" s="85"/>
      <c r="P96" s="85"/>
      <c r="AG96" s="114">
        <f>_xll.qlCalendarAdvance(Calendar,AG95,"1d","mf",,Trigger)</f>
        <v>42933</v>
      </c>
      <c r="AH96" s="100">
        <f>_xll.qlDayCounterYearFraction(DayCounter,SettlementDate,AG96,,,Trigger)</f>
        <v>0.37777777777777777</v>
      </c>
      <c r="AI96" s="112">
        <f t="shared" si="14"/>
        <v>1.1527496835053426E-3</v>
      </c>
      <c r="AJ96" s="112">
        <f t="shared" si="15"/>
        <v>1.2664282045067453E-3</v>
      </c>
      <c r="AK96" s="112">
        <f t="shared" si="16"/>
        <v>1.2715483936522661E-3</v>
      </c>
    </row>
    <row r="97" spans="15:37" x14ac:dyDescent="0.2">
      <c r="O97" s="85"/>
      <c r="P97" s="85"/>
      <c r="AG97" s="114">
        <f>_xll.qlCalendarAdvance(Calendar,AG96,"1d","mf",,Trigger)</f>
        <v>42934</v>
      </c>
      <c r="AH97" s="100">
        <f>_xll.qlDayCounterYearFraction(DayCounter,SettlementDate,AG97,,,Trigger)</f>
        <v>0.38055555555555554</v>
      </c>
      <c r="AI97" s="112">
        <f t="shared" si="14"/>
        <v>1.1527496835053426E-3</v>
      </c>
      <c r="AJ97" s="112">
        <f t="shared" si="15"/>
        <v>1.2690415038401107E-3</v>
      </c>
      <c r="AK97" s="112">
        <f t="shared" si="16"/>
        <v>1.2740204002273737E-3</v>
      </c>
    </row>
    <row r="98" spans="15:37" x14ac:dyDescent="0.2">
      <c r="O98" s="85"/>
      <c r="P98" s="85"/>
      <c r="AG98" s="114">
        <f>_xll.qlCalendarAdvance(Calendar,AG97,"1d","mf",,Trigger)</f>
        <v>42935</v>
      </c>
      <c r="AH98" s="100">
        <f>_xll.qlDayCounterYearFraction(DayCounter,SettlementDate,AG98,,,Trigger)</f>
        <v>0.38333333333333336</v>
      </c>
      <c r="AI98" s="112">
        <f t="shared" si="14"/>
        <v>1.1527496835053426E-3</v>
      </c>
      <c r="AJ98" s="112">
        <f t="shared" si="15"/>
        <v>1.2716548031734764E-3</v>
      </c>
      <c r="AK98" s="112">
        <f t="shared" si="16"/>
        <v>1.2764877005300003E-3</v>
      </c>
    </row>
    <row r="99" spans="15:37" x14ac:dyDescent="0.2">
      <c r="O99" s="85"/>
      <c r="P99" s="85"/>
      <c r="AG99" s="114">
        <f>_xll.qlCalendarAdvance(Calendar,AG98,"1d","mf",,Trigger)</f>
        <v>42936</v>
      </c>
      <c r="AH99" s="100">
        <f>_xll.qlDayCounterYearFraction(DayCounter,SettlementDate,AG99,,,Trigger)</f>
        <v>0.38611111111111113</v>
      </c>
      <c r="AI99" s="112">
        <f t="shared" ref="AI99:AI132" si="17">$X$15</f>
        <v>1.1527496835053426E-3</v>
      </c>
      <c r="AJ99" s="112">
        <f t="shared" ref="AJ99:AJ132" si="18">$X$10+$X$9*AH99</f>
        <v>1.274268102506842E-3</v>
      </c>
      <c r="AK99" s="112">
        <f t="shared" ref="AK99:AK132" si="19">($X$5+$X$4*AH99+$X$3*AH99^2)</f>
        <v>1.2789502945601463E-3</v>
      </c>
    </row>
    <row r="100" spans="15:37" x14ac:dyDescent="0.2">
      <c r="O100" s="85"/>
      <c r="P100" s="85"/>
      <c r="AG100" s="114">
        <f>_xll.qlCalendarAdvance(Calendar,AG99,"1d","mf",,Trigger)</f>
        <v>42937</v>
      </c>
      <c r="AH100" s="100">
        <f>_xll.qlDayCounterYearFraction(DayCounter,SettlementDate,AG100,,,Trigger)</f>
        <v>0.3888888888888889</v>
      </c>
      <c r="AI100" s="112">
        <f t="shared" si="17"/>
        <v>1.1527496835053426E-3</v>
      </c>
      <c r="AJ100" s="112">
        <f t="shared" si="18"/>
        <v>1.2768814018402075E-3</v>
      </c>
      <c r="AK100" s="112">
        <f t="shared" si="19"/>
        <v>1.2814081823178114E-3</v>
      </c>
    </row>
    <row r="101" spans="15:37" x14ac:dyDescent="0.2">
      <c r="O101" s="85"/>
      <c r="P101" s="85"/>
      <c r="AG101" s="114">
        <f>_xll.qlCalendarAdvance(Calendar,AG100,"1d","mf",,Trigger)</f>
        <v>42940</v>
      </c>
      <c r="AH101" s="100">
        <f>_xll.qlDayCounterYearFraction(DayCounter,SettlementDate,AG101,,,Trigger)</f>
        <v>0.3972222222222222</v>
      </c>
      <c r="AI101" s="112">
        <f t="shared" si="17"/>
        <v>1.1527496835053426E-3</v>
      </c>
      <c r="AJ101" s="112">
        <f t="shared" si="18"/>
        <v>1.2847212998403044E-3</v>
      </c>
      <c r="AK101" s="112">
        <f t="shared" si="19"/>
        <v>1.2887536079559216E-3</v>
      </c>
    </row>
    <row r="102" spans="15:37" x14ac:dyDescent="0.2">
      <c r="O102" s="85"/>
      <c r="P102" s="85"/>
      <c r="AG102" s="114">
        <f>_xll.qlCalendarAdvance(Calendar,AG101,"1d","mf",,Trigger)</f>
        <v>42941</v>
      </c>
      <c r="AH102" s="100">
        <f>_xll.qlDayCounterYearFraction(DayCounter,SettlementDate,AG102,,,Trigger)</f>
        <v>0.4</v>
      </c>
      <c r="AI102" s="112">
        <f t="shared" si="17"/>
        <v>1.1527496835053426E-3</v>
      </c>
      <c r="AJ102" s="112">
        <f t="shared" si="18"/>
        <v>1.2873345991736699E-3</v>
      </c>
      <c r="AK102" s="112">
        <f t="shared" si="19"/>
        <v>1.2911926706236634E-3</v>
      </c>
    </row>
    <row r="103" spans="15:37" x14ac:dyDescent="0.2">
      <c r="O103" s="85"/>
      <c r="P103" s="85"/>
      <c r="AG103" s="114">
        <f>_xll.qlCalendarAdvance(Calendar,AG102,"1d","mf",,Trigger)</f>
        <v>42942</v>
      </c>
      <c r="AH103" s="100">
        <f>_xll.qlDayCounterYearFraction(DayCounter,SettlementDate,AG103,,,Trigger)</f>
        <v>0.40277777777777779</v>
      </c>
      <c r="AI103" s="112">
        <f t="shared" si="17"/>
        <v>1.1527496835053426E-3</v>
      </c>
      <c r="AJ103" s="112">
        <f t="shared" si="18"/>
        <v>1.2899478985070355E-3</v>
      </c>
      <c r="AK103" s="112">
        <f t="shared" si="19"/>
        <v>1.2936270270189241E-3</v>
      </c>
    </row>
    <row r="104" spans="15:37" x14ac:dyDescent="0.2">
      <c r="O104" s="85"/>
      <c r="P104" s="85"/>
      <c r="AG104" s="114">
        <f>_xll.qlCalendarAdvance(Calendar,AG103,"1d","mf",,Trigger)</f>
        <v>42943</v>
      </c>
      <c r="AH104" s="100">
        <f>_xll.qlDayCounterYearFraction(DayCounter,SettlementDate,AG104,,,Trigger)</f>
        <v>0.40555555555555556</v>
      </c>
      <c r="AI104" s="112">
        <f t="shared" si="17"/>
        <v>1.1527496835053426E-3</v>
      </c>
      <c r="AJ104" s="112">
        <f t="shared" si="18"/>
        <v>1.292561197840401E-3</v>
      </c>
      <c r="AK104" s="112">
        <f t="shared" si="19"/>
        <v>1.2960566771417043E-3</v>
      </c>
    </row>
    <row r="105" spans="15:37" x14ac:dyDescent="0.2">
      <c r="O105" s="85"/>
      <c r="P105" s="85"/>
      <c r="AG105" s="114">
        <f>_xll.qlCalendarAdvance(Calendar,AG104,"1d","mf",,Trigger)</f>
        <v>42944</v>
      </c>
      <c r="AH105" s="100">
        <f>_xll.qlDayCounterYearFraction(DayCounter,SettlementDate,AG105,,,Trigger)</f>
        <v>0.40833333333333333</v>
      </c>
      <c r="AI105" s="112">
        <f t="shared" si="17"/>
        <v>1.1527496835053426E-3</v>
      </c>
      <c r="AJ105" s="112">
        <f t="shared" si="18"/>
        <v>1.2951744971737666E-3</v>
      </c>
      <c r="AK105" s="112">
        <f t="shared" si="19"/>
        <v>1.2984816209920035E-3</v>
      </c>
    </row>
    <row r="106" spans="15:37" x14ac:dyDescent="0.2">
      <c r="O106" s="85"/>
      <c r="P106" s="85"/>
      <c r="AG106" s="114">
        <f>_xll.qlCalendarAdvance(Calendar,AG105,"1d","mf",,Trigger)</f>
        <v>42947</v>
      </c>
      <c r="AH106" s="100">
        <f>_xll.qlDayCounterYearFraction(DayCounter,SettlementDate,AG106,,,Trigger)</f>
        <v>0.41666666666666669</v>
      </c>
      <c r="AI106" s="112">
        <f t="shared" si="17"/>
        <v>1.1527496835053426E-3</v>
      </c>
      <c r="AJ106" s="112">
        <f t="shared" si="18"/>
        <v>1.3030143951738636E-3</v>
      </c>
      <c r="AK106" s="112">
        <f t="shared" si="19"/>
        <v>1.3057282149080162E-3</v>
      </c>
    </row>
    <row r="107" spans="15:37" x14ac:dyDescent="0.2">
      <c r="O107" s="85"/>
      <c r="P107" s="85"/>
      <c r="AG107" s="114">
        <f>_xll.qlCalendarAdvance(Calendar,AG106,"1d","mf",,Trigger)</f>
        <v>42948</v>
      </c>
      <c r="AH107" s="100">
        <f>_xll.qlDayCounterYearFraction(DayCounter,SettlementDate,AG107,,,Trigger)</f>
        <v>0.41944444444444445</v>
      </c>
      <c r="AI107" s="112">
        <f t="shared" si="17"/>
        <v>1.1527496835053426E-3</v>
      </c>
      <c r="AJ107" s="112">
        <f t="shared" si="18"/>
        <v>1.305627694507229E-3</v>
      </c>
      <c r="AK107" s="112">
        <f t="shared" si="19"/>
        <v>1.308134333668392E-3</v>
      </c>
    </row>
    <row r="108" spans="15:37" x14ac:dyDescent="0.2">
      <c r="O108" s="85"/>
      <c r="P108" s="85"/>
      <c r="AG108" s="114">
        <f>_xll.qlCalendarAdvance(Calendar,AG107,"1d","mf",,Trigger)</f>
        <v>42949</v>
      </c>
      <c r="AH108" s="100">
        <f>_xll.qlDayCounterYearFraction(DayCounter,SettlementDate,AG108,,,Trigger)</f>
        <v>0.42222222222222222</v>
      </c>
      <c r="AI108" s="112">
        <f t="shared" si="17"/>
        <v>1.1527496835053426E-3</v>
      </c>
      <c r="AJ108" s="112">
        <f t="shared" si="18"/>
        <v>1.3082409938405947E-3</v>
      </c>
      <c r="AK108" s="112">
        <f t="shared" si="19"/>
        <v>1.310535746156287E-3</v>
      </c>
    </row>
    <row r="109" spans="15:37" x14ac:dyDescent="0.2">
      <c r="O109" s="85"/>
      <c r="P109" s="85"/>
      <c r="AG109" s="114">
        <f>_xll.qlCalendarAdvance(Calendar,AG108,"1d","mf",,Trigger)</f>
        <v>42950</v>
      </c>
      <c r="AH109" s="100">
        <f>_xll.qlDayCounterYearFraction(DayCounter,SettlementDate,AG109,,,Trigger)</f>
        <v>0.42499999999999999</v>
      </c>
      <c r="AI109" s="112">
        <f t="shared" si="17"/>
        <v>1.1527496835053426E-3</v>
      </c>
      <c r="AJ109" s="112">
        <f t="shared" si="18"/>
        <v>1.3108542931739601E-3</v>
      </c>
      <c r="AK109" s="112">
        <f t="shared" si="19"/>
        <v>1.3129324523717015E-3</v>
      </c>
    </row>
    <row r="110" spans="15:37" x14ac:dyDescent="0.2">
      <c r="O110" s="85"/>
      <c r="P110" s="85"/>
      <c r="AG110" s="114">
        <f>_xll.qlCalendarAdvance(Calendar,AG109,"1d","mf",,Trigger)</f>
        <v>42951</v>
      </c>
      <c r="AH110" s="100">
        <f>_xll.qlDayCounterYearFraction(DayCounter,SettlementDate,AG110,,,Trigger)</f>
        <v>0.42777777777777776</v>
      </c>
      <c r="AI110" s="112">
        <f t="shared" si="17"/>
        <v>1.1527496835053426E-3</v>
      </c>
      <c r="AJ110" s="112">
        <f t="shared" si="18"/>
        <v>1.3134675925073258E-3</v>
      </c>
      <c r="AK110" s="112">
        <f t="shared" si="19"/>
        <v>1.3153244523146346E-3</v>
      </c>
    </row>
    <row r="111" spans="15:37" x14ac:dyDescent="0.2">
      <c r="O111" s="85"/>
      <c r="P111" s="85"/>
      <c r="AG111" s="114">
        <f>_xll.qlCalendarAdvance(Calendar,AG110,"1d","mf",,Trigger)</f>
        <v>42954</v>
      </c>
      <c r="AH111" s="100">
        <f>_xll.qlDayCounterYearFraction(DayCounter,SettlementDate,AG111,,,Trigger)</f>
        <v>0.43611111111111112</v>
      </c>
      <c r="AI111" s="112">
        <f t="shared" si="17"/>
        <v>1.1527496835053426E-3</v>
      </c>
      <c r="AJ111" s="112">
        <f t="shared" si="18"/>
        <v>1.3213074905074225E-3</v>
      </c>
      <c r="AK111" s="112">
        <f t="shared" si="19"/>
        <v>1.3224722145085499E-3</v>
      </c>
    </row>
    <row r="112" spans="15:37" x14ac:dyDescent="0.2">
      <c r="O112" s="85"/>
      <c r="P112" s="85"/>
      <c r="AG112" s="114">
        <f>_xll.qlCalendarAdvance(Calendar,AG111,"1d","mf",,Trigger)</f>
        <v>42955</v>
      </c>
      <c r="AH112" s="100">
        <f>_xll.qlDayCounterYearFraction(DayCounter,SettlementDate,AG112,,,Trigger)</f>
        <v>0.43888888888888888</v>
      </c>
      <c r="AI112" s="112">
        <f t="shared" si="17"/>
        <v>1.1527496835053426E-3</v>
      </c>
      <c r="AJ112" s="112">
        <f t="shared" si="18"/>
        <v>1.3239207898407882E-3</v>
      </c>
      <c r="AK112" s="112">
        <f t="shared" si="19"/>
        <v>1.3248453893615598E-3</v>
      </c>
    </row>
    <row r="113" spans="15:37" x14ac:dyDescent="0.2">
      <c r="O113" s="85"/>
      <c r="P113" s="85"/>
      <c r="AG113" s="114">
        <f>_xll.qlCalendarAdvance(Calendar,AG112,"1d","mf",,Trigger)</f>
        <v>42956</v>
      </c>
      <c r="AH113" s="100">
        <f>_xll.qlDayCounterYearFraction(DayCounter,SettlementDate,AG113,,,Trigger)</f>
        <v>0.44166666666666665</v>
      </c>
      <c r="AI113" s="112">
        <f t="shared" si="17"/>
        <v>1.1527496835053426E-3</v>
      </c>
      <c r="AJ113" s="112">
        <f t="shared" si="18"/>
        <v>1.3265340891741536E-3</v>
      </c>
      <c r="AK113" s="112">
        <f t="shared" si="19"/>
        <v>1.3272138579420889E-3</v>
      </c>
    </row>
    <row r="114" spans="15:37" x14ac:dyDescent="0.2">
      <c r="O114" s="85"/>
      <c r="P114" s="85"/>
      <c r="AG114" s="114">
        <f>_xll.qlCalendarAdvance(Calendar,AG113,"1d","mf",,Trigger)</f>
        <v>42957</v>
      </c>
      <c r="AH114" s="100">
        <f>_xll.qlDayCounterYearFraction(DayCounter,SettlementDate,AG114,,,Trigger)</f>
        <v>0.44444444444444442</v>
      </c>
      <c r="AI114" s="112">
        <f t="shared" si="17"/>
        <v>1.1527496835053426E-3</v>
      </c>
      <c r="AJ114" s="112">
        <f t="shared" si="18"/>
        <v>1.3291473885075193E-3</v>
      </c>
      <c r="AK114" s="112">
        <f t="shared" si="19"/>
        <v>1.3295776202501375E-3</v>
      </c>
    </row>
    <row r="115" spans="15:37" x14ac:dyDescent="0.2">
      <c r="O115" s="86"/>
      <c r="P115" s="85"/>
      <c r="AG115" s="114">
        <f>_xll.qlCalendarAdvance(Calendar,AG114,"1d","mf",,Trigger)</f>
        <v>42958</v>
      </c>
      <c r="AH115" s="100">
        <f>_xll.qlDayCounterYearFraction(DayCounter,SettlementDate,AG115,,,Trigger)</f>
        <v>0.44722222222222224</v>
      </c>
      <c r="AI115" s="112">
        <f t="shared" si="17"/>
        <v>1.1527496835053426E-3</v>
      </c>
      <c r="AJ115" s="112">
        <f t="shared" si="18"/>
        <v>1.3317606878408849E-3</v>
      </c>
      <c r="AK115" s="112">
        <f t="shared" si="19"/>
        <v>1.3319366762857049E-3</v>
      </c>
    </row>
    <row r="116" spans="15:37" x14ac:dyDescent="0.2">
      <c r="O116" s="86"/>
      <c r="P116" s="85"/>
      <c r="AG116" s="114">
        <f>_xll.qlCalendarAdvance(Calendar,AG115,"1d","mf",,Trigger)</f>
        <v>42961</v>
      </c>
      <c r="AH116" s="100">
        <f>_xll.qlDayCounterYearFraction(DayCounter,SettlementDate,AG116,,,Trigger)</f>
        <v>0.45555555555555555</v>
      </c>
      <c r="AI116" s="112">
        <f t="shared" si="17"/>
        <v>1.1527496835053426E-3</v>
      </c>
      <c r="AJ116" s="112">
        <f t="shared" si="18"/>
        <v>1.3396005858409817E-3</v>
      </c>
      <c r="AK116" s="112">
        <f t="shared" si="19"/>
        <v>1.3389856067575225E-3</v>
      </c>
    </row>
    <row r="117" spans="15:37" x14ac:dyDescent="0.2">
      <c r="O117" s="86"/>
      <c r="P117" s="85"/>
      <c r="AG117" s="114">
        <f>_xll.qlCalendarAdvance(Calendar,AG116,"1d","mf",,Trigger)</f>
        <v>42962</v>
      </c>
      <c r="AH117" s="100">
        <f>_xll.qlDayCounterYearFraction(DayCounter,SettlementDate,AG117,,,Trigger)</f>
        <v>0.45833333333333331</v>
      </c>
      <c r="AI117" s="112">
        <f t="shared" si="17"/>
        <v>1.1527496835053426E-3</v>
      </c>
      <c r="AJ117" s="112">
        <f t="shared" si="18"/>
        <v>1.3422138851743471E-3</v>
      </c>
      <c r="AK117" s="112">
        <f t="shared" si="19"/>
        <v>1.3413258377031666E-3</v>
      </c>
    </row>
    <row r="118" spans="15:37" x14ac:dyDescent="0.2">
      <c r="O118" s="86"/>
      <c r="P118" s="85"/>
      <c r="AG118" s="114">
        <f>_xll.qlCalendarAdvance(Calendar,AG117,"1d","mf",,Trigger)</f>
        <v>42963</v>
      </c>
      <c r="AH118" s="100">
        <f>_xll.qlDayCounterYearFraction(DayCounter,SettlementDate,AG118,,,Trigger)</f>
        <v>0.46111111111111114</v>
      </c>
      <c r="AI118" s="112">
        <f t="shared" si="17"/>
        <v>1.1527496835053426E-3</v>
      </c>
      <c r="AJ118" s="112">
        <f t="shared" si="18"/>
        <v>1.3448271845077128E-3</v>
      </c>
      <c r="AK118" s="112">
        <f t="shared" si="19"/>
        <v>1.34366136237633E-3</v>
      </c>
    </row>
    <row r="119" spans="15:37" x14ac:dyDescent="0.2">
      <c r="O119" s="86"/>
      <c r="P119" s="85"/>
      <c r="AG119" s="114">
        <f>_xll.qlCalendarAdvance(Calendar,AG118,"1d","mf",,Trigger)</f>
        <v>42964</v>
      </c>
      <c r="AH119" s="100">
        <f>_xll.qlDayCounterYearFraction(DayCounter,SettlementDate,AG119,,,Trigger)</f>
        <v>0.46388888888888891</v>
      </c>
      <c r="AI119" s="112">
        <f t="shared" si="17"/>
        <v>1.1527496835053426E-3</v>
      </c>
      <c r="AJ119" s="112">
        <f t="shared" si="18"/>
        <v>1.3474404838410784E-3</v>
      </c>
      <c r="AK119" s="112">
        <f t="shared" si="19"/>
        <v>1.3459921807770126E-3</v>
      </c>
    </row>
    <row r="120" spans="15:37" x14ac:dyDescent="0.2">
      <c r="O120" s="86"/>
      <c r="P120" s="85"/>
      <c r="AG120" s="114">
        <f>_xll.qlCalendarAdvance(Calendar,AG119,"1d","mf",,Trigger)</f>
        <v>42965</v>
      </c>
      <c r="AH120" s="100">
        <f>_xll.qlDayCounterYearFraction(DayCounter,SettlementDate,AG120,,,Trigger)</f>
        <v>0.46666666666666667</v>
      </c>
      <c r="AI120" s="112">
        <f t="shared" si="17"/>
        <v>1.1527496835053426E-3</v>
      </c>
      <c r="AJ120" s="112">
        <f t="shared" si="18"/>
        <v>1.3500537831744441E-3</v>
      </c>
      <c r="AK120" s="112">
        <f t="shared" si="19"/>
        <v>1.3483182929052142E-3</v>
      </c>
    </row>
    <row r="121" spans="15:37" x14ac:dyDescent="0.2">
      <c r="O121" s="86"/>
      <c r="P121" s="86"/>
      <c r="AG121" s="114">
        <f>_xll.qlCalendarAdvance(Calendar,AG120,"1d","mf",,Trigger)</f>
        <v>42968</v>
      </c>
      <c r="AH121" s="100">
        <f>_xll.qlDayCounterYearFraction(DayCounter,SettlementDate,AG121,,,Trigger)</f>
        <v>0.47499999999999998</v>
      </c>
      <c r="AI121" s="112">
        <f t="shared" si="17"/>
        <v>1.1527496835053426E-3</v>
      </c>
      <c r="AJ121" s="112">
        <f t="shared" si="18"/>
        <v>1.3578936811745408E-3</v>
      </c>
      <c r="AK121" s="112">
        <f t="shared" si="19"/>
        <v>1.3552683916549341E-3</v>
      </c>
    </row>
    <row r="122" spans="15:37" x14ac:dyDescent="0.2">
      <c r="O122" s="86"/>
      <c r="P122" s="86"/>
      <c r="AG122" s="114">
        <f>_xll.qlCalendarAdvance(Calendar,AG121,"1d","mf",,Trigger)</f>
        <v>42969</v>
      </c>
      <c r="AH122" s="100">
        <f>_xll.qlDayCounterYearFraction(DayCounter,SettlementDate,AG122,,,Trigger)</f>
        <v>0.4777777777777778</v>
      </c>
      <c r="AI122" s="112">
        <f t="shared" si="17"/>
        <v>1.1527496835053426E-3</v>
      </c>
      <c r="AJ122" s="112">
        <f t="shared" si="18"/>
        <v>1.3605069805079062E-3</v>
      </c>
      <c r="AK122" s="112">
        <f t="shared" si="19"/>
        <v>1.3575756786932125E-3</v>
      </c>
    </row>
    <row r="123" spans="15:37" x14ac:dyDescent="0.2">
      <c r="O123" s="86"/>
      <c r="P123" s="86"/>
      <c r="AG123" s="114">
        <f>_xll.qlCalendarAdvance(Calendar,AG122,"1d","mf",,Trigger)</f>
        <v>42970</v>
      </c>
      <c r="AH123" s="100">
        <f>_xll.qlDayCounterYearFraction(DayCounter,SettlementDate,AG123,,,Trigger)</f>
        <v>0.48055555555555557</v>
      </c>
      <c r="AI123" s="112">
        <f t="shared" si="17"/>
        <v>1.1527496835053426E-3</v>
      </c>
      <c r="AJ123" s="112">
        <f t="shared" si="18"/>
        <v>1.3631202798412719E-3</v>
      </c>
      <c r="AK123" s="112">
        <f t="shared" si="19"/>
        <v>1.35987825945901E-3</v>
      </c>
    </row>
    <row r="124" spans="15:37" x14ac:dyDescent="0.2">
      <c r="O124" s="86"/>
      <c r="P124" s="86"/>
      <c r="AG124" s="114">
        <f>_xll.qlCalendarAdvance(Calendar,AG123,"1d","mf",,Trigger)</f>
        <v>42971</v>
      </c>
      <c r="AH124" s="100">
        <f>_xll.qlDayCounterYearFraction(DayCounter,SettlementDate,AG124,,,Trigger)</f>
        <v>0.48333333333333334</v>
      </c>
      <c r="AI124" s="112">
        <f t="shared" si="17"/>
        <v>1.1527496835053426E-3</v>
      </c>
      <c r="AJ124" s="112">
        <f t="shared" si="18"/>
        <v>1.3657335791746376E-3</v>
      </c>
      <c r="AK124" s="112">
        <f t="shared" si="19"/>
        <v>1.362176133952327E-3</v>
      </c>
    </row>
    <row r="125" spans="15:37" x14ac:dyDescent="0.2">
      <c r="O125" s="86"/>
      <c r="P125" s="86"/>
      <c r="AG125" s="114">
        <f>_xll.qlCalendarAdvance(Calendar,AG124,"1d","mf",,Trigger)</f>
        <v>42972</v>
      </c>
      <c r="AH125" s="100">
        <f>_xll.qlDayCounterYearFraction(DayCounter,SettlementDate,AG125,,,Trigger)</f>
        <v>0.4861111111111111</v>
      </c>
      <c r="AI125" s="112">
        <f t="shared" si="17"/>
        <v>1.1527496835053426E-3</v>
      </c>
      <c r="AJ125" s="112">
        <f t="shared" si="18"/>
        <v>1.3683468785080032E-3</v>
      </c>
      <c r="AK125" s="112">
        <f t="shared" si="19"/>
        <v>1.3644693021731627E-3</v>
      </c>
    </row>
    <row r="126" spans="15:37" x14ac:dyDescent="0.2">
      <c r="O126" s="86"/>
      <c r="P126" s="86"/>
      <c r="AG126" s="114">
        <f>_xll.qlCalendarAdvance(Calendar,AG125,"1d","mf",,Trigger)</f>
        <v>42975</v>
      </c>
      <c r="AH126" s="100">
        <f>_xll.qlDayCounterYearFraction(DayCounter,SettlementDate,AG126,,,Trigger)</f>
        <v>0.49444444444444446</v>
      </c>
      <c r="AI126" s="112">
        <f t="shared" si="17"/>
        <v>1.1527496835053426E-3</v>
      </c>
      <c r="AJ126" s="112">
        <f t="shared" si="18"/>
        <v>1.3761867765081E-3</v>
      </c>
      <c r="AK126" s="112">
        <f t="shared" si="19"/>
        <v>1.3713205692007853E-3</v>
      </c>
    </row>
    <row r="127" spans="15:37" x14ac:dyDescent="0.2">
      <c r="O127" s="86"/>
      <c r="P127" s="86"/>
      <c r="AG127" s="114">
        <f>_xll.qlCalendarAdvance(Calendar,AG126,"1d","mf",,Trigger)</f>
        <v>42976</v>
      </c>
      <c r="AH127" s="100">
        <f>_xll.qlDayCounterYearFraction(DayCounter,SettlementDate,AG127,,,Trigger)</f>
        <v>0.49722222222222223</v>
      </c>
      <c r="AI127" s="112">
        <f t="shared" si="17"/>
        <v>1.1527496835053426E-3</v>
      </c>
      <c r="AJ127" s="112">
        <f t="shared" si="18"/>
        <v>1.3788000758414654E-3</v>
      </c>
      <c r="AK127" s="112">
        <f t="shared" si="19"/>
        <v>1.3735949123316975E-3</v>
      </c>
    </row>
    <row r="128" spans="15:37" x14ac:dyDescent="0.2">
      <c r="O128" s="86"/>
      <c r="P128" s="86"/>
      <c r="AG128" s="114">
        <f>_xll.qlCalendarAdvance(Calendar,AG127,"1d","mf",,Trigger)</f>
        <v>42977</v>
      </c>
      <c r="AH128" s="100">
        <f>_xll.qlDayCounterYearFraction(DayCounter,SettlementDate,AG128,,,Trigger)</f>
        <v>0.5</v>
      </c>
      <c r="AI128" s="112">
        <f t="shared" si="17"/>
        <v>1.1527496835053426E-3</v>
      </c>
      <c r="AJ128" s="112">
        <f t="shared" si="18"/>
        <v>1.381413375174831E-3</v>
      </c>
      <c r="AK128" s="112">
        <f t="shared" si="19"/>
        <v>1.3758645491901292E-3</v>
      </c>
    </row>
    <row r="129" spans="15:37" x14ac:dyDescent="0.2">
      <c r="O129" s="86"/>
      <c r="P129" s="86"/>
      <c r="AG129" s="114">
        <f>_xll.qlCalendarAdvance(Calendar,AG128,"1d","mf",,Trigger)</f>
        <v>42978</v>
      </c>
      <c r="AH129" s="100">
        <f>_xll.qlDayCounterYearFraction(DayCounter,SettlementDate,AG129,,,Trigger)</f>
        <v>0.50277777777777777</v>
      </c>
      <c r="AI129" s="112">
        <f t="shared" si="17"/>
        <v>1.1527496835053426E-3</v>
      </c>
      <c r="AJ129" s="112">
        <f t="shared" si="18"/>
        <v>1.3840266745081967E-3</v>
      </c>
      <c r="AK129" s="112">
        <f t="shared" si="19"/>
        <v>1.3781294797760803E-3</v>
      </c>
    </row>
    <row r="130" spans="15:37" x14ac:dyDescent="0.2">
      <c r="O130" s="86"/>
      <c r="P130" s="86"/>
      <c r="AG130" s="114">
        <f>_xll.qlCalendarAdvance(Calendar,AG129,"1d","mf",,Trigger)</f>
        <v>42979</v>
      </c>
      <c r="AH130" s="100">
        <f>_xll.qlDayCounterYearFraction(DayCounter,SettlementDate,AG130,,,Trigger)</f>
        <v>0.50555555555555554</v>
      </c>
      <c r="AI130" s="112">
        <f t="shared" si="17"/>
        <v>1.1527496835053426E-3</v>
      </c>
      <c r="AJ130" s="112">
        <f t="shared" si="18"/>
        <v>1.3866399738415621E-3</v>
      </c>
      <c r="AK130" s="112">
        <f t="shared" si="19"/>
        <v>1.3803897040895498E-3</v>
      </c>
    </row>
    <row r="131" spans="15:37" x14ac:dyDescent="0.2">
      <c r="P131" s="86"/>
      <c r="AG131" s="114">
        <f>_xll.qlCalendarAdvance(Calendar,AG130,"1d","mf",,Trigger)</f>
        <v>42982</v>
      </c>
      <c r="AH131" s="100">
        <f>_xll.qlDayCounterYearFraction(DayCounter,SettlementDate,AG131,,,Trigger)</f>
        <v>0.51388888888888884</v>
      </c>
      <c r="AI131" s="112">
        <f t="shared" si="17"/>
        <v>1.1527496835053426E-3</v>
      </c>
      <c r="AJ131" s="112">
        <f t="shared" si="18"/>
        <v>1.3944798718416589E-3</v>
      </c>
      <c r="AK131" s="112">
        <f t="shared" si="19"/>
        <v>1.387142139395075E-3</v>
      </c>
    </row>
    <row r="132" spans="15:37" x14ac:dyDescent="0.2">
      <c r="P132" s="86"/>
      <c r="AG132" s="118">
        <f>_xll.qlCalendarAdvance(Calendar,AG131,"1d","mf",,Trigger)</f>
        <v>42983</v>
      </c>
      <c r="AH132" s="105">
        <f>_xll.qlDayCounterYearFraction(DayCounter,SettlementDate,AG132,,,Trigger)</f>
        <v>0.51666666666666672</v>
      </c>
      <c r="AI132" s="121">
        <f t="shared" si="17"/>
        <v>1.1527496835053426E-3</v>
      </c>
      <c r="AJ132" s="121">
        <f t="shared" si="18"/>
        <v>1.3970931711750245E-3</v>
      </c>
      <c r="AK132" s="121">
        <f t="shared" si="19"/>
        <v>1.3893835386186216E-3</v>
      </c>
    </row>
    <row r="133" spans="15:37" x14ac:dyDescent="0.2">
      <c r="P133" s="86"/>
    </row>
    <row r="134" spans="15:37" x14ac:dyDescent="0.2">
      <c r="P134" s="86"/>
    </row>
    <row r="135" spans="15:37" x14ac:dyDescent="0.2">
      <c r="P135" s="86"/>
    </row>
    <row r="136" spans="15:37" x14ac:dyDescent="0.2">
      <c r="P136" s="86"/>
    </row>
  </sheetData>
  <mergeCells count="5">
    <mergeCell ref="S3:S5"/>
    <mergeCell ref="S9:S10"/>
    <mergeCell ref="Y9:Y10"/>
    <mergeCell ref="AB2:AD2"/>
    <mergeCell ref="W9:W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9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K259"/>
  <sheetViews>
    <sheetView workbookViewId="0">
      <selection activeCell="C2" sqref="C2"/>
    </sheetView>
  </sheetViews>
  <sheetFormatPr defaultColWidth="9.5" defaultRowHeight="11.25" outlineLevelCol="1" x14ac:dyDescent="0.2"/>
  <cols>
    <col min="1" max="2" width="3.5" style="60" customWidth="1"/>
    <col min="3" max="4" width="22.83203125" style="60" customWidth="1"/>
    <col min="5" max="5" width="17.1640625" style="60" hidden="1" customWidth="1" outlineLevel="1"/>
    <col min="6" max="6" width="22.83203125" style="60" customWidth="1" collapsed="1"/>
    <col min="7" max="8" width="14.1640625" style="60" hidden="1" customWidth="1" outlineLevel="1"/>
    <col min="9" max="9" width="8.1640625" style="60" hidden="1" customWidth="1" outlineLevel="1"/>
    <col min="10" max="10" width="10.5" style="60" hidden="1" customWidth="1" outlineLevel="1"/>
    <col min="11" max="11" width="10.5" style="60" bestFit="1" customWidth="1" collapsed="1"/>
    <col min="12" max="13" width="14.1640625" style="60" bestFit="1" customWidth="1"/>
    <col min="14" max="14" width="10.5" style="60" bestFit="1" customWidth="1"/>
    <col min="15" max="17" width="10.5" style="60" customWidth="1"/>
    <col min="18" max="18" width="10.83203125" style="60" customWidth="1"/>
    <col min="19" max="19" width="13.1640625" style="60" customWidth="1"/>
    <col min="20" max="22" width="6.83203125" style="60" customWidth="1"/>
    <col min="23" max="23" width="2.33203125" style="60" bestFit="1" customWidth="1"/>
    <col min="24" max="24" width="10.83203125" style="60" customWidth="1"/>
    <col min="25" max="25" width="2.33203125" style="60" bestFit="1" customWidth="1"/>
    <col min="26" max="26" width="10.83203125" style="60" customWidth="1"/>
    <col min="27" max="27" width="12.5" style="60" bestFit="1" customWidth="1"/>
    <col min="28" max="30" width="9.33203125" style="60" customWidth="1"/>
    <col min="31" max="32" width="9.5" style="60"/>
    <col min="33" max="33" width="20.33203125" style="60" bestFit="1" customWidth="1"/>
    <col min="34" max="34" width="8.1640625" style="60" bestFit="1" customWidth="1"/>
    <col min="35" max="35" width="9.33203125" style="60" bestFit="1" customWidth="1"/>
    <col min="36" max="36" width="10.5" style="60" bestFit="1" customWidth="1"/>
    <col min="37" max="37" width="11.6640625" style="60" bestFit="1" customWidth="1"/>
    <col min="38" max="16384" width="9.5" style="60"/>
  </cols>
  <sheetData>
    <row r="2" spans="1:37" ht="19.5" customHeight="1" x14ac:dyDescent="0.2">
      <c r="C2" s="87" t="s">
        <v>89</v>
      </c>
      <c r="D2" s="87" t="s">
        <v>80</v>
      </c>
      <c r="E2" s="87" t="s">
        <v>151</v>
      </c>
      <c r="F2" s="87" t="s">
        <v>81</v>
      </c>
      <c r="G2" s="87" t="s">
        <v>120</v>
      </c>
      <c r="H2" s="87" t="s">
        <v>121</v>
      </c>
      <c r="I2" s="87" t="s">
        <v>119</v>
      </c>
      <c r="J2" s="87" t="s">
        <v>122</v>
      </c>
      <c r="K2" s="87" t="s">
        <v>123</v>
      </c>
      <c r="L2" s="87" t="s">
        <v>127</v>
      </c>
      <c r="M2" s="87" t="s">
        <v>128</v>
      </c>
      <c r="N2" s="87" t="s">
        <v>96</v>
      </c>
      <c r="O2" s="88" t="s">
        <v>97</v>
      </c>
      <c r="P2" s="87" t="s">
        <v>98</v>
      </c>
      <c r="Q2" s="87" t="s">
        <v>105</v>
      </c>
      <c r="X2" s="77" t="s">
        <v>94</v>
      </c>
      <c r="AB2" s="355" t="s">
        <v>93</v>
      </c>
      <c r="AC2" s="355"/>
      <c r="AD2" s="355"/>
      <c r="AG2" s="87" t="s">
        <v>80</v>
      </c>
      <c r="AH2" s="87" t="s">
        <v>119</v>
      </c>
      <c r="AI2" s="87" t="s">
        <v>34</v>
      </c>
      <c r="AJ2" s="87" t="s">
        <v>87</v>
      </c>
      <c r="AK2" s="87" t="s">
        <v>88</v>
      </c>
    </row>
    <row r="3" spans="1:37" ht="12.2" customHeight="1" x14ac:dyDescent="0.2">
      <c r="C3" s="92" t="str">
        <f>$D$10&amp;"LastFixing"&amp;QuoteSuffix</f>
        <v>Euribor1YLastFixing_Quote</v>
      </c>
      <c r="D3" s="93">
        <f>_xll.qlCalendarAdvance(Calendar,_xll.qlLastFixingQuoteReferenceDate($C$3),_xll.qlInterestRateIndexFixingDays($D$10)&amp;"D","f",,LastFixingsTrigger)</f>
        <v>42796</v>
      </c>
      <c r="E3" s="349">
        <f>(D3-EvaluationDate)/365</f>
        <v>2.7397260273972603E-3</v>
      </c>
      <c r="F3" s="93">
        <f>_xll.qlInterestRateIndexMaturity($D$10,D3)</f>
        <v>43161</v>
      </c>
      <c r="G3" s="127">
        <f>_xll.qlYieldTSDiscount(Discounting,D3,,AllTriggers)</f>
        <v>1.0000102778834115</v>
      </c>
      <c r="H3" s="127">
        <f>_xll.qlYieldTSDiscount(Discounting,F3,,AllTriggers)</f>
        <v>1.0035806792128774</v>
      </c>
      <c r="I3" s="128">
        <f>_xll.qlDayCounterYearFraction(DayCounter,D3,F3,,,Trigger)</f>
        <v>1.0138888888888888</v>
      </c>
      <c r="J3" s="129">
        <f>(G3/H3-1)/I3</f>
        <v>-3.5089273788879048E-3</v>
      </c>
      <c r="K3" s="94">
        <f>'Delta 6M '!R3</f>
        <v>5.8731837093059969E-4</v>
      </c>
      <c r="L3" s="95">
        <f>_xll.qlDayCounterYearFraction(DayCounter,SettlementDate,D3,,,Trigger)</f>
        <v>-2.7777777777777779E-3</v>
      </c>
      <c r="M3" s="95">
        <f>_xll.qlDayCounterYearFraction(DayCounter,SettlementDate,F3,,,Trigger)</f>
        <v>1.0111111111111111</v>
      </c>
      <c r="N3" s="95">
        <f>M3-L3</f>
        <v>1.0138888888888888</v>
      </c>
      <c r="O3" s="95">
        <f>(M3^2-L3^2)/2</f>
        <v>0.51116898148148138</v>
      </c>
      <c r="P3" s="95">
        <f>(M3^3-L3^3)/3</f>
        <v>0.34456836562642884</v>
      </c>
      <c r="Q3" s="96" t="b">
        <f>IF(D12="fixing",TRUE,FALSE)</f>
        <v>0</v>
      </c>
      <c r="S3" s="356" t="s">
        <v>90</v>
      </c>
      <c r="T3" s="72">
        <f t="array" ref="T3:T5">_xll.ohFilter(P3:P7,Q3:Q7)</f>
        <v>0.35315831475765885</v>
      </c>
      <c r="U3" s="78">
        <f t="array" ref="U3:U5">_xll.ohFilter(O3:O7,Q3:Q7)</f>
        <v>0.51963348765432094</v>
      </c>
      <c r="V3" s="73">
        <f t="array" ref="V3:V5">_xll.ohFilter(N3:N7,Q3:Q7)</f>
        <v>1.0194444444444444</v>
      </c>
      <c r="W3" s="79"/>
      <c r="X3" s="74">
        <f t="array" ref="X3:X5">MMULT(AB3:AD5,Z3:Z5)</f>
        <v>-1.9227776701771782E-4</v>
      </c>
      <c r="Y3" s="80"/>
      <c r="Z3" s="147">
        <f t="array" ref="Z3:Z5">_xll.ohFilter(K3:K7,Q3:Q7)</f>
        <v>2.4013144219553117E-3</v>
      </c>
      <c r="AB3" s="72">
        <f t="array" ref="AB3:AD5">MINVERSE(T3:V5)</f>
        <v>66.143634440736321</v>
      </c>
      <c r="AC3" s="78">
        <v>-133.01213062876838</v>
      </c>
      <c r="AD3" s="73">
        <v>66.50606531438423</v>
      </c>
      <c r="AG3" s="109">
        <f>SettlementDate</f>
        <v>42797</v>
      </c>
      <c r="AH3" s="100">
        <f>_xll.qlDayCounterYearFraction(DayCounter,SettlementDate,AG3,,,Trigger)</f>
        <v>0</v>
      </c>
      <c r="AI3" s="125">
        <f t="shared" ref="AI3:AI34" si="0">$X$15</f>
        <v>2.355512784479325E-3</v>
      </c>
      <c r="AJ3" s="125">
        <f t="shared" ref="AJ3:AJ66" si="1">$X$10+$X$9*AH3</f>
        <v>1.8337383750397715E-3</v>
      </c>
      <c r="AK3" s="125">
        <f t="shared" ref="AK3:AK66" si="2">($X$5+$X$4*AH3+$X$3*AH3^2)</f>
        <v>1.7933734954970609E-3</v>
      </c>
    </row>
    <row r="4" spans="1:37" ht="12.2" customHeight="1" x14ac:dyDescent="0.2">
      <c r="A4" s="60">
        <v>0</v>
      </c>
      <c r="B4" s="146">
        <f>A4+12</f>
        <v>12</v>
      </c>
      <c r="C4" s="97" t="str">
        <f>"Delta("&amp;A4&amp;"M,"&amp;B4&amp;"M)extrap"</f>
        <v>Delta(0M,12M)extrap</v>
      </c>
      <c r="D4" s="98">
        <f>SettlementDate</f>
        <v>42797</v>
      </c>
      <c r="E4" s="350">
        <f>(D4-EvaluationDate)/365</f>
        <v>5.4794520547945206E-3</v>
      </c>
      <c r="F4" s="98">
        <f>_xll.qlInterestRateIndexMaturity($D$10,D4)</f>
        <v>43164</v>
      </c>
      <c r="G4" s="130">
        <f>_xll.qlYieldTSDiscount(Discounting,D4,,AllTriggers)</f>
        <v>1.000020555872458</v>
      </c>
      <c r="H4" s="130">
        <f>_xll.qlYieldTSDiscount(Discounting,F4,,AllTriggers)</f>
        <v>1.003609142356672</v>
      </c>
      <c r="I4" s="131">
        <f>_xll.qlDayCounterYearFraction(DayCounter,D4,F4,,,Trigger)</f>
        <v>1.0194444444444444</v>
      </c>
      <c r="J4" s="132">
        <f t="shared" ref="J4:J7" si="3">(G4/H4-1)/I4</f>
        <v>-3.5074803347229281E-3</v>
      </c>
      <c r="K4" s="99">
        <f>LN((1+(_xll.qlInterpolationInterpolate(B12Minterpolation,D4,TRUE,AllTriggers)+J4)*I4)/(1+J4*I4))</f>
        <v>2.4013144219553117E-3</v>
      </c>
      <c r="L4" s="100">
        <f>_xll.qlDayCounterYearFraction(DayCounter,SettlementDate,D4,,,Trigger)</f>
        <v>0</v>
      </c>
      <c r="M4" s="100">
        <f>_xll.qlDayCounterYearFraction(DayCounter,SettlementDate,F4,,,Trigger)</f>
        <v>1.0194444444444444</v>
      </c>
      <c r="N4" s="100">
        <f>M4-L4</f>
        <v>1.0194444444444444</v>
      </c>
      <c r="O4" s="100">
        <f>(M4^2-L4^2)/2</f>
        <v>0.51963348765432094</v>
      </c>
      <c r="P4" s="100">
        <f>(M4^3-L4^3)/3</f>
        <v>0.35315831475765885</v>
      </c>
      <c r="Q4" s="101" t="b">
        <f>IF(D12="fixing",FALSE,TRUE)</f>
        <v>1</v>
      </c>
      <c r="S4" s="356"/>
      <c r="T4" s="72">
        <v>0.44345382516003667</v>
      </c>
      <c r="U4" s="78">
        <v>0.60129243827160506</v>
      </c>
      <c r="V4" s="73">
        <v>1.0138888888888891</v>
      </c>
      <c r="W4" s="81" t="s">
        <v>32</v>
      </c>
      <c r="X4" s="74">
        <v>1.2335122399745324E-3</v>
      </c>
      <c r="Y4" s="81" t="s">
        <v>33</v>
      </c>
      <c r="Z4" s="147">
        <v>2.474716731847217E-3</v>
      </c>
      <c r="AB4" s="72">
        <v>-83.965669276156959</v>
      </c>
      <c r="AC4" s="78">
        <v>157.01589383205263</v>
      </c>
      <c r="AD4" s="73">
        <v>-72.590138696848285</v>
      </c>
      <c r="AG4" s="114">
        <f>_xll.qlCalendarAdvance(Calendar,AG3,"1d","mf",,Trigger)</f>
        <v>42800</v>
      </c>
      <c r="AH4" s="100">
        <f>_xll.qlDayCounterYearFraction(DayCounter,SettlementDate,AG4,,,Trigger)</f>
        <v>8.3333333333333332E-3</v>
      </c>
      <c r="AI4" s="112">
        <f t="shared" si="0"/>
        <v>2.355512784479325E-3</v>
      </c>
      <c r="AJ4" s="112">
        <f t="shared" si="1"/>
        <v>1.842268746856222E-3</v>
      </c>
      <c r="AK4" s="112">
        <f t="shared" si="2"/>
        <v>1.8036394115408059E-3</v>
      </c>
    </row>
    <row r="5" spans="1:37" ht="12.2" customHeight="1" x14ac:dyDescent="0.2">
      <c r="A5" s="62">
        <v>1</v>
      </c>
      <c r="B5" s="146">
        <f t="shared" ref="B5:B7" si="4">A5+12</f>
        <v>13</v>
      </c>
      <c r="C5" s="97" t="str">
        <f>"Delta("&amp;A5&amp;"M,"&amp;B5&amp;"M)"</f>
        <v>Delta(1M,13M)</v>
      </c>
      <c r="D5" s="98">
        <f>_xll.qlCalendarAdvance(Calendar,SettlementDate,A5&amp;"M","mf")</f>
        <v>42828</v>
      </c>
      <c r="E5" s="350">
        <f>(D5-EvaluationDate)/365</f>
        <v>9.0410958904109592E-2</v>
      </c>
      <c r="F5" s="98">
        <f>_xll.qlInterestRateIndexMaturity($D$10,D5)</f>
        <v>43193</v>
      </c>
      <c r="G5" s="130">
        <f>_xll.qlYieldTSDiscount(Discounting,D5,,AllTriggers)</f>
        <v>1.0003246267722015</v>
      </c>
      <c r="H5" s="130">
        <f>_xll.qlYieldTSDiscount(Discounting,F5,,AllTriggers)</f>
        <v>1.0038821069059682</v>
      </c>
      <c r="I5" s="131">
        <f>_xll.qlDayCounterYearFraction(DayCounter,D5,F5,,,Trigger)</f>
        <v>1.0138888888888888</v>
      </c>
      <c r="J5" s="132">
        <f t="shared" si="3"/>
        <v>-3.4951788711613183E-3</v>
      </c>
      <c r="K5" s="99">
        <f>LN((1+(_xll.qlInterpolationInterpolate(B12Minterpolation,D5,TRUE,AllTriggers)+J5)*I5)/(1+J5*I5))</f>
        <v>2.474716731847217E-3</v>
      </c>
      <c r="L5" s="100">
        <f>_xll.qlDayCounterYearFraction(DayCounter,SettlementDate,D5,,,Trigger)</f>
        <v>8.611111111111111E-2</v>
      </c>
      <c r="M5" s="100">
        <f>_xll.qlDayCounterYearFraction(DayCounter,SettlementDate,F5,,,Trigger)</f>
        <v>1.1000000000000001</v>
      </c>
      <c r="N5" s="100">
        <f>M5-L5</f>
        <v>1.0138888888888891</v>
      </c>
      <c r="O5" s="100">
        <f>(M5^2-L5^2)/2</f>
        <v>0.60129243827160506</v>
      </c>
      <c r="P5" s="100">
        <f>(M5^3-L5^3)/3</f>
        <v>0.44345382516003667</v>
      </c>
      <c r="Q5" s="101" t="b">
        <v>1</v>
      </c>
      <c r="S5" s="356"/>
      <c r="T5" s="72">
        <v>0.55071012660036578</v>
      </c>
      <c r="U5" s="78">
        <v>0.68578317901234565</v>
      </c>
      <c r="V5" s="73">
        <v>1.0138888888888888</v>
      </c>
      <c r="W5" s="62"/>
      <c r="X5" s="74">
        <v>1.7933734954970609E-3</v>
      </c>
      <c r="Y5" s="81"/>
      <c r="Z5" s="147">
        <v>2.5583140925759065E-3</v>
      </c>
      <c r="AB5" s="72">
        <v>20.866462330621758</v>
      </c>
      <c r="AC5" s="78">
        <v>-33.95611876897636</v>
      </c>
      <c r="AD5" s="73">
        <v>13.961621028323806</v>
      </c>
      <c r="AG5" s="114">
        <f>_xll.qlCalendarAdvance(Calendar,AG4,"1d","mf",,Trigger)</f>
        <v>42801</v>
      </c>
      <c r="AH5" s="100">
        <f>_xll.qlDayCounterYearFraction(DayCounter,SettlementDate,AG5,,,Trigger)</f>
        <v>1.1111111111111112E-2</v>
      </c>
      <c r="AI5" s="112">
        <f t="shared" si="0"/>
        <v>2.355512784479325E-3</v>
      </c>
      <c r="AJ5" s="112">
        <f t="shared" si="1"/>
        <v>1.8451122041283721E-3</v>
      </c>
      <c r="AK5" s="112">
        <f t="shared" si="2"/>
        <v>1.8070554490564055E-3</v>
      </c>
    </row>
    <row r="6" spans="1:37" ht="12.2" customHeight="1" x14ac:dyDescent="0.2">
      <c r="A6" s="62">
        <v>2</v>
      </c>
      <c r="B6" s="146">
        <f t="shared" si="4"/>
        <v>14</v>
      </c>
      <c r="C6" s="97" t="str">
        <f>"Delta("&amp;A6&amp;"M,"&amp;B6&amp;"M)"</f>
        <v>Delta(2M,14M)</v>
      </c>
      <c r="D6" s="98">
        <f>_xll.qlCalendarAdvance(Calendar,SettlementDate,A6&amp;"M","mf")</f>
        <v>42858</v>
      </c>
      <c r="E6" s="350">
        <f>(D6-EvaluationDate)/365</f>
        <v>0.17260273972602741</v>
      </c>
      <c r="F6" s="98">
        <f>_xll.qlInterestRateIndexMaturity($D$10,D6)</f>
        <v>43223</v>
      </c>
      <c r="G6" s="130">
        <f>_xll.qlYieldTSDiscount(Discounting,D6,,AllTriggers)</f>
        <v>1.0006195858250457</v>
      </c>
      <c r="H6" s="130">
        <f>_xll.qlYieldTSDiscount(Discounting,F6,,AllTriggers)</f>
        <v>1.0041601448610491</v>
      </c>
      <c r="I6" s="131">
        <f>_xll.qlDayCounterYearFraction(DayCounter,D6,F6,,,Trigger)</f>
        <v>1.0138888888888888</v>
      </c>
      <c r="J6" s="132">
        <f t="shared" si="3"/>
        <v>-3.4775909451915613E-3</v>
      </c>
      <c r="K6" s="99">
        <f>LN((1+(_xll.qlInterpolationInterpolate(B12Minterpolation,D6,TRUE,AllTriggers)+J6)*I6)/(1+J6*I6))</f>
        <v>2.5583140925759065E-3</v>
      </c>
      <c r="L6" s="100">
        <f>_xll.qlDayCounterYearFraction(DayCounter,SettlementDate,D6,,,Trigger)</f>
        <v>0.16944444444444445</v>
      </c>
      <c r="M6" s="100">
        <f>_xll.qlDayCounterYearFraction(DayCounter,SettlementDate,F6,,,Trigger)</f>
        <v>1.1833333333333333</v>
      </c>
      <c r="N6" s="100">
        <f>M6-L6</f>
        <v>1.0138888888888888</v>
      </c>
      <c r="O6" s="100">
        <f>(M6^2-L6^2)/2</f>
        <v>0.68578317901234565</v>
      </c>
      <c r="P6" s="100">
        <f>(M6^3-L6^3)/3</f>
        <v>0.55071012660036578</v>
      </c>
      <c r="Q6" s="101" t="b">
        <v>1</v>
      </c>
      <c r="X6" s="76"/>
      <c r="Y6" s="69"/>
      <c r="Z6" s="70"/>
      <c r="AG6" s="114">
        <f>_xll.qlCalendarAdvance(Calendar,AG5,"1d","mf",,Trigger)</f>
        <v>42802</v>
      </c>
      <c r="AH6" s="100">
        <f>_xll.qlDayCounterYearFraction(DayCounter,SettlementDate,AG6,,,Trigger)</f>
        <v>1.3888888888888888E-2</v>
      </c>
      <c r="AI6" s="112">
        <f t="shared" si="0"/>
        <v>2.355512784479325E-3</v>
      </c>
      <c r="AJ6" s="112">
        <f t="shared" si="1"/>
        <v>1.8479556614005223E-3</v>
      </c>
      <c r="AK6" s="112">
        <f t="shared" si="2"/>
        <v>1.810468519322514E-3</v>
      </c>
    </row>
    <row r="7" spans="1:37" ht="12.2" customHeight="1" x14ac:dyDescent="0.2">
      <c r="A7" s="62">
        <v>3</v>
      </c>
      <c r="B7" s="146">
        <f t="shared" si="4"/>
        <v>15</v>
      </c>
      <c r="C7" s="102" t="str">
        <f>"Delta("&amp;A7&amp;"M,"&amp;B7&amp;"M)"</f>
        <v>Delta(3M,15M)</v>
      </c>
      <c r="D7" s="103">
        <f>_xll.qlCalendarAdvance(Calendar,SettlementDate,A7&amp;"M","mf")</f>
        <v>42891</v>
      </c>
      <c r="E7" s="351">
        <f>(D7-EvaluationDate)/365</f>
        <v>0.26301369863013696</v>
      </c>
      <c r="F7" s="103">
        <f>_xll.qlInterestRateIndexMaturity($D$10,D7)</f>
        <v>43256</v>
      </c>
      <c r="G7" s="133">
        <f>_xll.qlYieldTSDiscount(Discounting,D7,,AllTriggers)</f>
        <v>1.0009443099914743</v>
      </c>
      <c r="H7" s="133">
        <f>_xll.qlYieldTSDiscount(Discounting,F7,,AllTriggers)</f>
        <v>1.0044606647610341</v>
      </c>
      <c r="I7" s="134">
        <f>_xll.qlDayCounterYearFraction(DayCounter,D7,F7,,,Trigger)</f>
        <v>1.0138888888888888</v>
      </c>
      <c r="J7" s="135">
        <f t="shared" si="3"/>
        <v>-3.45278381504992E-3</v>
      </c>
      <c r="K7" s="104">
        <f>LN((1+(_xll.qlInterpolationInterpolate(B12Minterpolation,D7,TRUE,AllTriggers)+J7)*I7)/(1+J7*I7))</f>
        <v>2.6548515307052416E-3</v>
      </c>
      <c r="L7" s="105">
        <f>_xll.qlDayCounterYearFraction(DayCounter,SettlementDate,D7,,,Trigger)</f>
        <v>0.26111111111111113</v>
      </c>
      <c r="M7" s="105">
        <f>_xll.qlDayCounterYearFraction(DayCounter,SettlementDate,F7,,,Trigger)</f>
        <v>1.2749999999999999</v>
      </c>
      <c r="N7" s="105">
        <f>M7-L7</f>
        <v>1.0138888888888888</v>
      </c>
      <c r="O7" s="105">
        <f>(M7^2-L7^2)/2</f>
        <v>0.77872299382716048</v>
      </c>
      <c r="P7" s="105">
        <f>(M7^3-L7^3)/3</f>
        <v>0.68495652577732047</v>
      </c>
      <c r="Q7" s="106" t="b">
        <v>0</v>
      </c>
      <c r="X7" s="76"/>
      <c r="Y7" s="69"/>
      <c r="Z7" s="70"/>
      <c r="AG7" s="114">
        <f>_xll.qlCalendarAdvance(Calendar,AG6,"1d","mf",,Trigger)</f>
        <v>42803</v>
      </c>
      <c r="AH7" s="100">
        <f>_xll.qlDayCounterYearFraction(DayCounter,SettlementDate,AG7,,,Trigger)</f>
        <v>1.6666666666666666E-2</v>
      </c>
      <c r="AI7" s="112">
        <f t="shared" si="0"/>
        <v>2.355512784479325E-3</v>
      </c>
      <c r="AJ7" s="112">
        <f t="shared" si="1"/>
        <v>1.8507991186726726E-3</v>
      </c>
      <c r="AK7" s="112">
        <f t="shared" si="2"/>
        <v>1.8138786223391315E-3</v>
      </c>
    </row>
    <row r="8" spans="1:37" ht="12.2" customHeight="1" x14ac:dyDescent="0.2">
      <c r="B8" s="63"/>
      <c r="C8" s="63"/>
      <c r="D8" s="64"/>
      <c r="E8" s="64"/>
      <c r="F8" s="64"/>
      <c r="G8" s="64"/>
      <c r="H8" s="64"/>
      <c r="I8" s="64"/>
      <c r="J8" s="64"/>
      <c r="K8" s="65"/>
      <c r="L8" s="66"/>
      <c r="M8" s="66"/>
      <c r="N8" s="66"/>
      <c r="O8" s="66"/>
      <c r="P8" s="66"/>
      <c r="Q8" s="67"/>
      <c r="X8" s="68" t="s">
        <v>95</v>
      </c>
      <c r="Y8" s="69"/>
      <c r="Z8" s="70"/>
      <c r="AG8" s="114">
        <f>_xll.qlCalendarAdvance(Calendar,AG7,"1d","mf",,Trigger)</f>
        <v>42804</v>
      </c>
      <c r="AH8" s="100">
        <f>_xll.qlDayCounterYearFraction(DayCounter,SettlementDate,AG8,,,Trigger)</f>
        <v>1.9444444444444445E-2</v>
      </c>
      <c r="AI8" s="112">
        <f t="shared" si="0"/>
        <v>2.355512784479325E-3</v>
      </c>
      <c r="AJ8" s="112">
        <f t="shared" si="1"/>
        <v>1.8536425759448226E-3</v>
      </c>
      <c r="AK8" s="112">
        <f t="shared" si="2"/>
        <v>1.8172857581062582E-3</v>
      </c>
    </row>
    <row r="9" spans="1:37" ht="12.2" customHeight="1" x14ac:dyDescent="0.2">
      <c r="C9" s="87" t="s">
        <v>134</v>
      </c>
      <c r="D9" s="122" t="s">
        <v>23</v>
      </c>
      <c r="S9" s="355" t="s">
        <v>91</v>
      </c>
      <c r="T9" s="71"/>
      <c r="U9" s="72">
        <f t="array" ref="U9:U10">_xll.ohFilter(O3:O7,Q3:Q7)</f>
        <v>0.51963348765432094</v>
      </c>
      <c r="V9" s="73">
        <f t="array" ref="V9:V10">_xll.ohFilter(N3:N7,Q3:Q7)</f>
        <v>1.0194444444444444</v>
      </c>
      <c r="W9" s="357" t="s">
        <v>32</v>
      </c>
      <c r="X9" s="74">
        <f t="array" ref="X9:X10">MMULT(AB9:AC10,Z9:Z10)</f>
        <v>1.0236446179740614E-3</v>
      </c>
      <c r="Y9" s="357" t="s">
        <v>33</v>
      </c>
      <c r="Z9" s="147">
        <f t="array" ref="Z9:Z10">_xll.ohFilter(K3:K7,Q3:Q7)</f>
        <v>2.4013144219553117E-3</v>
      </c>
      <c r="AB9" s="72">
        <f t="array" ref="AB9:AC10">MINVERSE(U9:V10)</f>
        <v>-11.771117166212528</v>
      </c>
      <c r="AC9" s="73">
        <v>11.835616438356157</v>
      </c>
      <c r="AG9" s="114">
        <f>_xll.qlCalendarAdvance(Calendar,AG8,"1d","mf",,Trigger)</f>
        <v>42807</v>
      </c>
      <c r="AH9" s="100">
        <f>_xll.qlDayCounterYearFraction(DayCounter,SettlementDate,AG9,,,Trigger)</f>
        <v>2.7777777777777776E-2</v>
      </c>
      <c r="AI9" s="112">
        <f t="shared" si="0"/>
        <v>2.355512784479325E-3</v>
      </c>
      <c r="AJ9" s="112">
        <f t="shared" si="1"/>
        <v>1.8621729477612732E-3</v>
      </c>
      <c r="AK9" s="112">
        <f t="shared" si="2"/>
        <v>1.8274893619106916E-3</v>
      </c>
    </row>
    <row r="10" spans="1:37" ht="12.2" customHeight="1" x14ac:dyDescent="0.2">
      <c r="C10" s="87" t="s">
        <v>104</v>
      </c>
      <c r="D10" s="122" t="str">
        <f>PROPER(Currency)&amp;IborType&amp;$D$9</f>
        <v>Euribor1Y</v>
      </c>
      <c r="S10" s="355"/>
      <c r="T10" s="71"/>
      <c r="U10" s="72">
        <v>0.60129243827160506</v>
      </c>
      <c r="V10" s="73">
        <v>1.0138888888888891</v>
      </c>
      <c r="W10" s="357"/>
      <c r="X10" s="74">
        <v>1.8337383750397715E-3</v>
      </c>
      <c r="Y10" s="357"/>
      <c r="Z10" s="147">
        <v>2.474716731847217E-3</v>
      </c>
      <c r="AB10" s="72">
        <v>6.9809264305177088</v>
      </c>
      <c r="AC10" s="73">
        <v>-6.032876712328763</v>
      </c>
      <c r="AG10" s="114">
        <f>_xll.qlCalendarAdvance(Calendar,AG9,"1d","mf",,Trigger)</f>
        <v>42808</v>
      </c>
      <c r="AH10" s="100">
        <f>_xll.qlDayCounterYearFraction(DayCounter,SettlementDate,AG10,,,Trigger)</f>
        <v>3.0555555555555555E-2</v>
      </c>
      <c r="AI10" s="112">
        <f t="shared" si="0"/>
        <v>2.355512784479325E-3</v>
      </c>
      <c r="AJ10" s="112">
        <f t="shared" si="1"/>
        <v>1.8650164050334234E-3</v>
      </c>
      <c r="AK10" s="112">
        <f t="shared" si="2"/>
        <v>1.8308846286798541E-3</v>
      </c>
    </row>
    <row r="11" spans="1:37" ht="12.2" customHeight="1" x14ac:dyDescent="0.2">
      <c r="C11" s="87" t="s">
        <v>126</v>
      </c>
      <c r="D11" s="123" t="s">
        <v>83</v>
      </c>
      <c r="X11" s="76"/>
      <c r="Y11" s="69"/>
      <c r="Z11" s="70"/>
      <c r="AG11" s="114">
        <f>_xll.qlCalendarAdvance(Calendar,AG10,"1d","mf",,Trigger)</f>
        <v>42809</v>
      </c>
      <c r="AH11" s="100">
        <f>_xll.qlDayCounterYearFraction(DayCounter,SettlementDate,AG11,,,Trigger)</f>
        <v>3.3333333333333333E-2</v>
      </c>
      <c r="AI11" s="112">
        <f t="shared" si="0"/>
        <v>2.355512784479325E-3</v>
      </c>
      <c r="AJ11" s="112">
        <f t="shared" si="1"/>
        <v>1.8678598623055734E-3</v>
      </c>
      <c r="AK11" s="112">
        <f t="shared" si="2"/>
        <v>1.8342769281995258E-3</v>
      </c>
    </row>
    <row r="12" spans="1:37" ht="12.2" customHeight="1" x14ac:dyDescent="0.2">
      <c r="C12" s="87" t="s">
        <v>125</v>
      </c>
      <c r="D12" s="122" t="s">
        <v>130</v>
      </c>
      <c r="R12" s="85"/>
      <c r="X12" s="77" t="s">
        <v>30</v>
      </c>
      <c r="Y12" s="69"/>
      <c r="Z12" s="70"/>
      <c r="AG12" s="114">
        <f>_xll.qlCalendarAdvance(Calendar,AG11,"1d","mf",,Trigger)</f>
        <v>42810</v>
      </c>
      <c r="AH12" s="100">
        <f>_xll.qlDayCounterYearFraction(DayCounter,SettlementDate,AG12,,,Trigger)</f>
        <v>3.6111111111111108E-2</v>
      </c>
      <c r="AI12" s="112">
        <f t="shared" si="0"/>
        <v>2.355512784479325E-3</v>
      </c>
      <c r="AJ12" s="112">
        <f t="shared" si="1"/>
        <v>1.8707033195777237E-3</v>
      </c>
      <c r="AK12" s="112">
        <f t="shared" si="2"/>
        <v>1.8376662604697061E-3</v>
      </c>
    </row>
    <row r="13" spans="1:37" ht="12.2" customHeight="1" x14ac:dyDescent="0.2">
      <c r="C13" s="87" t="s">
        <v>153</v>
      </c>
      <c r="D13" s="122" t="str">
        <f>IF(OR(FixingDiff12M&gt;Range12M,FixingDiff12M&lt;-Range12M),"Safe","Standard")</f>
        <v>Standard</v>
      </c>
      <c r="R13" s="85"/>
      <c r="X13" s="77"/>
      <c r="Y13" s="69"/>
      <c r="Z13" s="70"/>
      <c r="AG13" s="114">
        <f>_xll.qlCalendarAdvance(Calendar,AG12,"1d","mf",,Trigger)</f>
        <v>42811</v>
      </c>
      <c r="AH13" s="100">
        <f>_xll.qlDayCounterYearFraction(DayCounter,SettlementDate,AG13,,,Trigger)</f>
        <v>3.888888888888889E-2</v>
      </c>
      <c r="AI13" s="112">
        <f t="shared" si="0"/>
        <v>2.355512784479325E-3</v>
      </c>
      <c r="AJ13" s="112">
        <f t="shared" si="1"/>
        <v>1.8735467768498739E-3</v>
      </c>
      <c r="AK13" s="112">
        <f t="shared" si="2"/>
        <v>1.8410526254903955E-3</v>
      </c>
    </row>
    <row r="14" spans="1:37" ht="12.2" customHeight="1" x14ac:dyDescent="0.2">
      <c r="C14" s="87" t="s">
        <v>154</v>
      </c>
      <c r="D14" s="345">
        <v>0.7</v>
      </c>
      <c r="R14" s="85"/>
      <c r="X14" s="77"/>
      <c r="Y14" s="69"/>
      <c r="Z14" s="70"/>
      <c r="AG14" s="114">
        <f>_xll.qlCalendarAdvance(Calendar,AG13,"1d","mf",,Trigger)</f>
        <v>42814</v>
      </c>
      <c r="AH14" s="100">
        <f>_xll.qlDayCounterYearFraction(DayCounter,SettlementDate,AG14,,,Trigger)</f>
        <v>4.7222222222222221E-2</v>
      </c>
      <c r="AI14" s="112">
        <f t="shared" si="0"/>
        <v>2.355512784479325E-3</v>
      </c>
      <c r="AJ14" s="112">
        <f t="shared" si="1"/>
        <v>1.8820771486663245E-3</v>
      </c>
      <c r="AK14" s="112">
        <f t="shared" si="2"/>
        <v>1.851193917055518E-3</v>
      </c>
    </row>
    <row r="15" spans="1:37" ht="12.2" customHeight="1" x14ac:dyDescent="0.2">
      <c r="O15" s="143" t="str">
        <f>"Synthetic Deposits "&amp;D9</f>
        <v>Synthetic Deposits 1Y</v>
      </c>
      <c r="P15" s="144"/>
      <c r="Q15" s="145"/>
      <c r="R15" s="85"/>
      <c r="S15" s="292" t="s">
        <v>92</v>
      </c>
      <c r="V15" s="83">
        <f t="array" ref="V15">_xll.ohFilter(N3:N7,Q3:Q7)</f>
        <v>1.0194444444444444</v>
      </c>
      <c r="W15" s="292" t="s">
        <v>32</v>
      </c>
      <c r="X15" s="74">
        <f>MMULT(AB15,Z15)</f>
        <v>2.355512784479325E-3</v>
      </c>
      <c r="Y15" s="292" t="s">
        <v>33</v>
      </c>
      <c r="Z15" s="147">
        <f t="array" ref="Z15">_xll.ohFilter(K3:K7,Q3:Q7)</f>
        <v>2.4013144219553117E-3</v>
      </c>
      <c r="AB15" s="83">
        <f>MINVERSE(V15)</f>
        <v>0.98092643051771122</v>
      </c>
      <c r="AG15" s="114">
        <f>_xll.qlCalendarAdvance(Calendar,AG14,"1d","mf",,Trigger)</f>
        <v>42815</v>
      </c>
      <c r="AH15" s="100">
        <f>_xll.qlDayCounterYearFraction(DayCounter,SettlementDate,AG15,,,Trigger)</f>
        <v>0.05</v>
      </c>
      <c r="AI15" s="112">
        <f t="shared" si="0"/>
        <v>2.355512784479325E-3</v>
      </c>
      <c r="AJ15" s="112">
        <f t="shared" si="1"/>
        <v>1.8849206059384745E-3</v>
      </c>
      <c r="AK15" s="112">
        <f t="shared" si="2"/>
        <v>1.8545684130782433E-3</v>
      </c>
    </row>
    <row r="16" spans="1:37" ht="12.2" customHeight="1" x14ac:dyDescent="0.2">
      <c r="C16" s="87" t="s">
        <v>99</v>
      </c>
      <c r="D16" s="87" t="s">
        <v>80</v>
      </c>
      <c r="E16" s="87"/>
      <c r="F16" s="87" t="s">
        <v>81</v>
      </c>
      <c r="G16" s="126"/>
      <c r="H16" s="126"/>
      <c r="I16" s="126"/>
      <c r="J16" s="126"/>
      <c r="K16" s="88" t="s">
        <v>119</v>
      </c>
      <c r="L16" s="88" t="s">
        <v>120</v>
      </c>
      <c r="M16" s="88" t="s">
        <v>121</v>
      </c>
      <c r="N16" s="88" t="s">
        <v>122</v>
      </c>
      <c r="O16" s="90" t="s">
        <v>92</v>
      </c>
      <c r="P16" s="90" t="s">
        <v>91</v>
      </c>
      <c r="Q16" s="90" t="s">
        <v>117</v>
      </c>
      <c r="R16" s="85"/>
      <c r="AG16" s="114">
        <f>_xll.qlCalendarAdvance(Calendar,AG15,"1d","mf",,Trigger)</f>
        <v>42816</v>
      </c>
      <c r="AH16" s="100">
        <f>_xll.qlDayCounterYearFraction(DayCounter,SettlementDate,AG16,,,Trigger)</f>
        <v>5.2777777777777778E-2</v>
      </c>
      <c r="AI16" s="112">
        <f t="shared" si="0"/>
        <v>2.355512784479325E-3</v>
      </c>
      <c r="AJ16" s="112">
        <f t="shared" si="1"/>
        <v>1.8877640632106248E-3</v>
      </c>
      <c r="AK16" s="112">
        <f t="shared" si="2"/>
        <v>1.8579399418514775E-3</v>
      </c>
    </row>
    <row r="17" spans="3:37" ht="12.2" customHeight="1" x14ac:dyDescent="0.2">
      <c r="C17" s="107" t="s">
        <v>38</v>
      </c>
      <c r="D17" s="108">
        <f t="shared" ref="D17:D32" si="5">SettlementDate</f>
        <v>42797</v>
      </c>
      <c r="E17" s="108"/>
      <c r="F17" s="109">
        <f>_xll.qlCalendarAdvance(Calendar,SettlementDate,C17,"Following",,Trigger)</f>
        <v>42800</v>
      </c>
      <c r="G17" s="136"/>
      <c r="H17" s="136"/>
      <c r="I17" s="136"/>
      <c r="J17" s="136"/>
      <c r="K17" s="110">
        <f>_xll.qlDayCounterYearFraction(DayCounter,D17,F17,,,Trigger)</f>
        <v>8.3333333333333332E-3</v>
      </c>
      <c r="L17" s="137">
        <f>_xll.qlYieldTSDiscount(Discounting,D17,,AllTriggers)</f>
        <v>1.000020555872458</v>
      </c>
      <c r="M17" s="137">
        <f>_xll.qlYieldTSDiscount(Discounting,F17,,AllTriggers)</f>
        <v>1.0000508163916877</v>
      </c>
      <c r="N17" s="148">
        <f>(L17/M17-1)/K17</f>
        <v>-3.6310777892989421E-3</v>
      </c>
      <c r="O17" s="112">
        <f t="shared" ref="O17:O24" si="6">((1+N17*K17)*EXP($X$15*K17)-1)/K17</f>
        <v>-1.2756131622859712E-3</v>
      </c>
      <c r="P17" s="112">
        <f>((1+K17*N17)*EXP($X$10*K17+0.5*$X$9*K17^2)-1)/K17</f>
        <v>-1.793115768733422E-3</v>
      </c>
      <c r="Q17" s="112">
        <f>((1+K17*N17)*EXP($X$5*K17+0.5*$X$4*K17^2+1/3*$X$3*K17^3)-1)/K17</f>
        <v>-1.8326100540821955E-3</v>
      </c>
      <c r="R17" s="85"/>
      <c r="AG17" s="114">
        <f>_xll.qlCalendarAdvance(Calendar,AG16,"1d","mf",,Trigger)</f>
        <v>42817</v>
      </c>
      <c r="AH17" s="100">
        <f>_xll.qlDayCounterYearFraction(DayCounter,SettlementDate,AG17,,,Trigger)</f>
        <v>5.5555555555555552E-2</v>
      </c>
      <c r="AI17" s="112">
        <f t="shared" si="0"/>
        <v>2.355512784479325E-3</v>
      </c>
      <c r="AJ17" s="112">
        <f t="shared" si="1"/>
        <v>1.8906075204827748E-3</v>
      </c>
      <c r="AK17" s="112">
        <f t="shared" si="2"/>
        <v>1.8613085033752209E-3</v>
      </c>
    </row>
    <row r="18" spans="3:37" ht="12.2" customHeight="1" x14ac:dyDescent="0.2">
      <c r="C18" s="113" t="s">
        <v>39</v>
      </c>
      <c r="D18" s="98">
        <f>SettlementDate</f>
        <v>42797</v>
      </c>
      <c r="E18" s="98"/>
      <c r="F18" s="114">
        <f>_xll.qlCalendarAdvance(Calendar,SettlementDate,C18,"Following",,Trigger)</f>
        <v>42804</v>
      </c>
      <c r="G18" s="136"/>
      <c r="H18" s="136"/>
      <c r="I18" s="136"/>
      <c r="J18" s="136"/>
      <c r="K18" s="100">
        <f>_xll.qlDayCounterYearFraction(DayCounter,D18,F18,,,Trigger)</f>
        <v>1.9444444444444445E-2</v>
      </c>
      <c r="L18" s="139">
        <f>_xll.qlYieldTSDiscount(Discounting,D18,,AllTriggers)</f>
        <v>1.000020555872458</v>
      </c>
      <c r="M18" s="139">
        <f>_xll.qlYieldTSDiscount(Discounting,F18,,AllTriggers)</f>
        <v>1.000089589834422</v>
      </c>
      <c r="N18" s="149">
        <f t="shared" ref="N18:N24" si="7">(L18/M18-1)/K18</f>
        <v>-3.549999999951885E-3</v>
      </c>
      <c r="O18" s="112">
        <f t="shared" si="6"/>
        <v>-1.1945958710121321E-3</v>
      </c>
      <c r="P18" s="112">
        <f t="shared" ref="P18:P24" si="8">((1+K18*N18)*EXP($X$10*K18+0.5*$X$9*K18^2)-1)/K18</f>
        <v>-1.7064037444772648E-3</v>
      </c>
      <c r="Q18" s="112">
        <f t="shared" ref="Q18:Q24" si="9">((1+K18*N18)*EXP($X$5*K18+0.5*$X$4*K18^2+1/3*$X$3*K18^3)-1)/K18</f>
        <v>-1.7447511901818352E-3</v>
      </c>
      <c r="R18" s="85"/>
      <c r="AG18" s="114">
        <f>_xll.qlCalendarAdvance(Calendar,AG17,"1d","mf",,Trigger)</f>
        <v>42818</v>
      </c>
      <c r="AH18" s="100">
        <f>_xll.qlDayCounterYearFraction(DayCounter,SettlementDate,AG18,,,Trigger)</f>
        <v>5.8333333333333334E-2</v>
      </c>
      <c r="AI18" s="112">
        <f t="shared" si="0"/>
        <v>2.355512784479325E-3</v>
      </c>
      <c r="AJ18" s="112">
        <f t="shared" si="1"/>
        <v>1.8934509777549251E-3</v>
      </c>
      <c r="AK18" s="112">
        <f t="shared" si="2"/>
        <v>1.8646740976494733E-3</v>
      </c>
    </row>
    <row r="19" spans="3:37" ht="12.2" customHeight="1" x14ac:dyDescent="0.2">
      <c r="C19" s="113" t="s">
        <v>40</v>
      </c>
      <c r="D19" s="98">
        <f t="shared" si="5"/>
        <v>42797</v>
      </c>
      <c r="E19" s="98"/>
      <c r="F19" s="114">
        <f>_xll.qlCalendarAdvance(Calendar,SettlementDate,C19,"Following",,Trigger)</f>
        <v>42811</v>
      </c>
      <c r="G19" s="136"/>
      <c r="H19" s="136"/>
      <c r="I19" s="136"/>
      <c r="J19" s="136"/>
      <c r="K19" s="100">
        <f>_xll.qlDayCounterYearFraction(DayCounter,D19,F19,,,Trigger)</f>
        <v>3.888888888888889E-2</v>
      </c>
      <c r="L19" s="139">
        <f>_xll.qlYieldTSDiscount(Discounting,D19,,AllTriggers)</f>
        <v>1.000020555872458</v>
      </c>
      <c r="M19" s="139">
        <f>_xll.qlYieldTSDiscount(Discounting,F19,,AllTriggers)</f>
        <v>1.0001586333282257</v>
      </c>
      <c r="N19" s="149">
        <f t="shared" si="7"/>
        <v>-3.5499999999975629E-3</v>
      </c>
      <c r="O19" s="112">
        <f t="shared" si="6"/>
        <v>-1.1947045324034455E-3</v>
      </c>
      <c r="P19" s="112">
        <f t="shared" si="8"/>
        <v>-1.6965465263983426E-3</v>
      </c>
      <c r="Q19" s="112">
        <f t="shared" si="9"/>
        <v>-1.7329251507341198E-3</v>
      </c>
      <c r="R19" s="85"/>
      <c r="AG19" s="114">
        <f>_xll.qlCalendarAdvance(Calendar,AG18,"1d","mf",,Trigger)</f>
        <v>42821</v>
      </c>
      <c r="AH19" s="100">
        <f>_xll.qlDayCounterYearFraction(DayCounter,SettlementDate,AG19,,,Trigger)</f>
        <v>6.6666666666666666E-2</v>
      </c>
      <c r="AI19" s="112">
        <f t="shared" si="0"/>
        <v>2.355512784479325E-3</v>
      </c>
      <c r="AJ19" s="112">
        <f t="shared" si="1"/>
        <v>1.9019813495713756E-3</v>
      </c>
      <c r="AK19" s="112">
        <f t="shared" si="2"/>
        <v>1.8747530769752843E-3</v>
      </c>
    </row>
    <row r="20" spans="3:37" ht="12.2" customHeight="1" x14ac:dyDescent="0.2">
      <c r="C20" s="113" t="s">
        <v>41</v>
      </c>
      <c r="D20" s="98">
        <f t="shared" si="5"/>
        <v>42797</v>
      </c>
      <c r="E20" s="98"/>
      <c r="F20" s="114">
        <f>_xll.qlCalendarAdvance(Calendar,SettlementDate,C20,"Following",,Trigger)</f>
        <v>42818</v>
      </c>
      <c r="G20" s="136"/>
      <c r="H20" s="136"/>
      <c r="I20" s="136"/>
      <c r="J20" s="136"/>
      <c r="K20" s="100">
        <f>_xll.qlDayCounterYearFraction(DayCounter,D20,F20,,,Trigger)</f>
        <v>5.8333333333333334E-2</v>
      </c>
      <c r="L20" s="139">
        <f>_xll.qlYieldTSDiscount(Discounting,D20,,AllTriggers)</f>
        <v>1.000020555872458</v>
      </c>
      <c r="M20" s="139">
        <f>_xll.qlYieldTSDiscount(Discounting,F20,,AllTriggers)</f>
        <v>1.0002276863558459</v>
      </c>
      <c r="N20" s="149">
        <f t="shared" si="7"/>
        <v>-3.5500000000870152E-3</v>
      </c>
      <c r="O20" s="112">
        <f t="shared" si="6"/>
        <v>-1.1948131996338976E-3</v>
      </c>
      <c r="P20" s="112">
        <f t="shared" si="8"/>
        <v>-1.6866899649960385E-3</v>
      </c>
      <c r="Q20" s="112">
        <f t="shared" si="9"/>
        <v>-1.7211483730582089E-3</v>
      </c>
      <c r="R20" s="85"/>
      <c r="AG20" s="114">
        <f>_xll.qlCalendarAdvance(Calendar,AG19,"1d","mf",,Trigger)</f>
        <v>42822</v>
      </c>
      <c r="AH20" s="100">
        <f>_xll.qlDayCounterYearFraction(DayCounter,SettlementDate,AG20,,,Trigger)</f>
        <v>6.9444444444444448E-2</v>
      </c>
      <c r="AI20" s="112">
        <f t="shared" si="0"/>
        <v>2.355512784479325E-3</v>
      </c>
      <c r="AJ20" s="112">
        <f t="shared" si="1"/>
        <v>1.9048248068435259E-3</v>
      </c>
      <c r="AK20" s="112">
        <f t="shared" si="2"/>
        <v>1.8781068022515727E-3</v>
      </c>
    </row>
    <row r="21" spans="3:37" ht="12.2" customHeight="1" x14ac:dyDescent="0.2">
      <c r="C21" s="113" t="s">
        <v>35</v>
      </c>
      <c r="D21" s="98">
        <f t="shared" si="5"/>
        <v>42797</v>
      </c>
      <c r="E21" s="98"/>
      <c r="F21" s="114">
        <f>_xll.qlCalendarAdvance(Calendar,SettlementDate,C21,"mf",TRUE,Trigger)</f>
        <v>42828</v>
      </c>
      <c r="G21" s="136"/>
      <c r="H21" s="136"/>
      <c r="I21" s="136"/>
      <c r="J21" s="136"/>
      <c r="K21" s="100">
        <f>_xll.qlDayCounterYearFraction(DayCounter,D21,F21,,,Trigger)</f>
        <v>8.611111111111111E-2</v>
      </c>
      <c r="L21" s="139">
        <f>_xll.qlYieldTSDiscount(Discounting,D21,,AllTriggers)</f>
        <v>1.000020555872458</v>
      </c>
      <c r="M21" s="139">
        <f>_xll.qlYieldTSDiscount(Discounting,F21,,AllTriggers)</f>
        <v>1.0003246267722015</v>
      </c>
      <c r="N21" s="149">
        <f t="shared" si="7"/>
        <v>-3.5299999999987581E-3</v>
      </c>
      <c r="O21" s="112">
        <f t="shared" si="6"/>
        <v>-1.1749643912565887E-3</v>
      </c>
      <c r="P21" s="112">
        <f t="shared" si="8"/>
        <v>-1.6526070563422709E-3</v>
      </c>
      <c r="Q21" s="112">
        <f t="shared" si="9"/>
        <v>-1.6844066537581985E-3</v>
      </c>
      <c r="R21" s="85"/>
      <c r="AG21" s="114">
        <f>_xll.qlCalendarAdvance(Calendar,AG20,"1d","mf",,Trigger)</f>
        <v>42823</v>
      </c>
      <c r="AH21" s="100">
        <f>_xll.qlDayCounterYearFraction(DayCounter,SettlementDate,AG21,,,Trigger)</f>
        <v>7.2222222222222215E-2</v>
      </c>
      <c r="AI21" s="112">
        <f t="shared" si="0"/>
        <v>2.355512784479325E-3</v>
      </c>
      <c r="AJ21" s="112">
        <f t="shared" si="1"/>
        <v>1.9076682641156759E-3</v>
      </c>
      <c r="AK21" s="112">
        <f t="shared" si="2"/>
        <v>1.8814575602783699E-3</v>
      </c>
    </row>
    <row r="22" spans="3:37" ht="12.2" customHeight="1" x14ac:dyDescent="0.2">
      <c r="C22" s="113" t="s">
        <v>42</v>
      </c>
      <c r="D22" s="98">
        <f t="shared" si="5"/>
        <v>42797</v>
      </c>
      <c r="E22" s="98"/>
      <c r="F22" s="114">
        <f>_xll.qlCalendarAdvance(Calendar,SettlementDate,C22,"mf",TRUE,Trigger)</f>
        <v>42858</v>
      </c>
      <c r="G22" s="136"/>
      <c r="H22" s="136"/>
      <c r="I22" s="136"/>
      <c r="J22" s="136"/>
      <c r="K22" s="100">
        <f>_xll.qlDayCounterYearFraction(DayCounter,D22,F22,,,Trigger)</f>
        <v>0.16944444444444445</v>
      </c>
      <c r="L22" s="139">
        <f>_xll.qlYieldTSDiscount(Discounting,D22,,AllTriggers)</f>
        <v>1.000020555872458</v>
      </c>
      <c r="M22" s="139">
        <f>_xll.qlYieldTSDiscount(Discounting,F22,,AllTriggers)</f>
        <v>1.0006195858250457</v>
      </c>
      <c r="N22" s="149">
        <f t="shared" si="7"/>
        <v>-3.5330696966807116E-3</v>
      </c>
      <c r="O22" s="112">
        <f t="shared" si="6"/>
        <v>-1.1784972039035166E-3</v>
      </c>
      <c r="P22" s="112">
        <f t="shared" si="8"/>
        <v>-1.6134432601247609E-3</v>
      </c>
      <c r="Q22" s="112">
        <f t="shared" si="9"/>
        <v>-1.6378611496357691E-3</v>
      </c>
      <c r="R22" s="85"/>
      <c r="AG22" s="114">
        <f>_xll.qlCalendarAdvance(Calendar,AG21,"1d","mf",,Trigger)</f>
        <v>42824</v>
      </c>
      <c r="AH22" s="100">
        <f>_xll.qlDayCounterYearFraction(DayCounter,SettlementDate,AG22,,,Trigger)</f>
        <v>7.4999999999999997E-2</v>
      </c>
      <c r="AI22" s="112">
        <f t="shared" si="0"/>
        <v>2.355512784479325E-3</v>
      </c>
      <c r="AJ22" s="112">
        <f t="shared" si="1"/>
        <v>1.9105117213878261E-3</v>
      </c>
      <c r="AK22" s="112">
        <f t="shared" si="2"/>
        <v>1.8848053510556761E-3</v>
      </c>
    </row>
    <row r="23" spans="3:37" ht="12.2" customHeight="1" x14ac:dyDescent="0.2">
      <c r="C23" s="113" t="s">
        <v>36</v>
      </c>
      <c r="D23" s="98">
        <f t="shared" si="5"/>
        <v>42797</v>
      </c>
      <c r="E23" s="98"/>
      <c r="F23" s="114">
        <f>_xll.qlCalendarAdvance(Calendar,SettlementDate,C23,"mf",TRUE,Trigger)</f>
        <v>42891</v>
      </c>
      <c r="G23" s="136"/>
      <c r="H23" s="136"/>
      <c r="I23" s="136"/>
      <c r="J23" s="136"/>
      <c r="K23" s="100">
        <f>_xll.qlDayCounterYearFraction(DayCounter,D23,F23,,,Trigger)</f>
        <v>0.26111111111111113</v>
      </c>
      <c r="L23" s="139">
        <f>_xll.qlYieldTSDiscount(Discounting,D23,,AllTriggers)</f>
        <v>1.000020555872458</v>
      </c>
      <c r="M23" s="139">
        <f>_xll.qlYieldTSDiscount(Discounting,F23,,AllTriggers)</f>
        <v>1.0009443099914743</v>
      </c>
      <c r="N23" s="149">
        <f t="shared" si="7"/>
        <v>-3.534444121504751E-3</v>
      </c>
      <c r="O23" s="112">
        <f t="shared" si="6"/>
        <v>-1.1803813392561643E-3</v>
      </c>
      <c r="P23" s="112">
        <f t="shared" si="8"/>
        <v>-1.5683739695045546E-3</v>
      </c>
      <c r="Q23" s="112">
        <f t="shared" si="9"/>
        <v>-1.5857020961275003E-3</v>
      </c>
      <c r="R23" s="85"/>
      <c r="AG23" s="114">
        <f>_xll.qlCalendarAdvance(Calendar,AG22,"1d","mf",,Trigger)</f>
        <v>42825</v>
      </c>
      <c r="AH23" s="100">
        <f>_xll.qlDayCounterYearFraction(DayCounter,SettlementDate,AG23,,,Trigger)</f>
        <v>7.7777777777777779E-2</v>
      </c>
      <c r="AI23" s="112">
        <f t="shared" si="0"/>
        <v>2.355512784479325E-3</v>
      </c>
      <c r="AJ23" s="112">
        <f t="shared" si="1"/>
        <v>1.9133551786599762E-3</v>
      </c>
      <c r="AK23" s="112">
        <f t="shared" si="2"/>
        <v>1.8881501745834914E-3</v>
      </c>
    </row>
    <row r="24" spans="3:37" ht="12.2" customHeight="1" x14ac:dyDescent="0.2">
      <c r="C24" s="113" t="s">
        <v>43</v>
      </c>
      <c r="D24" s="98">
        <f t="shared" si="5"/>
        <v>42797</v>
      </c>
      <c r="E24" s="98"/>
      <c r="F24" s="114">
        <f>_xll.qlCalendarAdvance(Calendar,SettlementDate,C24,"mf",TRUE,Trigger)</f>
        <v>42919</v>
      </c>
      <c r="G24" s="136"/>
      <c r="H24" s="136"/>
      <c r="I24" s="136"/>
      <c r="J24" s="136"/>
      <c r="K24" s="100">
        <f>_xll.qlDayCounterYearFraction(DayCounter,D24,F24,,,Trigger)</f>
        <v>0.33888888888888891</v>
      </c>
      <c r="L24" s="139">
        <f>_xll.qlYieldTSDiscount(Discounting,D24,,AllTriggers)</f>
        <v>1.000020555872458</v>
      </c>
      <c r="M24" s="139">
        <f>_xll.qlYieldTSDiscount(Discounting,F24,,AllTriggers)</f>
        <v>1.0012198517777355</v>
      </c>
      <c r="N24" s="149">
        <f t="shared" si="7"/>
        <v>-3.5345942688967246E-3</v>
      </c>
      <c r="O24" s="112">
        <f t="shared" si="6"/>
        <v>-1.1809637232460572E-3</v>
      </c>
      <c r="P24" s="112">
        <f t="shared" si="8"/>
        <v>-1.5291272850854996E-3</v>
      </c>
      <c r="Q24" s="112">
        <f t="shared" si="9"/>
        <v>-1.5412856900368587E-3</v>
      </c>
      <c r="R24" s="85"/>
      <c r="AG24" s="114">
        <f>_xll.qlCalendarAdvance(Calendar,AG23,"1d","mf",,Trigger)</f>
        <v>42828</v>
      </c>
      <c r="AH24" s="100">
        <f>_xll.qlDayCounterYearFraction(DayCounter,SettlementDate,AG24,,,Trigger)</f>
        <v>8.611111111111111E-2</v>
      </c>
      <c r="AI24" s="112">
        <f t="shared" si="0"/>
        <v>2.355512784479325E-3</v>
      </c>
      <c r="AJ24" s="112">
        <f t="shared" si="1"/>
        <v>1.9218855504764267E-3</v>
      </c>
      <c r="AK24" s="112">
        <f t="shared" si="2"/>
        <v>1.8981668416699913E-3</v>
      </c>
    </row>
    <row r="25" spans="3:37" ht="12.2" customHeight="1" x14ac:dyDescent="0.2">
      <c r="C25" s="113" t="s">
        <v>44</v>
      </c>
      <c r="D25" s="98">
        <f t="shared" si="5"/>
        <v>42797</v>
      </c>
      <c r="E25" s="98"/>
      <c r="F25" s="114">
        <f>_xll.qlCalendarAdvance(Calendar,SettlementDate,C25,"mf",TRUE,Trigger)</f>
        <v>42950</v>
      </c>
      <c r="G25" s="136"/>
      <c r="H25" s="136"/>
      <c r="I25" s="136"/>
      <c r="J25" s="136"/>
      <c r="K25" s="100">
        <f>_xll.qlDayCounterYearFraction(DayCounter,D25,F25,,,Trigger)</f>
        <v>0.42499999999999999</v>
      </c>
      <c r="L25" s="139">
        <f>_xll.qlYieldTSDiscount(Discounting,D25,,AllTriggers)</f>
        <v>1.000020555872458</v>
      </c>
      <c r="M25" s="139">
        <f>_xll.qlYieldTSDiscount(Discounting,F25,,AllTriggers)</f>
        <v>1.0015239797167339</v>
      </c>
      <c r="N25" s="149">
        <f t="shared" ref="N25:N32" si="10">(L25/M25-1)/K25</f>
        <v>-3.5320850429212797E-3</v>
      </c>
      <c r="O25" s="112">
        <f t="shared" ref="O25:O32" si="11">((1+N25*K25)*EXP($X$15*K25)-1)/K25</f>
        <v>-1.1789305371704352E-3</v>
      </c>
      <c r="P25" s="112">
        <f t="shared" ref="P25:P32" si="12">((1+K25*N25)*EXP($X$10*K25+0.5*$X$9*K25^2)-1)/K25</f>
        <v>-1.4830083622390374E-3</v>
      </c>
      <c r="Q25" s="112">
        <f t="shared" ref="Q25:Q32" si="13">((1+K25*N25)*EXP($X$5*K25+0.5*$X$4*K25^2+1/3*$X$3*K25^3)-1)/K25</f>
        <v>-1.4903484553114724E-3</v>
      </c>
      <c r="R25" s="85"/>
      <c r="AG25" s="114">
        <f>_xll.qlCalendarAdvance(Calendar,AG24,"1d","mf",,Trigger)</f>
        <v>42829</v>
      </c>
      <c r="AH25" s="100">
        <f>_xll.qlDayCounterYearFraction(DayCounter,SettlementDate,AG25,,,Trigger)</f>
        <v>8.8888888888888892E-2</v>
      </c>
      <c r="AI25" s="112">
        <f t="shared" si="0"/>
        <v>2.355512784479325E-3</v>
      </c>
      <c r="AJ25" s="112">
        <f t="shared" si="1"/>
        <v>1.924729007748577E-3</v>
      </c>
      <c r="AK25" s="112">
        <f t="shared" si="2"/>
        <v>1.9014997961998422E-3</v>
      </c>
    </row>
    <row r="26" spans="3:37" ht="12.2" customHeight="1" x14ac:dyDescent="0.2">
      <c r="C26" s="113" t="s">
        <v>37</v>
      </c>
      <c r="D26" s="98">
        <f t="shared" si="5"/>
        <v>42797</v>
      </c>
      <c r="E26" s="98"/>
      <c r="F26" s="114">
        <f>_xll.qlCalendarAdvance(Calendar,SettlementDate,C26,"mf",TRUE,Trigger)</f>
        <v>42982</v>
      </c>
      <c r="G26" s="136"/>
      <c r="H26" s="136"/>
      <c r="I26" s="136"/>
      <c r="J26" s="136"/>
      <c r="K26" s="100">
        <f>_xll.qlDayCounterYearFraction(DayCounter,D26,F26,,,Trigger)</f>
        <v>0.51388888888888884</v>
      </c>
      <c r="L26" s="139">
        <f>_xll.qlYieldTSDiscount(Discounting,D26,,AllTriggers)</f>
        <v>1.000020555872458</v>
      </c>
      <c r="M26" s="139">
        <f>_xll.qlYieldTSDiscount(Discounting,F26,,AllTriggers)</f>
        <v>1.0018385113188129</v>
      </c>
      <c r="N26" s="149">
        <f t="shared" si="10"/>
        <v>-3.5311509697183536E-3</v>
      </c>
      <c r="O26" s="112">
        <f t="shared" si="11"/>
        <v>-1.1784889157541139E-3</v>
      </c>
      <c r="P26" s="112">
        <f t="shared" si="12"/>
        <v>-1.4370696302643058E-3</v>
      </c>
      <c r="Q26" s="112">
        <f t="shared" si="13"/>
        <v>-1.4404333870412093E-3</v>
      </c>
      <c r="AG26" s="114">
        <f>_xll.qlCalendarAdvance(Calendar,AG25,"1d","mf",,Trigger)</f>
        <v>42830</v>
      </c>
      <c r="AH26" s="100">
        <f>_xll.qlDayCounterYearFraction(DayCounter,SettlementDate,AG26,,,Trigger)</f>
        <v>9.166666666666666E-2</v>
      </c>
      <c r="AI26" s="112">
        <f t="shared" si="0"/>
        <v>2.355512784479325E-3</v>
      </c>
      <c r="AJ26" s="112">
        <f t="shared" si="1"/>
        <v>1.927572465020727E-3</v>
      </c>
      <c r="AK26" s="112">
        <f t="shared" si="2"/>
        <v>1.9048297834802024E-3</v>
      </c>
    </row>
    <row r="27" spans="3:37" ht="12.2" customHeight="1" x14ac:dyDescent="0.2">
      <c r="C27" s="113" t="s">
        <v>45</v>
      </c>
      <c r="D27" s="98">
        <f t="shared" si="5"/>
        <v>42797</v>
      </c>
      <c r="E27" s="98"/>
      <c r="F27" s="114">
        <f>_xll.qlCalendarAdvance(Calendar,SettlementDate,C27,"mf",TRUE,Trigger)</f>
        <v>43011</v>
      </c>
      <c r="G27" s="136"/>
      <c r="H27" s="136"/>
      <c r="I27" s="136"/>
      <c r="J27" s="136"/>
      <c r="K27" s="100">
        <f>_xll.qlDayCounterYearFraction(DayCounter,D27,F27,,,Trigger)</f>
        <v>0.59444444444444444</v>
      </c>
      <c r="L27" s="139">
        <f>_xll.qlYieldTSDiscount(Discounting,D27,,AllTriggers)</f>
        <v>1.000020555872458</v>
      </c>
      <c r="M27" s="139">
        <f>_xll.qlYieldTSDiscount(Discounting,F27,,AllTriggers)</f>
        <v>1.002122508009355</v>
      </c>
      <c r="N27" s="149">
        <f t="shared" si="10"/>
        <v>-3.5285049689280164E-3</v>
      </c>
      <c r="O27" s="112">
        <f t="shared" si="11"/>
        <v>-1.1762864437835955E-3</v>
      </c>
      <c r="P27" s="112">
        <f t="shared" si="12"/>
        <v>-1.3936447707554788E-3</v>
      </c>
      <c r="Q27" s="112">
        <f t="shared" si="13"/>
        <v>-1.3942798289295639E-3</v>
      </c>
      <c r="AG27" s="114">
        <f>_xll.qlCalendarAdvance(Calendar,AG26,"1d","mf",,Trigger)</f>
        <v>42831</v>
      </c>
      <c r="AH27" s="100">
        <f>_xll.qlDayCounterYearFraction(DayCounter,SettlementDate,AG27,,,Trigger)</f>
        <v>9.4444444444444442E-2</v>
      </c>
      <c r="AI27" s="112">
        <f t="shared" si="0"/>
        <v>2.355512784479325E-3</v>
      </c>
      <c r="AJ27" s="112">
        <f t="shared" si="1"/>
        <v>1.9304159222928773E-3</v>
      </c>
      <c r="AK27" s="112">
        <f t="shared" si="2"/>
        <v>1.9081568035110717E-3</v>
      </c>
    </row>
    <row r="28" spans="3:37" ht="12.2" customHeight="1" x14ac:dyDescent="0.2">
      <c r="C28" s="113" t="s">
        <v>46</v>
      </c>
      <c r="D28" s="98">
        <f t="shared" si="5"/>
        <v>42797</v>
      </c>
      <c r="E28" s="98"/>
      <c r="F28" s="114">
        <f>_xll.qlCalendarAdvance(Calendar,SettlementDate,C28,"mf",TRUE,Trigger)</f>
        <v>43042</v>
      </c>
      <c r="G28" s="136"/>
      <c r="H28" s="136"/>
      <c r="I28" s="136"/>
      <c r="J28" s="136"/>
      <c r="K28" s="100">
        <f>_xll.qlDayCounterYearFraction(DayCounter,D28,F28,,,Trigger)</f>
        <v>0.68055555555555558</v>
      </c>
      <c r="L28" s="139">
        <f>_xll.qlYieldTSDiscount(Discounting,D28,,AllTriggers)</f>
        <v>1.000020555872458</v>
      </c>
      <c r="M28" s="139">
        <f>_xll.qlYieldTSDiscount(Discounting,F28,,AllTriggers)</f>
        <v>1.0024253022553387</v>
      </c>
      <c r="N28" s="149">
        <f t="shared" si="10"/>
        <v>-3.5249558058648416E-3</v>
      </c>
      <c r="O28" s="112">
        <f t="shared" si="11"/>
        <v>-1.1732092389236659E-3</v>
      </c>
      <c r="P28" s="112">
        <f t="shared" si="12"/>
        <v>-1.3465114146699517E-3</v>
      </c>
      <c r="Q28" s="112">
        <f t="shared" si="13"/>
        <v>-1.3451491135128455E-3</v>
      </c>
      <c r="AG28" s="114">
        <f>_xll.qlCalendarAdvance(Calendar,AG27,"1d","mf",,Trigger)</f>
        <v>42832</v>
      </c>
      <c r="AH28" s="100">
        <f>_xll.qlDayCounterYearFraction(DayCounter,SettlementDate,AG28,,,Trigger)</f>
        <v>9.7222222222222224E-2</v>
      </c>
      <c r="AI28" s="112">
        <f t="shared" si="0"/>
        <v>2.355512784479325E-3</v>
      </c>
      <c r="AJ28" s="112">
        <f t="shared" si="1"/>
        <v>1.9332593795650275E-3</v>
      </c>
      <c r="AK28" s="112">
        <f t="shared" si="2"/>
        <v>1.9114808562924498E-3</v>
      </c>
    </row>
    <row r="29" spans="3:37" ht="12.2" customHeight="1" x14ac:dyDescent="0.2">
      <c r="C29" s="113" t="s">
        <v>47</v>
      </c>
      <c r="D29" s="98">
        <f t="shared" si="5"/>
        <v>42797</v>
      </c>
      <c r="E29" s="98"/>
      <c r="F29" s="114">
        <f>_xll.qlCalendarAdvance(Calendar,SettlementDate,C29,"mf",TRUE,Trigger)</f>
        <v>43073</v>
      </c>
      <c r="G29" s="136"/>
      <c r="H29" s="136"/>
      <c r="I29" s="136"/>
      <c r="J29" s="136"/>
      <c r="K29" s="100">
        <f>_xll.qlDayCounterYearFraction(DayCounter,D29,F29,,,Trigger)</f>
        <v>0.76666666666666672</v>
      </c>
      <c r="L29" s="139">
        <f>_xll.qlYieldTSDiscount(Discounting,D29,,AllTriggers)</f>
        <v>1.000020555872458</v>
      </c>
      <c r="M29" s="139">
        <f>_xll.qlYieldTSDiscount(Discounting,F29,,AllTriggers)</f>
        <v>1.002729387122127</v>
      </c>
      <c r="N29" s="149">
        <f t="shared" si="10"/>
        <v>-3.5236407719961499E-3</v>
      </c>
      <c r="O29" s="112">
        <f t="shared" si="11"/>
        <v>-1.1723688723125588E-3</v>
      </c>
      <c r="P29" s="112">
        <f t="shared" si="12"/>
        <v>-1.3016234813444045E-3</v>
      </c>
      <c r="Q29" s="112">
        <f t="shared" si="13"/>
        <v>-1.2992137102343564E-3</v>
      </c>
      <c r="AG29" s="114">
        <f>_xll.qlCalendarAdvance(Calendar,AG28,"1d","mf",,Trigger)</f>
        <v>42835</v>
      </c>
      <c r="AH29" s="100">
        <f>_xll.qlDayCounterYearFraction(DayCounter,SettlementDate,AG29,,,Trigger)</f>
        <v>0.10555555555555556</v>
      </c>
      <c r="AI29" s="112">
        <f t="shared" si="0"/>
        <v>2.355512784479325E-3</v>
      </c>
      <c r="AJ29" s="112">
        <f t="shared" si="1"/>
        <v>1.9417897513814781E-3</v>
      </c>
      <c r="AK29" s="112">
        <f t="shared" si="2"/>
        <v>1.9214352111396381E-3</v>
      </c>
    </row>
    <row r="30" spans="3:37" ht="12.2" customHeight="1" x14ac:dyDescent="0.2">
      <c r="C30" s="113" t="s">
        <v>48</v>
      </c>
      <c r="D30" s="98">
        <f t="shared" si="5"/>
        <v>42797</v>
      </c>
      <c r="E30" s="98"/>
      <c r="F30" s="114">
        <f>_xll.qlCalendarAdvance(Calendar,SettlementDate,C30,"mf",TRUE,Trigger)</f>
        <v>43103</v>
      </c>
      <c r="G30" s="136"/>
      <c r="H30" s="136"/>
      <c r="I30" s="136"/>
      <c r="J30" s="136"/>
      <c r="K30" s="100">
        <f>_xll.qlDayCounterYearFraction(DayCounter,D30,F30,,,Trigger)</f>
        <v>0.85</v>
      </c>
      <c r="L30" s="139">
        <f>_xll.qlYieldTSDiscount(Discounting,D30,,AllTriggers)</f>
        <v>1.000020555872458</v>
      </c>
      <c r="M30" s="139">
        <f>_xll.qlYieldTSDiscount(Discounting,F30,,AllTriggers)</f>
        <v>1.0030228100170737</v>
      </c>
      <c r="N30" s="149">
        <f t="shared" si="10"/>
        <v>-3.5214191185620031E-3</v>
      </c>
      <c r="O30" s="112">
        <f t="shared" si="11"/>
        <v>-1.1706042708600271E-3</v>
      </c>
      <c r="P30" s="112">
        <f t="shared" si="12"/>
        <v>-1.2572402313640809E-3</v>
      </c>
      <c r="Q30" s="112">
        <f t="shared" si="13"/>
        <v>-1.2547209595207864E-3</v>
      </c>
      <c r="AG30" s="114">
        <f>_xll.qlCalendarAdvance(Calendar,AG29,"1d","mf",,Trigger)</f>
        <v>42836</v>
      </c>
      <c r="AH30" s="100">
        <f>_xll.qlDayCounterYearFraction(DayCounter,SettlementDate,AG30,,,Trigger)</f>
        <v>0.10833333333333334</v>
      </c>
      <c r="AI30" s="112">
        <f t="shared" si="0"/>
        <v>2.355512784479325E-3</v>
      </c>
      <c r="AJ30" s="112">
        <f t="shared" si="1"/>
        <v>1.9446332086536281E-3</v>
      </c>
      <c r="AK30" s="112">
        <f t="shared" si="2"/>
        <v>1.9247473949230525E-3</v>
      </c>
    </row>
    <row r="31" spans="3:37" ht="12.2" customHeight="1" x14ac:dyDescent="0.2">
      <c r="C31" s="113" t="s">
        <v>49</v>
      </c>
      <c r="D31" s="98">
        <f t="shared" si="5"/>
        <v>42797</v>
      </c>
      <c r="E31" s="98"/>
      <c r="F31" s="114">
        <f>_xll.qlCalendarAdvance(Calendar,SettlementDate,C31,"mf",TRUE,Trigger)</f>
        <v>43136</v>
      </c>
      <c r="G31" s="136"/>
      <c r="H31" s="136"/>
      <c r="I31" s="136"/>
      <c r="J31" s="136"/>
      <c r="K31" s="100">
        <f>_xll.qlDayCounterYearFraction(DayCounter,D31,F31,,,Trigger)</f>
        <v>0.94166666666666665</v>
      </c>
      <c r="L31" s="139">
        <f>_xll.qlYieldTSDiscount(Discounting,D31,,AllTriggers)</f>
        <v>1.000020555872458</v>
      </c>
      <c r="M31" s="139">
        <f>_xll.qlYieldTSDiscount(Discounting,F31,,AllTriggers)</f>
        <v>1.0033419268415087</v>
      </c>
      <c r="N31" s="149">
        <f t="shared" si="10"/>
        <v>-3.5153714987815029E-3</v>
      </c>
      <c r="O31" s="112">
        <f t="shared" si="11"/>
        <v>-1.1650505183945631E-3</v>
      </c>
      <c r="P31" s="112">
        <f t="shared" si="12"/>
        <v>-1.2048145015296822E-3</v>
      </c>
      <c r="Q31" s="112">
        <f t="shared" si="13"/>
        <v>-1.2032017527419507E-3</v>
      </c>
      <c r="AG31" s="114">
        <f>_xll.qlCalendarAdvance(Calendar,AG30,"1d","mf",,Trigger)</f>
        <v>42837</v>
      </c>
      <c r="AH31" s="100">
        <f>_xll.qlDayCounterYearFraction(DayCounter,SettlementDate,AG31,,,Trigger)</f>
        <v>0.1111111111111111</v>
      </c>
      <c r="AI31" s="112">
        <f t="shared" si="0"/>
        <v>2.355512784479325E-3</v>
      </c>
      <c r="AJ31" s="112">
        <f t="shared" si="1"/>
        <v>1.9474766659257783E-3</v>
      </c>
      <c r="AK31" s="112">
        <f t="shared" si="2"/>
        <v>1.9280566114569754E-3</v>
      </c>
    </row>
    <row r="32" spans="3:37" ht="12.2" customHeight="1" x14ac:dyDescent="0.2">
      <c r="C32" s="117" t="s">
        <v>50</v>
      </c>
      <c r="D32" s="103">
        <f t="shared" si="5"/>
        <v>42797</v>
      </c>
      <c r="E32" s="103"/>
      <c r="F32" s="118">
        <f>_xll.qlCalendarAdvance(Calendar,SettlementDate,C32,"mf",TRUE,Trigger)</f>
        <v>43164</v>
      </c>
      <c r="G32" s="140"/>
      <c r="H32" s="140"/>
      <c r="I32" s="140"/>
      <c r="J32" s="140"/>
      <c r="K32" s="105">
        <f>_xll.qlDayCounterYearFraction(DayCounter,D32,F32,,,Trigger)</f>
        <v>1.0194444444444444</v>
      </c>
      <c r="L32" s="141">
        <f>_xll.qlYieldTSDiscount(Discounting,D32,,AllTriggers)</f>
        <v>1.000020555872458</v>
      </c>
      <c r="M32" s="141">
        <f>_xll.qlYieldTSDiscount(Discounting,F32,,AllTriggers)</f>
        <v>1.003609142356672</v>
      </c>
      <c r="N32" s="150">
        <f t="shared" si="10"/>
        <v>-3.5074803347229281E-3</v>
      </c>
      <c r="O32" s="121">
        <f t="shared" si="11"/>
        <v>-1.1575698055268963E-3</v>
      </c>
      <c r="P32" s="121">
        <f t="shared" si="12"/>
        <v>-1.1575698055268963E-3</v>
      </c>
      <c r="Q32" s="121">
        <f t="shared" si="13"/>
        <v>-1.1575698055268963E-3</v>
      </c>
      <c r="AG32" s="114">
        <f>_xll.qlCalendarAdvance(Calendar,AG31,"1d","mf",,Trigger)</f>
        <v>42838</v>
      </c>
      <c r="AH32" s="100">
        <f>_xll.qlDayCounterYearFraction(DayCounter,SettlementDate,AG32,,,Trigger)</f>
        <v>0.11388888888888889</v>
      </c>
      <c r="AI32" s="112">
        <f t="shared" si="0"/>
        <v>2.355512784479325E-3</v>
      </c>
      <c r="AJ32" s="112">
        <f t="shared" si="1"/>
        <v>1.9503201231979286E-3</v>
      </c>
      <c r="AK32" s="112">
        <f t="shared" si="2"/>
        <v>1.9313628607414075E-3</v>
      </c>
    </row>
    <row r="33" spans="3:37" ht="12.2" customHeight="1" x14ac:dyDescent="0.2">
      <c r="AG33" s="114">
        <f>_xll.qlCalendarAdvance(Calendar,AG32,"1d","mf",,Trigger)</f>
        <v>42843</v>
      </c>
      <c r="AH33" s="100">
        <f>_xll.qlDayCounterYearFraction(DayCounter,SettlementDate,AG33,,,Trigger)</f>
        <v>0.12777777777777777</v>
      </c>
      <c r="AI33" s="112">
        <f t="shared" si="0"/>
        <v>2.355512784479325E-3</v>
      </c>
      <c r="AJ33" s="112">
        <f t="shared" si="1"/>
        <v>1.9645374095586792E-3</v>
      </c>
      <c r="AK33" s="112">
        <f t="shared" si="2"/>
        <v>1.9478495984212025E-3</v>
      </c>
    </row>
    <row r="34" spans="3:37" ht="12.2" customHeight="1" x14ac:dyDescent="0.2">
      <c r="C34" s="87" t="s">
        <v>106</v>
      </c>
      <c r="AG34" s="114">
        <f>_xll.qlCalendarAdvance(Calendar,AG33,"1d","mf",,Trigger)</f>
        <v>42844</v>
      </c>
      <c r="AH34" s="100">
        <f>_xll.qlDayCounterYearFraction(DayCounter,SettlementDate,AG34,,,Trigger)</f>
        <v>0.13055555555555556</v>
      </c>
      <c r="AI34" s="112">
        <f t="shared" si="0"/>
        <v>2.355512784479325E-3</v>
      </c>
      <c r="AJ34" s="112">
        <f t="shared" si="1"/>
        <v>1.9673808668308297E-3</v>
      </c>
      <c r="AK34" s="112">
        <f t="shared" si="2"/>
        <v>1.9511380442086886E-3</v>
      </c>
    </row>
    <row r="35" spans="3:37" ht="12.2" customHeight="1" x14ac:dyDescent="0.2">
      <c r="C35" s="124" t="s">
        <v>91</v>
      </c>
      <c r="AG35" s="114">
        <f>_xll.qlCalendarAdvance(Calendar,AG34,"1d","mf",,Trigger)</f>
        <v>42845</v>
      </c>
      <c r="AH35" s="100">
        <f>_xll.qlDayCounterYearFraction(DayCounter,SettlementDate,AG35,,,Trigger)</f>
        <v>0.13333333333333333</v>
      </c>
      <c r="AI35" s="112">
        <f t="shared" ref="AI35:AI66" si="14">$X$15</f>
        <v>2.355512784479325E-3</v>
      </c>
      <c r="AJ35" s="112">
        <f t="shared" si="1"/>
        <v>1.9702243241029797E-3</v>
      </c>
      <c r="AK35" s="112">
        <f t="shared" si="2"/>
        <v>1.9544235227466835E-3</v>
      </c>
    </row>
    <row r="36" spans="3:37" ht="12.2" customHeight="1" x14ac:dyDescent="0.2">
      <c r="C36" s="112">
        <f>IF($C$35="FLAT",O17,IF($C$35="linear",P17,Q17))</f>
        <v>-1.793115768733422E-3</v>
      </c>
      <c r="AG36" s="114">
        <f>_xll.qlCalendarAdvance(Calendar,AG35,"1d","mf",,Trigger)</f>
        <v>42846</v>
      </c>
      <c r="AH36" s="100">
        <f>_xll.qlDayCounterYearFraction(DayCounter,SettlementDate,AG36,,,Trigger)</f>
        <v>0.1361111111111111</v>
      </c>
      <c r="AI36" s="112">
        <f t="shared" si="14"/>
        <v>2.355512784479325E-3</v>
      </c>
      <c r="AJ36" s="112">
        <f t="shared" si="1"/>
        <v>1.9730677813751298E-3</v>
      </c>
      <c r="AK36" s="112">
        <f t="shared" si="2"/>
        <v>1.9577060340351875E-3</v>
      </c>
    </row>
    <row r="37" spans="3:37" ht="12.2" customHeight="1" x14ac:dyDescent="0.2">
      <c r="C37" s="112">
        <f t="shared" ref="C37:C51" si="15">IF($C$35="FLAT",O18,IF($C$35="linear",P18,Q18))</f>
        <v>-1.7064037444772648E-3</v>
      </c>
      <c r="AG37" s="114">
        <f>_xll.qlCalendarAdvance(Calendar,AG36,"1d","mf",,Trigger)</f>
        <v>42849</v>
      </c>
      <c r="AH37" s="100">
        <f>_xll.qlDayCounterYearFraction(DayCounter,SettlementDate,AG37,,,Trigger)</f>
        <v>0.14444444444444443</v>
      </c>
      <c r="AI37" s="112">
        <f t="shared" si="14"/>
        <v>2.355512784479325E-3</v>
      </c>
      <c r="AJ37" s="112">
        <f t="shared" si="1"/>
        <v>1.9815981531915803E-3</v>
      </c>
      <c r="AK37" s="112">
        <f t="shared" si="2"/>
        <v>1.9675357644037533E-3</v>
      </c>
    </row>
    <row r="38" spans="3:37" ht="12.2" customHeight="1" x14ac:dyDescent="0.2">
      <c r="C38" s="112">
        <f t="shared" si="15"/>
        <v>-1.6965465263983426E-3</v>
      </c>
      <c r="AG38" s="114">
        <f>_xll.qlCalendarAdvance(Calendar,AG37,"1d","mf",,Trigger)</f>
        <v>42850</v>
      </c>
      <c r="AH38" s="100">
        <f>_xll.qlDayCounterYearFraction(DayCounter,SettlementDate,AG38,,,Trigger)</f>
        <v>0.14722222222222223</v>
      </c>
      <c r="AI38" s="112">
        <f t="shared" si="14"/>
        <v>2.355512784479325E-3</v>
      </c>
      <c r="AJ38" s="112">
        <f t="shared" si="1"/>
        <v>1.9844416104637308E-3</v>
      </c>
      <c r="AK38" s="112">
        <f t="shared" si="2"/>
        <v>1.9708064066942931E-3</v>
      </c>
    </row>
    <row r="39" spans="3:37" ht="12.2" customHeight="1" x14ac:dyDescent="0.2">
      <c r="C39" s="112">
        <f t="shared" si="15"/>
        <v>-1.6866899649960385E-3</v>
      </c>
      <c r="AG39" s="114">
        <f>_xll.qlCalendarAdvance(Calendar,AG38,"1d","mf",,Trigger)</f>
        <v>42851</v>
      </c>
      <c r="AH39" s="100">
        <f>_xll.qlDayCounterYearFraction(DayCounter,SettlementDate,AG39,,,Trigger)</f>
        <v>0.15</v>
      </c>
      <c r="AI39" s="112">
        <f t="shared" si="14"/>
        <v>2.355512784479325E-3</v>
      </c>
      <c r="AJ39" s="112">
        <f t="shared" si="1"/>
        <v>1.9872850677358808E-3</v>
      </c>
      <c r="AK39" s="112">
        <f t="shared" si="2"/>
        <v>1.9740740817353422E-3</v>
      </c>
    </row>
    <row r="40" spans="3:37" x14ac:dyDescent="0.2">
      <c r="C40" s="112">
        <f t="shared" si="15"/>
        <v>-1.6526070563422709E-3</v>
      </c>
      <c r="AG40" s="114">
        <f>_xll.qlCalendarAdvance(Calendar,AG39,"1d","mf",,Trigger)</f>
        <v>42852</v>
      </c>
      <c r="AH40" s="100">
        <f>_xll.qlDayCounterYearFraction(DayCounter,SettlementDate,AG40,,,Trigger)</f>
        <v>0.15277777777777779</v>
      </c>
      <c r="AI40" s="112">
        <f t="shared" si="14"/>
        <v>2.355512784479325E-3</v>
      </c>
      <c r="AJ40" s="112">
        <f t="shared" si="1"/>
        <v>1.9901285250080308E-3</v>
      </c>
      <c r="AK40" s="112">
        <f t="shared" si="2"/>
        <v>1.9773387895268999E-3</v>
      </c>
    </row>
    <row r="41" spans="3:37" x14ac:dyDescent="0.2">
      <c r="C41" s="112">
        <f t="shared" si="15"/>
        <v>-1.6134432601247609E-3</v>
      </c>
      <c r="AG41" s="114">
        <f>_xll.qlCalendarAdvance(Calendar,AG40,"1d","mf",,Trigger)</f>
        <v>42853</v>
      </c>
      <c r="AH41" s="100">
        <f>_xll.qlDayCounterYearFraction(DayCounter,SettlementDate,AG41,,,Trigger)</f>
        <v>0.15555555555555556</v>
      </c>
      <c r="AI41" s="112">
        <f t="shared" si="14"/>
        <v>2.355512784479325E-3</v>
      </c>
      <c r="AJ41" s="112">
        <f t="shared" si="1"/>
        <v>1.9929719822801809E-3</v>
      </c>
      <c r="AK41" s="112">
        <f t="shared" si="2"/>
        <v>1.9806005300689669E-3</v>
      </c>
    </row>
    <row r="42" spans="3:37" x14ac:dyDescent="0.2">
      <c r="C42" s="112">
        <f t="shared" si="15"/>
        <v>-1.5683739695045546E-3</v>
      </c>
      <c r="AG42" s="114">
        <f>_xll.qlCalendarAdvance(Calendar,AG41,"1d","mf",,Trigger)</f>
        <v>42857</v>
      </c>
      <c r="AH42" s="100">
        <f>_xll.qlDayCounterYearFraction(DayCounter,SettlementDate,AG42,,,Trigger)</f>
        <v>0.16666666666666666</v>
      </c>
      <c r="AI42" s="112">
        <f t="shared" si="14"/>
        <v>2.355512784479325E-3</v>
      </c>
      <c r="AJ42" s="112">
        <f t="shared" si="1"/>
        <v>2.0043458113687819E-3</v>
      </c>
      <c r="AK42" s="112">
        <f t="shared" si="2"/>
        <v>1.9936178197423244E-3</v>
      </c>
    </row>
    <row r="43" spans="3:37" x14ac:dyDescent="0.2">
      <c r="C43" s="112">
        <f t="shared" si="15"/>
        <v>-1.5291272850854996E-3</v>
      </c>
      <c r="AG43" s="114">
        <f>_xll.qlCalendarAdvance(Calendar,AG42,"1d","mf",,Trigger)</f>
        <v>42858</v>
      </c>
      <c r="AH43" s="100">
        <f>_xll.qlDayCounterYearFraction(DayCounter,SettlementDate,AG43,,,Trigger)</f>
        <v>0.16944444444444445</v>
      </c>
      <c r="AI43" s="112">
        <f t="shared" si="14"/>
        <v>2.355512784479325E-3</v>
      </c>
      <c r="AJ43" s="112">
        <f t="shared" si="1"/>
        <v>2.0071892686409319E-3</v>
      </c>
      <c r="AK43" s="112">
        <f t="shared" si="2"/>
        <v>1.996864724036936E-3</v>
      </c>
    </row>
    <row r="44" spans="3:37" x14ac:dyDescent="0.2">
      <c r="C44" s="112">
        <f t="shared" si="15"/>
        <v>-1.4830083622390374E-3</v>
      </c>
      <c r="AG44" s="114">
        <f>_xll.qlCalendarAdvance(Calendar,AG43,"1d","mf",,Trigger)</f>
        <v>42859</v>
      </c>
      <c r="AH44" s="100">
        <f>_xll.qlDayCounterYearFraction(DayCounter,SettlementDate,AG44,,,Trigger)</f>
        <v>0.17222222222222222</v>
      </c>
      <c r="AI44" s="112">
        <f t="shared" si="14"/>
        <v>2.355512784479325E-3</v>
      </c>
      <c r="AJ44" s="112">
        <f t="shared" si="1"/>
        <v>2.010032725913082E-3</v>
      </c>
      <c r="AK44" s="112">
        <f t="shared" si="2"/>
        <v>2.0001086610820567E-3</v>
      </c>
    </row>
    <row r="45" spans="3:37" ht="11.25" customHeight="1" x14ac:dyDescent="0.2">
      <c r="C45" s="112">
        <f t="shared" si="15"/>
        <v>-1.4370696302643058E-3</v>
      </c>
      <c r="AG45" s="114">
        <f>_xll.qlCalendarAdvance(Calendar,AG44,"1d","mf",,Trigger)</f>
        <v>42860</v>
      </c>
      <c r="AH45" s="100">
        <f>_xll.qlDayCounterYearFraction(DayCounter,SettlementDate,AG45,,,Trigger)</f>
        <v>0.17499999999999999</v>
      </c>
      <c r="AI45" s="112">
        <f t="shared" si="14"/>
        <v>2.355512784479325E-3</v>
      </c>
      <c r="AJ45" s="112">
        <f t="shared" si="1"/>
        <v>2.0128761831852324E-3</v>
      </c>
      <c r="AK45" s="112">
        <f t="shared" si="2"/>
        <v>2.0033496308776867E-3</v>
      </c>
    </row>
    <row r="46" spans="3:37" x14ac:dyDescent="0.2">
      <c r="C46" s="112">
        <f t="shared" si="15"/>
        <v>-1.3936447707554788E-3</v>
      </c>
      <c r="AG46" s="114">
        <f>_xll.qlCalendarAdvance(Calendar,AG45,"1d","mf",,Trigger)</f>
        <v>42863</v>
      </c>
      <c r="AH46" s="100">
        <f>_xll.qlDayCounterYearFraction(DayCounter,SettlementDate,AG46,,,Trigger)</f>
        <v>0.18333333333333332</v>
      </c>
      <c r="AI46" s="112">
        <f t="shared" si="14"/>
        <v>2.355512784479325E-3</v>
      </c>
      <c r="AJ46" s="112">
        <f t="shared" si="1"/>
        <v>2.0214065550016825E-3</v>
      </c>
      <c r="AK46" s="112">
        <f t="shared" si="2"/>
        <v>2.0130547367676293E-3</v>
      </c>
    </row>
    <row r="47" spans="3:37" x14ac:dyDescent="0.2">
      <c r="C47" s="112">
        <f t="shared" si="15"/>
        <v>-1.3465114146699517E-3</v>
      </c>
      <c r="AG47" s="114">
        <f>_xll.qlCalendarAdvance(Calendar,AG46,"1d","mf",,Trigger)</f>
        <v>42864</v>
      </c>
      <c r="AH47" s="100">
        <f>_xll.qlDayCounterYearFraction(DayCounter,SettlementDate,AG47,,,Trigger)</f>
        <v>0.18611111111111112</v>
      </c>
      <c r="AI47" s="112">
        <f t="shared" si="14"/>
        <v>2.355512784479325E-3</v>
      </c>
      <c r="AJ47" s="112">
        <f t="shared" si="1"/>
        <v>2.024250012273833E-3</v>
      </c>
      <c r="AK47" s="112">
        <f t="shared" si="2"/>
        <v>2.0162838375652951E-3</v>
      </c>
    </row>
    <row r="48" spans="3:37" x14ac:dyDescent="0.2">
      <c r="C48" s="112">
        <f t="shared" si="15"/>
        <v>-1.3016234813444045E-3</v>
      </c>
      <c r="AG48" s="114">
        <f>_xll.qlCalendarAdvance(Calendar,AG47,"1d","mf",,Trigger)</f>
        <v>42865</v>
      </c>
      <c r="AH48" s="100">
        <f>_xll.qlDayCounterYearFraction(DayCounter,SettlementDate,AG48,,,Trigger)</f>
        <v>0.18888888888888888</v>
      </c>
      <c r="AI48" s="112">
        <f t="shared" si="14"/>
        <v>2.355512784479325E-3</v>
      </c>
      <c r="AJ48" s="112">
        <f t="shared" si="1"/>
        <v>2.027093469545983E-3</v>
      </c>
      <c r="AK48" s="112">
        <f t="shared" si="2"/>
        <v>2.0195099711134701E-3</v>
      </c>
    </row>
    <row r="49" spans="3:37" x14ac:dyDescent="0.2">
      <c r="C49" s="112">
        <f t="shared" si="15"/>
        <v>-1.2572402313640809E-3</v>
      </c>
      <c r="O49" s="85"/>
      <c r="P49" s="85"/>
      <c r="AG49" s="114">
        <f>_xll.qlCalendarAdvance(Calendar,AG48,"1d","mf",,Trigger)</f>
        <v>42866</v>
      </c>
      <c r="AH49" s="100">
        <f>_xll.qlDayCounterYearFraction(DayCounter,SettlementDate,AG49,,,Trigger)</f>
        <v>0.19166666666666668</v>
      </c>
      <c r="AI49" s="112">
        <f t="shared" si="14"/>
        <v>2.355512784479325E-3</v>
      </c>
      <c r="AJ49" s="112">
        <f t="shared" si="1"/>
        <v>2.0299369268181331E-3</v>
      </c>
      <c r="AK49" s="112">
        <f t="shared" si="2"/>
        <v>2.0227331374121538E-3</v>
      </c>
    </row>
    <row r="50" spans="3:37" x14ac:dyDescent="0.2">
      <c r="C50" s="112">
        <f t="shared" si="15"/>
        <v>-1.2048145015296822E-3</v>
      </c>
      <c r="AG50" s="114">
        <f>_xll.qlCalendarAdvance(Calendar,AG49,"1d","mf",,Trigger)</f>
        <v>42867</v>
      </c>
      <c r="AH50" s="100">
        <f>_xll.qlDayCounterYearFraction(DayCounter,SettlementDate,AG50,,,Trigger)</f>
        <v>0.19444444444444445</v>
      </c>
      <c r="AI50" s="112">
        <f t="shared" si="14"/>
        <v>2.355512784479325E-3</v>
      </c>
      <c r="AJ50" s="112">
        <f t="shared" si="1"/>
        <v>2.0327803840902835E-3</v>
      </c>
      <c r="AK50" s="112">
        <f t="shared" si="2"/>
        <v>2.0259533364613467E-3</v>
      </c>
    </row>
    <row r="51" spans="3:37" x14ac:dyDescent="0.2">
      <c r="C51" s="121">
        <f t="shared" si="15"/>
        <v>-1.1575698055268963E-3</v>
      </c>
      <c r="AG51" s="114">
        <f>_xll.qlCalendarAdvance(Calendar,AG50,"1d","mf",,Trigger)</f>
        <v>42870</v>
      </c>
      <c r="AH51" s="100">
        <f>_xll.qlDayCounterYearFraction(DayCounter,SettlementDate,AG51,,,Trigger)</f>
        <v>0.20277777777777778</v>
      </c>
      <c r="AI51" s="112">
        <f t="shared" si="14"/>
        <v>2.355512784479325E-3</v>
      </c>
      <c r="AJ51" s="112">
        <f t="shared" si="1"/>
        <v>2.0413107559067341E-3</v>
      </c>
      <c r="AK51" s="112">
        <f t="shared" si="2"/>
        <v>2.0355961301119782E-3</v>
      </c>
    </row>
    <row r="52" spans="3:37" x14ac:dyDescent="0.2">
      <c r="AG52" s="114">
        <f>_xll.qlCalendarAdvance(Calendar,AG51,"1d","mf",,Trigger)</f>
        <v>42871</v>
      </c>
      <c r="AH52" s="100">
        <f>_xll.qlDayCounterYearFraction(DayCounter,SettlementDate,AG52,,,Trigger)</f>
        <v>0.20555555555555555</v>
      </c>
      <c r="AI52" s="112">
        <f t="shared" si="14"/>
        <v>2.355512784479325E-3</v>
      </c>
      <c r="AJ52" s="112">
        <f t="shared" si="1"/>
        <v>2.0441542131788841E-3</v>
      </c>
      <c r="AK52" s="112">
        <f t="shared" si="2"/>
        <v>2.038804460163207E-3</v>
      </c>
    </row>
    <row r="53" spans="3:37" x14ac:dyDescent="0.2">
      <c r="AG53" s="114">
        <f>_xll.qlCalendarAdvance(Calendar,AG52,"1d","mf",,Trigger)</f>
        <v>42872</v>
      </c>
      <c r="AH53" s="100">
        <f>_xll.qlDayCounterYearFraction(DayCounter,SettlementDate,AG53,,,Trigger)</f>
        <v>0.20833333333333334</v>
      </c>
      <c r="AI53" s="112">
        <f t="shared" si="14"/>
        <v>2.355512784479325E-3</v>
      </c>
      <c r="AJ53" s="112">
        <f t="shared" si="1"/>
        <v>2.0469976704510342E-3</v>
      </c>
      <c r="AK53" s="112">
        <f t="shared" si="2"/>
        <v>2.0420098229649445E-3</v>
      </c>
    </row>
    <row r="54" spans="3:37" x14ac:dyDescent="0.2">
      <c r="AG54" s="114">
        <f>_xll.qlCalendarAdvance(Calendar,AG53,"1d","mf",,Trigger)</f>
        <v>42873</v>
      </c>
      <c r="AH54" s="100">
        <f>_xll.qlDayCounterYearFraction(DayCounter,SettlementDate,AG54,,,Trigger)</f>
        <v>0.21111111111111111</v>
      </c>
      <c r="AI54" s="112">
        <f t="shared" si="14"/>
        <v>2.355512784479325E-3</v>
      </c>
      <c r="AJ54" s="112">
        <f t="shared" si="1"/>
        <v>2.0498411277231846E-3</v>
      </c>
      <c r="AK54" s="112">
        <f t="shared" si="2"/>
        <v>2.0452122185171907E-3</v>
      </c>
    </row>
    <row r="55" spans="3:37" x14ac:dyDescent="0.2">
      <c r="AG55" s="114">
        <f>_xll.qlCalendarAdvance(Calendar,AG54,"1d","mf",,Trigger)</f>
        <v>42874</v>
      </c>
      <c r="AH55" s="100">
        <f>_xll.qlDayCounterYearFraction(DayCounter,SettlementDate,AG55,,,Trigger)</f>
        <v>0.21388888888888888</v>
      </c>
      <c r="AI55" s="112">
        <f t="shared" si="14"/>
        <v>2.355512784479325E-3</v>
      </c>
      <c r="AJ55" s="112">
        <f t="shared" si="1"/>
        <v>2.0526845849953347E-3</v>
      </c>
      <c r="AK55" s="112">
        <f t="shared" si="2"/>
        <v>2.048411646819947E-3</v>
      </c>
    </row>
    <row r="56" spans="3:37" x14ac:dyDescent="0.2">
      <c r="AG56" s="114">
        <f>_xll.qlCalendarAdvance(Calendar,AG55,"1d","mf",,Trigger)</f>
        <v>42877</v>
      </c>
      <c r="AH56" s="100">
        <f>_xll.qlDayCounterYearFraction(DayCounter,SettlementDate,AG56,,,Trigger)</f>
        <v>0.22222222222222221</v>
      </c>
      <c r="AI56" s="112">
        <f t="shared" si="14"/>
        <v>2.355512784479325E-3</v>
      </c>
      <c r="AJ56" s="112">
        <f t="shared" si="1"/>
        <v>2.0612149568117852E-3</v>
      </c>
      <c r="AK56" s="112">
        <f t="shared" si="2"/>
        <v>2.0579921282312674E-3</v>
      </c>
    </row>
    <row r="57" spans="3:37" x14ac:dyDescent="0.2">
      <c r="AG57" s="114">
        <f>_xll.qlCalendarAdvance(Calendar,AG56,"1d","mf",,Trigger)</f>
        <v>42878</v>
      </c>
      <c r="AH57" s="100">
        <f>_xll.qlDayCounterYearFraction(DayCounter,SettlementDate,AG57,,,Trigger)</f>
        <v>0.22500000000000001</v>
      </c>
      <c r="AI57" s="112">
        <f t="shared" si="14"/>
        <v>2.355512784479325E-3</v>
      </c>
      <c r="AJ57" s="112">
        <f t="shared" si="1"/>
        <v>2.0640584140839352E-3</v>
      </c>
      <c r="AK57" s="112">
        <f t="shared" si="2"/>
        <v>2.0611796875360587E-3</v>
      </c>
    </row>
    <row r="58" spans="3:37" x14ac:dyDescent="0.2">
      <c r="AG58" s="114">
        <f>_xll.qlCalendarAdvance(Calendar,AG57,"1d","mf",,Trigger)</f>
        <v>42879</v>
      </c>
      <c r="AH58" s="100">
        <f>_xll.qlDayCounterYearFraction(DayCounter,SettlementDate,AG58,,,Trigger)</f>
        <v>0.22777777777777777</v>
      </c>
      <c r="AI58" s="112">
        <f t="shared" si="14"/>
        <v>2.355512784479325E-3</v>
      </c>
      <c r="AJ58" s="112">
        <f t="shared" si="1"/>
        <v>2.0669018713560857E-3</v>
      </c>
      <c r="AK58" s="112">
        <f t="shared" si="2"/>
        <v>2.0643642795913591E-3</v>
      </c>
    </row>
    <row r="59" spans="3:37" x14ac:dyDescent="0.2">
      <c r="AG59" s="114">
        <f>_xll.qlCalendarAdvance(Calendar,AG58,"1d","mf",,Trigger)</f>
        <v>42880</v>
      </c>
      <c r="AH59" s="100">
        <f>_xll.qlDayCounterYearFraction(DayCounter,SettlementDate,AG59,,,Trigger)</f>
        <v>0.23055555555555557</v>
      </c>
      <c r="AI59" s="112">
        <f t="shared" si="14"/>
        <v>2.355512784479325E-3</v>
      </c>
      <c r="AJ59" s="112">
        <f t="shared" si="1"/>
        <v>2.0697453286282357E-3</v>
      </c>
      <c r="AK59" s="112">
        <f t="shared" si="2"/>
        <v>2.0675459043971688E-3</v>
      </c>
    </row>
    <row r="60" spans="3:37" x14ac:dyDescent="0.2">
      <c r="AG60" s="114">
        <f>_xll.qlCalendarAdvance(Calendar,AG59,"1d","mf",,Trigger)</f>
        <v>42881</v>
      </c>
      <c r="AH60" s="100">
        <f>_xll.qlDayCounterYearFraction(DayCounter,SettlementDate,AG60,,,Trigger)</f>
        <v>0.23333333333333334</v>
      </c>
      <c r="AI60" s="112">
        <f t="shared" si="14"/>
        <v>2.355512784479325E-3</v>
      </c>
      <c r="AJ60" s="112">
        <f t="shared" si="1"/>
        <v>2.0725887859003858E-3</v>
      </c>
      <c r="AK60" s="112">
        <f t="shared" si="2"/>
        <v>2.0707245619534871E-3</v>
      </c>
    </row>
    <row r="61" spans="3:37" x14ac:dyDescent="0.2">
      <c r="AG61" s="114">
        <f>_xll.qlCalendarAdvance(Calendar,AG60,"1d","mf",,Trigger)</f>
        <v>42884</v>
      </c>
      <c r="AH61" s="100">
        <f>_xll.qlDayCounterYearFraction(DayCounter,SettlementDate,AG61,,,Trigger)</f>
        <v>0.24166666666666667</v>
      </c>
      <c r="AI61" s="112">
        <f t="shared" si="14"/>
        <v>2.355512784479325E-3</v>
      </c>
      <c r="AJ61" s="112">
        <f t="shared" si="1"/>
        <v>2.0811191577168363E-3</v>
      </c>
      <c r="AK61" s="112">
        <f t="shared" si="2"/>
        <v>2.0802427311254965E-3</v>
      </c>
    </row>
    <row r="62" spans="3:37" x14ac:dyDescent="0.2">
      <c r="AG62" s="114">
        <f>_xll.qlCalendarAdvance(Calendar,AG61,"1d","mf",,Trigger)</f>
        <v>42885</v>
      </c>
      <c r="AH62" s="100">
        <f>_xll.qlDayCounterYearFraction(DayCounter,SettlementDate,AG62,,,Trigger)</f>
        <v>0.24444444444444444</v>
      </c>
      <c r="AI62" s="112">
        <f t="shared" si="14"/>
        <v>2.355512784479325E-3</v>
      </c>
      <c r="AJ62" s="112">
        <f t="shared" si="1"/>
        <v>2.0839626149889864E-3</v>
      </c>
      <c r="AK62" s="112">
        <f t="shared" si="2"/>
        <v>2.0834095196838511E-3</v>
      </c>
    </row>
    <row r="63" spans="3:37" x14ac:dyDescent="0.2">
      <c r="AG63" s="114">
        <f>_xll.qlCalendarAdvance(Calendar,AG62,"1d","mf",,Trigger)</f>
        <v>42886</v>
      </c>
      <c r="AH63" s="100">
        <f>_xll.qlDayCounterYearFraction(DayCounter,SettlementDate,AG63,,,Trigger)</f>
        <v>0.24722222222222223</v>
      </c>
      <c r="AI63" s="112">
        <f t="shared" si="14"/>
        <v>2.355512784479325E-3</v>
      </c>
      <c r="AJ63" s="112">
        <f t="shared" si="1"/>
        <v>2.0868060722611368E-3</v>
      </c>
      <c r="AK63" s="112">
        <f t="shared" si="2"/>
        <v>2.0865733409927145E-3</v>
      </c>
    </row>
    <row r="64" spans="3:37" x14ac:dyDescent="0.2">
      <c r="AG64" s="114">
        <f>_xll.qlCalendarAdvance(Calendar,AG63,"1d","mf",,Trigger)</f>
        <v>42887</v>
      </c>
      <c r="AH64" s="100">
        <f>_xll.qlDayCounterYearFraction(DayCounter,SettlementDate,AG64,,,Trigger)</f>
        <v>0.25</v>
      </c>
      <c r="AI64" s="112">
        <f t="shared" si="14"/>
        <v>2.355512784479325E-3</v>
      </c>
      <c r="AJ64" s="112">
        <f t="shared" si="1"/>
        <v>2.0896495295332869E-3</v>
      </c>
      <c r="AK64" s="112">
        <f t="shared" si="2"/>
        <v>2.0897341950520867E-3</v>
      </c>
    </row>
    <row r="65" spans="15:37" x14ac:dyDescent="0.2">
      <c r="AG65" s="114">
        <f>_xll.qlCalendarAdvance(Calendar,AG64,"1d","mf",,Trigger)</f>
        <v>42888</v>
      </c>
      <c r="AH65" s="100">
        <f>_xll.qlDayCounterYearFraction(DayCounter,SettlementDate,AG65,,,Trigger)</f>
        <v>0.25277777777777777</v>
      </c>
      <c r="AI65" s="112">
        <f t="shared" si="14"/>
        <v>2.355512784479325E-3</v>
      </c>
      <c r="AJ65" s="112">
        <f t="shared" si="1"/>
        <v>2.0924929868054369E-3</v>
      </c>
      <c r="AK65" s="112">
        <f t="shared" si="2"/>
        <v>2.092892081861968E-3</v>
      </c>
    </row>
    <row r="66" spans="15:37" x14ac:dyDescent="0.2">
      <c r="AG66" s="114">
        <f>_xll.qlCalendarAdvance(Calendar,AG65,"1d","mf",,Trigger)</f>
        <v>42891</v>
      </c>
      <c r="AH66" s="100">
        <f>_xll.qlDayCounterYearFraction(DayCounter,SettlementDate,AG66,,,Trigger)</f>
        <v>0.26111111111111113</v>
      </c>
      <c r="AI66" s="112">
        <f t="shared" si="14"/>
        <v>2.355512784479325E-3</v>
      </c>
      <c r="AJ66" s="112">
        <f t="shared" si="1"/>
        <v>2.1010233586218874E-3</v>
      </c>
      <c r="AK66" s="112">
        <f t="shared" si="2"/>
        <v>2.1023479387946658E-3</v>
      </c>
    </row>
    <row r="67" spans="15:37" x14ac:dyDescent="0.2">
      <c r="AG67" s="114">
        <f>_xll.qlCalendarAdvance(Calendar,AG66,"1d","mf",,Trigger)</f>
        <v>42892</v>
      </c>
      <c r="AH67" s="100">
        <f>_xll.qlDayCounterYearFraction(DayCounter,SettlementDate,AG67,,,Trigger)</f>
        <v>0.2638888888888889</v>
      </c>
      <c r="AI67" s="112">
        <f t="shared" ref="AI67:AI130" si="16">$X$15</f>
        <v>2.355512784479325E-3</v>
      </c>
      <c r="AJ67" s="112">
        <f t="shared" ref="AJ67:AJ123" si="17">$X$10+$X$9*AH67</f>
        <v>2.1038668158940379E-3</v>
      </c>
      <c r="AK67" s="112">
        <f t="shared" ref="AK67:AK123" si="18">($X$5+$X$4*AH67+$X$3*AH67^2)</f>
        <v>2.1054939566065834E-3</v>
      </c>
    </row>
    <row r="68" spans="15:37" x14ac:dyDescent="0.2">
      <c r="O68" s="85"/>
      <c r="AG68" s="114">
        <f>_xll.qlCalendarAdvance(Calendar,AG67,"1d","mf",,Trigger)</f>
        <v>42893</v>
      </c>
      <c r="AH68" s="100">
        <f>_xll.qlDayCounterYearFraction(DayCounter,SettlementDate,AG68,,,Trigger)</f>
        <v>0.26666666666666666</v>
      </c>
      <c r="AI68" s="112">
        <f t="shared" si="16"/>
        <v>2.355512784479325E-3</v>
      </c>
      <c r="AJ68" s="112">
        <f t="shared" si="17"/>
        <v>2.1067102731661879E-3</v>
      </c>
      <c r="AK68" s="112">
        <f t="shared" si="18"/>
        <v>2.1086370071690098E-3</v>
      </c>
    </row>
    <row r="69" spans="15:37" x14ac:dyDescent="0.2">
      <c r="O69" s="85"/>
      <c r="AG69" s="114">
        <f>_xll.qlCalendarAdvance(Calendar,AG68,"1d","mf",,Trigger)</f>
        <v>42894</v>
      </c>
      <c r="AH69" s="100">
        <f>_xll.qlDayCounterYearFraction(DayCounter,SettlementDate,AG69,,,Trigger)</f>
        <v>0.26944444444444443</v>
      </c>
      <c r="AI69" s="112">
        <f t="shared" si="16"/>
        <v>2.355512784479325E-3</v>
      </c>
      <c r="AJ69" s="112">
        <f t="shared" si="17"/>
        <v>2.109553730438338E-3</v>
      </c>
      <c r="AK69" s="112">
        <f t="shared" si="18"/>
        <v>2.1117770904819449E-3</v>
      </c>
    </row>
    <row r="70" spans="15:37" x14ac:dyDescent="0.2">
      <c r="O70" s="85"/>
      <c r="AG70" s="114">
        <f>_xll.qlCalendarAdvance(Calendar,AG69,"1d","mf",,Trigger)</f>
        <v>42895</v>
      </c>
      <c r="AH70" s="100">
        <f>_xll.qlDayCounterYearFraction(DayCounter,SettlementDate,AG70,,,Trigger)</f>
        <v>0.2722222222222222</v>
      </c>
      <c r="AI70" s="112">
        <f t="shared" si="16"/>
        <v>2.355512784479325E-3</v>
      </c>
      <c r="AJ70" s="112">
        <f t="shared" si="17"/>
        <v>2.112397187710488E-3</v>
      </c>
      <c r="AK70" s="112">
        <f t="shared" si="18"/>
        <v>2.1149142065453892E-3</v>
      </c>
    </row>
    <row r="71" spans="15:37" x14ac:dyDescent="0.2">
      <c r="O71" s="85"/>
      <c r="AG71" s="114">
        <f>_xll.qlCalendarAdvance(Calendar,AG70,"1d","mf",,Trigger)</f>
        <v>42898</v>
      </c>
      <c r="AH71" s="100">
        <f>_xll.qlDayCounterYearFraction(DayCounter,SettlementDate,AG71,,,Trigger)</f>
        <v>0.28055555555555556</v>
      </c>
      <c r="AI71" s="112">
        <f t="shared" si="16"/>
        <v>2.355512784479325E-3</v>
      </c>
      <c r="AJ71" s="112">
        <f t="shared" si="17"/>
        <v>2.1209275595269386E-3</v>
      </c>
      <c r="AK71" s="112">
        <f t="shared" si="18"/>
        <v>2.1243077512387758E-3</v>
      </c>
    </row>
    <row r="72" spans="15:37" x14ac:dyDescent="0.2">
      <c r="O72" s="85"/>
      <c r="AG72" s="114">
        <f>_xll.qlCalendarAdvance(Calendar,AG71,"1d","mf",,Trigger)</f>
        <v>42899</v>
      </c>
      <c r="AH72" s="100">
        <f>_xll.qlDayCounterYearFraction(DayCounter,SettlementDate,AG72,,,Trigger)</f>
        <v>0.28333333333333333</v>
      </c>
      <c r="AI72" s="112">
        <f t="shared" si="16"/>
        <v>2.355512784479325E-3</v>
      </c>
      <c r="AJ72" s="112">
        <f t="shared" si="17"/>
        <v>2.123771016799089E-3</v>
      </c>
      <c r="AK72" s="112">
        <f t="shared" si="18"/>
        <v>2.1274329983042559E-3</v>
      </c>
    </row>
    <row r="73" spans="15:37" x14ac:dyDescent="0.2">
      <c r="O73" s="85"/>
      <c r="AG73" s="114">
        <f>_xll.qlCalendarAdvance(Calendar,AG72,"1d","mf",,Trigger)</f>
        <v>42900</v>
      </c>
      <c r="AH73" s="100">
        <f>_xll.qlDayCounterYearFraction(DayCounter,SettlementDate,AG73,,,Trigger)</f>
        <v>0.28611111111111109</v>
      </c>
      <c r="AI73" s="112">
        <f t="shared" si="16"/>
        <v>2.355512784479325E-3</v>
      </c>
      <c r="AJ73" s="112">
        <f t="shared" si="17"/>
        <v>2.1266144740712391E-3</v>
      </c>
      <c r="AK73" s="112">
        <f t="shared" si="18"/>
        <v>2.1305552781202453E-3</v>
      </c>
    </row>
    <row r="74" spans="15:37" x14ac:dyDescent="0.2">
      <c r="O74" s="85"/>
      <c r="P74" s="85"/>
      <c r="AG74" s="114">
        <f>_xll.qlCalendarAdvance(Calendar,AG73,"1d","mf",,Trigger)</f>
        <v>42901</v>
      </c>
      <c r="AH74" s="100">
        <f>_xll.qlDayCounterYearFraction(DayCounter,SettlementDate,AG74,,,Trigger)</f>
        <v>0.28888888888888886</v>
      </c>
      <c r="AI74" s="112">
        <f t="shared" si="16"/>
        <v>2.355512784479325E-3</v>
      </c>
      <c r="AJ74" s="112">
        <f t="shared" si="17"/>
        <v>2.1294579313433891E-3</v>
      </c>
      <c r="AK74" s="112">
        <f t="shared" si="18"/>
        <v>2.1336745906867438E-3</v>
      </c>
    </row>
    <row r="75" spans="15:37" x14ac:dyDescent="0.2">
      <c r="O75" s="85"/>
      <c r="P75" s="85"/>
      <c r="AG75" s="114">
        <f>_xll.qlCalendarAdvance(Calendar,AG74,"1d","mf",,Trigger)</f>
        <v>42902</v>
      </c>
      <c r="AH75" s="100">
        <f>_xll.qlDayCounterYearFraction(DayCounter,SettlementDate,AG75,,,Trigger)</f>
        <v>0.29166666666666669</v>
      </c>
      <c r="AI75" s="112">
        <f t="shared" si="16"/>
        <v>2.355512784479325E-3</v>
      </c>
      <c r="AJ75" s="112">
        <f t="shared" si="17"/>
        <v>2.1323013886155396E-3</v>
      </c>
      <c r="AK75" s="112">
        <f t="shared" si="18"/>
        <v>2.1367909360037506E-3</v>
      </c>
    </row>
    <row r="76" spans="15:37" x14ac:dyDescent="0.2">
      <c r="O76" s="85"/>
      <c r="P76" s="85"/>
      <c r="AG76" s="114">
        <f>_xll.qlCalendarAdvance(Calendar,AG75,"1d","mf",,Trigger)</f>
        <v>42905</v>
      </c>
      <c r="AH76" s="100">
        <f>_xll.qlDayCounterYearFraction(DayCounter,SettlementDate,AG76,,,Trigger)</f>
        <v>0.3</v>
      </c>
      <c r="AI76" s="112">
        <f t="shared" si="16"/>
        <v>2.355512784479325E-3</v>
      </c>
      <c r="AJ76" s="112">
        <f t="shared" si="17"/>
        <v>2.1408317604319901E-3</v>
      </c>
      <c r="AK76" s="112">
        <f t="shared" si="18"/>
        <v>2.1461221684578261E-3</v>
      </c>
    </row>
    <row r="77" spans="15:37" x14ac:dyDescent="0.2">
      <c r="O77" s="85"/>
      <c r="P77" s="85"/>
      <c r="AG77" s="114">
        <f>_xll.qlCalendarAdvance(Calendar,AG76,"1d","mf",,Trigger)</f>
        <v>42906</v>
      </c>
      <c r="AH77" s="100">
        <f>_xll.qlDayCounterYearFraction(DayCounter,SettlementDate,AG77,,,Trigger)</f>
        <v>0.30277777777777776</v>
      </c>
      <c r="AI77" s="112">
        <f t="shared" si="16"/>
        <v>2.355512784479325E-3</v>
      </c>
      <c r="AJ77" s="112">
        <f t="shared" si="17"/>
        <v>2.1436752177041401E-3</v>
      </c>
      <c r="AK77" s="112">
        <f t="shared" si="18"/>
        <v>2.1492266447768692E-3</v>
      </c>
    </row>
    <row r="78" spans="15:37" x14ac:dyDescent="0.2">
      <c r="O78" s="85"/>
      <c r="P78" s="85"/>
      <c r="AG78" s="114">
        <f>_xll.qlCalendarAdvance(Calendar,AG77,"1d","mf",,Trigger)</f>
        <v>42907</v>
      </c>
      <c r="AH78" s="100">
        <f>_xll.qlDayCounterYearFraction(DayCounter,SettlementDate,AG78,,,Trigger)</f>
        <v>0.30555555555555558</v>
      </c>
      <c r="AI78" s="112">
        <f t="shared" si="16"/>
        <v>2.355512784479325E-3</v>
      </c>
      <c r="AJ78" s="112">
        <f t="shared" si="17"/>
        <v>2.1465186749762902E-3</v>
      </c>
      <c r="AK78" s="112">
        <f t="shared" si="18"/>
        <v>2.1523281538464211E-3</v>
      </c>
    </row>
    <row r="79" spans="15:37" x14ac:dyDescent="0.2">
      <c r="O79" s="85"/>
      <c r="P79" s="85"/>
      <c r="AG79" s="114">
        <f>_xll.qlCalendarAdvance(Calendar,AG78,"1d","mf",,Trigger)</f>
        <v>42908</v>
      </c>
      <c r="AH79" s="100">
        <f>_xll.qlDayCounterYearFraction(DayCounter,SettlementDate,AG79,,,Trigger)</f>
        <v>0.30833333333333335</v>
      </c>
      <c r="AI79" s="112">
        <f t="shared" si="16"/>
        <v>2.355512784479325E-3</v>
      </c>
      <c r="AJ79" s="112">
        <f t="shared" si="17"/>
        <v>2.1493621322484406E-3</v>
      </c>
      <c r="AK79" s="112">
        <f t="shared" si="18"/>
        <v>2.1554266956664821E-3</v>
      </c>
    </row>
    <row r="80" spans="15:37" x14ac:dyDescent="0.2">
      <c r="O80" s="85"/>
      <c r="P80" s="85"/>
      <c r="AG80" s="114">
        <f>_xll.qlCalendarAdvance(Calendar,AG79,"1d","mf",,Trigger)</f>
        <v>42909</v>
      </c>
      <c r="AH80" s="100">
        <f>_xll.qlDayCounterYearFraction(DayCounter,SettlementDate,AG80,,,Trigger)</f>
        <v>0.31111111111111112</v>
      </c>
      <c r="AI80" s="112">
        <f t="shared" si="16"/>
        <v>2.355512784479325E-3</v>
      </c>
      <c r="AJ80" s="112">
        <f t="shared" si="17"/>
        <v>2.1522055895205907E-3</v>
      </c>
      <c r="AK80" s="112">
        <f t="shared" si="18"/>
        <v>2.1585222702370523E-3</v>
      </c>
    </row>
    <row r="81" spans="15:37" x14ac:dyDescent="0.2">
      <c r="O81" s="85"/>
      <c r="P81" s="85"/>
      <c r="AG81" s="114">
        <f>_xll.qlCalendarAdvance(Calendar,AG80,"1d","mf",,Trigger)</f>
        <v>42912</v>
      </c>
      <c r="AH81" s="100">
        <f>_xll.qlDayCounterYearFraction(DayCounter,SettlementDate,AG81,,,Trigger)</f>
        <v>0.31944444444444442</v>
      </c>
      <c r="AI81" s="112">
        <f t="shared" si="16"/>
        <v>2.355512784479325E-3</v>
      </c>
      <c r="AJ81" s="112">
        <f t="shared" si="17"/>
        <v>2.1607359613370412E-3</v>
      </c>
      <c r="AK81" s="112">
        <f t="shared" si="18"/>
        <v>2.1677911904518167E-3</v>
      </c>
    </row>
    <row r="82" spans="15:37" x14ac:dyDescent="0.2">
      <c r="O82" s="85"/>
      <c r="P82" s="85"/>
      <c r="AG82" s="114">
        <f>_xll.qlCalendarAdvance(Calendar,AG81,"1d","mf",,Trigger)</f>
        <v>42913</v>
      </c>
      <c r="AH82" s="100">
        <f>_xll.qlDayCounterYearFraction(DayCounter,SettlementDate,AG82,,,Trigger)</f>
        <v>0.32222222222222224</v>
      </c>
      <c r="AI82" s="112">
        <f t="shared" si="16"/>
        <v>2.355512784479325E-3</v>
      </c>
      <c r="AJ82" s="112">
        <f t="shared" si="17"/>
        <v>2.1635794186091913E-3</v>
      </c>
      <c r="AK82" s="112">
        <f t="shared" si="18"/>
        <v>2.1708748960244228E-3</v>
      </c>
    </row>
    <row r="83" spans="15:37" x14ac:dyDescent="0.2">
      <c r="O83" s="85"/>
      <c r="P83" s="85"/>
      <c r="AG83" s="114">
        <f>_xll.qlCalendarAdvance(Calendar,AG82,"1d","mf",,Trigger)</f>
        <v>42914</v>
      </c>
      <c r="AH83" s="100">
        <f>_xll.qlDayCounterYearFraction(DayCounter,SettlementDate,AG83,,,Trigger)</f>
        <v>0.32500000000000001</v>
      </c>
      <c r="AI83" s="112">
        <f t="shared" si="16"/>
        <v>2.355512784479325E-3</v>
      </c>
      <c r="AJ83" s="112">
        <f t="shared" si="17"/>
        <v>2.1664228758813413E-3</v>
      </c>
      <c r="AK83" s="112">
        <f t="shared" si="18"/>
        <v>2.1739556343475376E-3</v>
      </c>
    </row>
    <row r="84" spans="15:37" x14ac:dyDescent="0.2">
      <c r="O84" s="85"/>
      <c r="P84" s="85"/>
      <c r="AG84" s="114">
        <f>_xll.qlCalendarAdvance(Calendar,AG83,"1d","mf",,Trigger)</f>
        <v>42915</v>
      </c>
      <c r="AH84" s="100">
        <f>_xll.qlDayCounterYearFraction(DayCounter,SettlementDate,AG84,,,Trigger)</f>
        <v>0.32777777777777778</v>
      </c>
      <c r="AI84" s="112">
        <f t="shared" si="16"/>
        <v>2.355512784479325E-3</v>
      </c>
      <c r="AJ84" s="112">
        <f t="shared" si="17"/>
        <v>2.1692663331534918E-3</v>
      </c>
      <c r="AK84" s="112">
        <f t="shared" si="18"/>
        <v>2.1770334054211616E-3</v>
      </c>
    </row>
    <row r="85" spans="15:37" x14ac:dyDescent="0.2">
      <c r="O85" s="85"/>
      <c r="P85" s="85"/>
      <c r="AG85" s="114">
        <f>_xll.qlCalendarAdvance(Calendar,AG84,"1d","mf",,Trigger)</f>
        <v>42916</v>
      </c>
      <c r="AH85" s="100">
        <f>_xll.qlDayCounterYearFraction(DayCounter,SettlementDate,AG85,,,Trigger)</f>
        <v>0.33055555555555555</v>
      </c>
      <c r="AI85" s="112">
        <f t="shared" si="16"/>
        <v>2.355512784479325E-3</v>
      </c>
      <c r="AJ85" s="112">
        <f t="shared" si="17"/>
        <v>2.1721097904256418E-3</v>
      </c>
      <c r="AK85" s="112">
        <f t="shared" si="18"/>
        <v>2.1801082092452943E-3</v>
      </c>
    </row>
    <row r="86" spans="15:37" x14ac:dyDescent="0.2">
      <c r="O86" s="85"/>
      <c r="P86" s="85"/>
      <c r="AG86" s="114">
        <f>_xll.qlCalendarAdvance(Calendar,AG85,"1d","mf",,Trigger)</f>
        <v>42919</v>
      </c>
      <c r="AH86" s="100">
        <f>_xll.qlDayCounterYearFraction(DayCounter,SettlementDate,AG86,,,Trigger)</f>
        <v>0.33888888888888891</v>
      </c>
      <c r="AI86" s="112">
        <f t="shared" si="16"/>
        <v>2.355512784479325E-3</v>
      </c>
      <c r="AJ86" s="112">
        <f t="shared" si="17"/>
        <v>2.1806401622420923E-3</v>
      </c>
      <c r="AK86" s="112">
        <f t="shared" si="18"/>
        <v>2.1893148172207476E-3</v>
      </c>
    </row>
    <row r="87" spans="15:37" x14ac:dyDescent="0.2">
      <c r="O87" s="85"/>
      <c r="P87" s="85"/>
      <c r="AG87" s="114">
        <f>_xll.qlCalendarAdvance(Calendar,AG86,"1d","mf",,Trigger)</f>
        <v>42920</v>
      </c>
      <c r="AH87" s="100">
        <f>_xll.qlDayCounterYearFraction(DayCounter,SettlementDate,AG87,,,Trigger)</f>
        <v>0.34166666666666667</v>
      </c>
      <c r="AI87" s="112">
        <f t="shared" si="16"/>
        <v>2.355512784479325E-3</v>
      </c>
      <c r="AJ87" s="112">
        <f t="shared" si="17"/>
        <v>2.1834836195142424E-3</v>
      </c>
      <c r="AK87" s="112">
        <f t="shared" si="18"/>
        <v>2.1923777520469162E-3</v>
      </c>
    </row>
    <row r="88" spans="15:37" x14ac:dyDescent="0.2">
      <c r="O88" s="85"/>
      <c r="P88" s="85"/>
      <c r="AG88" s="114">
        <f>_xll.qlCalendarAdvance(Calendar,AG87,"1d","mf",,Trigger)</f>
        <v>42921</v>
      </c>
      <c r="AH88" s="100">
        <f>_xll.qlDayCounterYearFraction(DayCounter,SettlementDate,AG88,,,Trigger)</f>
        <v>0.34444444444444444</v>
      </c>
      <c r="AI88" s="112">
        <f t="shared" si="16"/>
        <v>2.355512784479325E-3</v>
      </c>
      <c r="AJ88" s="112">
        <f t="shared" si="17"/>
        <v>2.1863270767863928E-3</v>
      </c>
      <c r="AK88" s="112">
        <f t="shared" si="18"/>
        <v>2.1954377196235944E-3</v>
      </c>
    </row>
    <row r="89" spans="15:37" x14ac:dyDescent="0.2">
      <c r="O89" s="85"/>
      <c r="P89" s="85"/>
      <c r="AG89" s="114">
        <f>_xll.qlCalendarAdvance(Calendar,AG88,"1d","mf",,Trigger)</f>
        <v>42922</v>
      </c>
      <c r="AH89" s="100">
        <f>_xll.qlDayCounterYearFraction(DayCounter,SettlementDate,AG89,,,Trigger)</f>
        <v>0.34722222222222221</v>
      </c>
      <c r="AI89" s="112">
        <f t="shared" si="16"/>
        <v>2.355512784479325E-3</v>
      </c>
      <c r="AJ89" s="112">
        <f t="shared" si="17"/>
        <v>2.1891705340585429E-3</v>
      </c>
      <c r="AK89" s="112">
        <f t="shared" si="18"/>
        <v>2.1984947199507809E-3</v>
      </c>
    </row>
    <row r="90" spans="15:37" x14ac:dyDescent="0.2">
      <c r="O90" s="85"/>
      <c r="P90" s="85"/>
      <c r="AG90" s="114">
        <f>_xll.qlCalendarAdvance(Calendar,AG89,"1d","mf",,Trigger)</f>
        <v>42923</v>
      </c>
      <c r="AH90" s="100">
        <f>_xll.qlDayCounterYearFraction(DayCounter,SettlementDate,AG90,,,Trigger)</f>
        <v>0.35</v>
      </c>
      <c r="AI90" s="112">
        <f t="shared" si="16"/>
        <v>2.355512784479325E-3</v>
      </c>
      <c r="AJ90" s="112">
        <f t="shared" si="17"/>
        <v>2.1920139913306929E-3</v>
      </c>
      <c r="AK90" s="112">
        <f t="shared" si="18"/>
        <v>2.201548753028477E-3</v>
      </c>
    </row>
    <row r="91" spans="15:37" x14ac:dyDescent="0.2">
      <c r="O91" s="85"/>
      <c r="P91" s="85"/>
      <c r="AG91" s="114">
        <f>_xll.qlCalendarAdvance(Calendar,AG90,"1d","mf",,Trigger)</f>
        <v>42926</v>
      </c>
      <c r="AH91" s="100">
        <f>_xll.qlDayCounterYearFraction(DayCounter,SettlementDate,AG91,,,Trigger)</f>
        <v>0.35833333333333334</v>
      </c>
      <c r="AI91" s="112">
        <f t="shared" si="16"/>
        <v>2.355512784479325E-3</v>
      </c>
      <c r="AJ91" s="112">
        <f t="shared" si="17"/>
        <v>2.2005443631471435E-3</v>
      </c>
      <c r="AK91" s="112">
        <f t="shared" si="18"/>
        <v>2.2106930487646183E-3</v>
      </c>
    </row>
    <row r="92" spans="15:37" x14ac:dyDescent="0.2">
      <c r="O92" s="85"/>
      <c r="P92" s="85"/>
      <c r="AG92" s="114">
        <f>_xll.qlCalendarAdvance(Calendar,AG91,"1d","mf",,Trigger)</f>
        <v>42927</v>
      </c>
      <c r="AH92" s="100">
        <f>_xll.qlDayCounterYearFraction(DayCounter,SettlementDate,AG92,,,Trigger)</f>
        <v>0.3611111111111111</v>
      </c>
      <c r="AI92" s="112">
        <f t="shared" si="16"/>
        <v>2.355512784479325E-3</v>
      </c>
      <c r="AJ92" s="112">
        <f t="shared" si="17"/>
        <v>2.2033878204192935E-3</v>
      </c>
      <c r="AK92" s="112">
        <f t="shared" si="18"/>
        <v>2.2137352128443499E-3</v>
      </c>
    </row>
    <row r="93" spans="15:37" x14ac:dyDescent="0.2">
      <c r="O93" s="85"/>
      <c r="P93" s="85"/>
      <c r="AG93" s="114">
        <f>_xll.qlCalendarAdvance(Calendar,AG92,"1d","mf",,Trigger)</f>
        <v>42928</v>
      </c>
      <c r="AH93" s="100">
        <f>_xll.qlDayCounterYearFraction(DayCounter,SettlementDate,AG93,,,Trigger)</f>
        <v>0.36388888888888887</v>
      </c>
      <c r="AI93" s="112">
        <f t="shared" si="16"/>
        <v>2.355512784479325E-3</v>
      </c>
      <c r="AJ93" s="112">
        <f t="shared" si="17"/>
        <v>2.206231277691444E-3</v>
      </c>
      <c r="AK93" s="112">
        <f t="shared" si="18"/>
        <v>2.216774409674591E-3</v>
      </c>
    </row>
    <row r="94" spans="15:37" x14ac:dyDescent="0.2">
      <c r="O94" s="85"/>
      <c r="P94" s="85"/>
      <c r="AG94" s="114">
        <f>_xll.qlCalendarAdvance(Calendar,AG93,"1d","mf",,Trigger)</f>
        <v>42929</v>
      </c>
      <c r="AH94" s="100">
        <f>_xll.qlDayCounterYearFraction(DayCounter,SettlementDate,AG94,,,Trigger)</f>
        <v>0.36666666666666664</v>
      </c>
      <c r="AI94" s="112">
        <f t="shared" si="16"/>
        <v>2.355512784479325E-3</v>
      </c>
      <c r="AJ94" s="112">
        <f t="shared" si="17"/>
        <v>2.209074734963594E-3</v>
      </c>
      <c r="AK94" s="112">
        <f t="shared" si="18"/>
        <v>2.2198106392553409E-3</v>
      </c>
    </row>
    <row r="95" spans="15:37" x14ac:dyDescent="0.2">
      <c r="O95" s="85"/>
      <c r="P95" s="85"/>
      <c r="AG95" s="114">
        <f>_xll.qlCalendarAdvance(Calendar,AG94,"1d","mf",,Trigger)</f>
        <v>42930</v>
      </c>
      <c r="AH95" s="100">
        <f>_xll.qlDayCounterYearFraction(DayCounter,SettlementDate,AG95,,,Trigger)</f>
        <v>0.36944444444444446</v>
      </c>
      <c r="AI95" s="112">
        <f t="shared" si="16"/>
        <v>2.355512784479325E-3</v>
      </c>
      <c r="AJ95" s="112">
        <f t="shared" si="17"/>
        <v>2.211918192235744E-3</v>
      </c>
      <c r="AK95" s="112">
        <f t="shared" si="18"/>
        <v>2.2228439015865996E-3</v>
      </c>
    </row>
    <row r="96" spans="15:37" x14ac:dyDescent="0.2">
      <c r="O96" s="85"/>
      <c r="P96" s="85"/>
      <c r="AG96" s="114">
        <f>_xll.qlCalendarAdvance(Calendar,AG95,"1d","mf",,Trigger)</f>
        <v>42933</v>
      </c>
      <c r="AH96" s="100">
        <f>_xll.qlDayCounterYearFraction(DayCounter,SettlementDate,AG96,,,Trigger)</f>
        <v>0.37777777777777777</v>
      </c>
      <c r="AI96" s="112">
        <f t="shared" si="16"/>
        <v>2.355512784479325E-3</v>
      </c>
      <c r="AJ96" s="112">
        <f t="shared" si="17"/>
        <v>2.2204485640521946E-3</v>
      </c>
      <c r="AK96" s="112">
        <f t="shared" si="18"/>
        <v>2.2319258850834298E-3</v>
      </c>
    </row>
    <row r="97" spans="15:37" x14ac:dyDescent="0.2">
      <c r="O97" s="85"/>
      <c r="P97" s="85"/>
      <c r="AG97" s="114">
        <f>_xll.qlCalendarAdvance(Calendar,AG96,"1d","mf",,Trigger)</f>
        <v>42934</v>
      </c>
      <c r="AH97" s="100">
        <f>_xll.qlDayCounterYearFraction(DayCounter,SettlementDate,AG97,,,Trigger)</f>
        <v>0.38055555555555554</v>
      </c>
      <c r="AI97" s="112">
        <f t="shared" si="16"/>
        <v>2.355512784479325E-3</v>
      </c>
      <c r="AJ97" s="112">
        <f t="shared" si="17"/>
        <v>2.223292021324345E-3</v>
      </c>
      <c r="AK97" s="112">
        <f t="shared" si="18"/>
        <v>2.2349472784167243E-3</v>
      </c>
    </row>
    <row r="98" spans="15:37" x14ac:dyDescent="0.2">
      <c r="O98" s="85"/>
      <c r="P98" s="85"/>
      <c r="AG98" s="114">
        <f>_xll.qlCalendarAdvance(Calendar,AG97,"1d","mf",,Trigger)</f>
        <v>42935</v>
      </c>
      <c r="AH98" s="100">
        <f>_xll.qlDayCounterYearFraction(DayCounter,SettlementDate,AG98,,,Trigger)</f>
        <v>0.38333333333333336</v>
      </c>
      <c r="AI98" s="112">
        <f t="shared" si="16"/>
        <v>2.355512784479325E-3</v>
      </c>
      <c r="AJ98" s="112">
        <f t="shared" si="17"/>
        <v>2.2261354785964951E-3</v>
      </c>
      <c r="AK98" s="112">
        <f t="shared" si="18"/>
        <v>2.237965704500528E-3</v>
      </c>
    </row>
    <row r="99" spans="15:37" x14ac:dyDescent="0.2">
      <c r="O99" s="85"/>
      <c r="P99" s="85"/>
      <c r="AG99" s="114">
        <f>_xll.qlCalendarAdvance(Calendar,AG98,"1d","mf",,Trigger)</f>
        <v>42936</v>
      </c>
      <c r="AH99" s="100">
        <f>_xll.qlDayCounterYearFraction(DayCounter,SettlementDate,AG99,,,Trigger)</f>
        <v>0.38611111111111113</v>
      </c>
      <c r="AI99" s="112">
        <f t="shared" si="16"/>
        <v>2.355512784479325E-3</v>
      </c>
      <c r="AJ99" s="112">
        <f t="shared" si="17"/>
        <v>2.2289789358686451E-3</v>
      </c>
      <c r="AK99" s="112">
        <f t="shared" si="18"/>
        <v>2.2409811633348408E-3</v>
      </c>
    </row>
    <row r="100" spans="15:37" x14ac:dyDescent="0.2">
      <c r="O100" s="85"/>
      <c r="P100" s="85"/>
      <c r="AG100" s="114">
        <f>_xll.qlCalendarAdvance(Calendar,AG99,"1d","mf",,Trigger)</f>
        <v>42937</v>
      </c>
      <c r="AH100" s="100">
        <f>_xll.qlDayCounterYearFraction(DayCounter,SettlementDate,AG100,,,Trigger)</f>
        <v>0.3888888888888889</v>
      </c>
      <c r="AI100" s="112">
        <f t="shared" si="16"/>
        <v>2.355512784479325E-3</v>
      </c>
      <c r="AJ100" s="112">
        <f t="shared" si="17"/>
        <v>2.2318223931407956E-3</v>
      </c>
      <c r="AK100" s="112">
        <f t="shared" si="18"/>
        <v>2.2439936549196629E-3</v>
      </c>
    </row>
    <row r="101" spans="15:37" x14ac:dyDescent="0.2">
      <c r="O101" s="85"/>
      <c r="P101" s="85"/>
      <c r="AG101" s="114">
        <f>_xll.qlCalendarAdvance(Calendar,AG100,"1d","mf",,Trigger)</f>
        <v>42940</v>
      </c>
      <c r="AH101" s="100">
        <f>_xll.qlDayCounterYearFraction(DayCounter,SettlementDate,AG101,,,Trigger)</f>
        <v>0.3972222222222222</v>
      </c>
      <c r="AI101" s="112">
        <f t="shared" si="16"/>
        <v>2.355512784479325E-3</v>
      </c>
      <c r="AJ101" s="112">
        <f t="shared" si="17"/>
        <v>2.2403527649572457E-3</v>
      </c>
      <c r="AK101" s="112">
        <f t="shared" si="18"/>
        <v>2.2530133261771815E-3</v>
      </c>
    </row>
    <row r="102" spans="15:37" x14ac:dyDescent="0.2">
      <c r="O102" s="85"/>
      <c r="P102" s="85"/>
      <c r="AG102" s="114">
        <f>_xll.qlCalendarAdvance(Calendar,AG101,"1d","mf",,Trigger)</f>
        <v>42941</v>
      </c>
      <c r="AH102" s="100">
        <f>_xll.qlDayCounterYearFraction(DayCounter,SettlementDate,AG102,,,Trigger)</f>
        <v>0.4</v>
      </c>
      <c r="AI102" s="112">
        <f t="shared" si="16"/>
        <v>2.355512784479325E-3</v>
      </c>
      <c r="AJ102" s="112">
        <f t="shared" si="17"/>
        <v>2.2431962222293962E-3</v>
      </c>
      <c r="AK102" s="112">
        <f t="shared" si="18"/>
        <v>2.256013948764039E-3</v>
      </c>
    </row>
    <row r="103" spans="15:37" x14ac:dyDescent="0.2">
      <c r="O103" s="85"/>
      <c r="P103" s="85"/>
      <c r="AG103" s="114">
        <f>_xll.qlCalendarAdvance(Calendar,AG102,"1d","mf",,Trigger)</f>
        <v>42942</v>
      </c>
      <c r="AH103" s="100">
        <f>_xll.qlDayCounterYearFraction(DayCounter,SettlementDate,AG103,,,Trigger)</f>
        <v>0.40277777777777779</v>
      </c>
      <c r="AI103" s="112">
        <f t="shared" si="16"/>
        <v>2.355512784479325E-3</v>
      </c>
      <c r="AJ103" s="112">
        <f t="shared" si="17"/>
        <v>2.2460396795015462E-3</v>
      </c>
      <c r="AK103" s="112">
        <f t="shared" si="18"/>
        <v>2.2590116041014056E-3</v>
      </c>
    </row>
    <row r="104" spans="15:37" x14ac:dyDescent="0.2">
      <c r="O104" s="85"/>
      <c r="P104" s="85"/>
      <c r="AG104" s="114">
        <f>_xll.qlCalendarAdvance(Calendar,AG103,"1d","mf",,Trigger)</f>
        <v>42943</v>
      </c>
      <c r="AH104" s="100">
        <f>_xll.qlDayCounterYearFraction(DayCounter,SettlementDate,AG104,,,Trigger)</f>
        <v>0.40555555555555556</v>
      </c>
      <c r="AI104" s="112">
        <f t="shared" si="16"/>
        <v>2.355512784479325E-3</v>
      </c>
      <c r="AJ104" s="112">
        <f t="shared" si="17"/>
        <v>2.2488831367736962E-3</v>
      </c>
      <c r="AK104" s="112">
        <f t="shared" si="18"/>
        <v>2.262006292189281E-3</v>
      </c>
    </row>
    <row r="105" spans="15:37" x14ac:dyDescent="0.2">
      <c r="O105" s="85"/>
      <c r="P105" s="85"/>
      <c r="AG105" s="114">
        <f>_xll.qlCalendarAdvance(Calendar,AG104,"1d","mf",,Trigger)</f>
        <v>42944</v>
      </c>
      <c r="AH105" s="100">
        <f>_xll.qlDayCounterYearFraction(DayCounter,SettlementDate,AG105,,,Trigger)</f>
        <v>0.40833333333333333</v>
      </c>
      <c r="AI105" s="112">
        <f t="shared" si="16"/>
        <v>2.355512784479325E-3</v>
      </c>
      <c r="AJ105" s="112">
        <f t="shared" si="17"/>
        <v>2.2517265940458467E-3</v>
      </c>
      <c r="AK105" s="112">
        <f t="shared" si="18"/>
        <v>2.2649980130276656E-3</v>
      </c>
    </row>
    <row r="106" spans="15:37" x14ac:dyDescent="0.2">
      <c r="O106" s="85"/>
      <c r="P106" s="85"/>
      <c r="AG106" s="114">
        <f>_xll.qlCalendarAdvance(Calendar,AG105,"1d","mf",,Trigger)</f>
        <v>42947</v>
      </c>
      <c r="AH106" s="100">
        <f>_xll.qlDayCounterYearFraction(DayCounter,SettlementDate,AG106,,,Trigger)</f>
        <v>0.41666666666666669</v>
      </c>
      <c r="AI106" s="112">
        <f t="shared" si="16"/>
        <v>2.355512784479325E-3</v>
      </c>
      <c r="AJ106" s="112">
        <f t="shared" si="17"/>
        <v>2.2602569658622972E-3</v>
      </c>
      <c r="AK106" s="112">
        <f t="shared" si="18"/>
        <v>2.2739553720458735E-3</v>
      </c>
    </row>
    <row r="107" spans="15:37" x14ac:dyDescent="0.2">
      <c r="O107" s="85"/>
      <c r="P107" s="85"/>
      <c r="AG107" s="114">
        <f>_xll.qlCalendarAdvance(Calendar,AG106,"1d","mf",,Trigger)</f>
        <v>42948</v>
      </c>
      <c r="AH107" s="100">
        <f>_xll.qlDayCounterYearFraction(DayCounter,SettlementDate,AG107,,,Trigger)</f>
        <v>0.41944444444444445</v>
      </c>
      <c r="AI107" s="112">
        <f t="shared" si="16"/>
        <v>2.355512784479325E-3</v>
      </c>
      <c r="AJ107" s="112">
        <f t="shared" si="17"/>
        <v>2.2631004231344473E-3</v>
      </c>
      <c r="AK107" s="112">
        <f t="shared" si="18"/>
        <v>2.2769352238862939E-3</v>
      </c>
    </row>
    <row r="108" spans="15:37" x14ac:dyDescent="0.2">
      <c r="O108" s="85"/>
      <c r="P108" s="85"/>
      <c r="AG108" s="114">
        <f>_xll.qlCalendarAdvance(Calendar,AG107,"1d","mf",,Trigger)</f>
        <v>42949</v>
      </c>
      <c r="AH108" s="100">
        <f>_xll.qlDayCounterYearFraction(DayCounter,SettlementDate,AG108,,,Trigger)</f>
        <v>0.42222222222222222</v>
      </c>
      <c r="AI108" s="112">
        <f t="shared" si="16"/>
        <v>2.355512784479325E-3</v>
      </c>
      <c r="AJ108" s="112">
        <f t="shared" si="17"/>
        <v>2.2659438804065973E-3</v>
      </c>
      <c r="AK108" s="112">
        <f t="shared" si="18"/>
        <v>2.2799121084772236E-3</v>
      </c>
    </row>
    <row r="109" spans="15:37" x14ac:dyDescent="0.2">
      <c r="O109" s="85"/>
      <c r="P109" s="85"/>
      <c r="AG109" s="114">
        <f>_xll.qlCalendarAdvance(Calendar,AG108,"1d","mf",,Trigger)</f>
        <v>42950</v>
      </c>
      <c r="AH109" s="100">
        <f>_xll.qlDayCounterYearFraction(DayCounter,SettlementDate,AG109,,,Trigger)</f>
        <v>0.42499999999999999</v>
      </c>
      <c r="AI109" s="112">
        <f t="shared" si="16"/>
        <v>2.355512784479325E-3</v>
      </c>
      <c r="AJ109" s="112">
        <f t="shared" si="17"/>
        <v>2.2687873376787478E-3</v>
      </c>
      <c r="AK109" s="112">
        <f t="shared" si="18"/>
        <v>2.2828860258186619E-3</v>
      </c>
    </row>
    <row r="110" spans="15:37" x14ac:dyDescent="0.2">
      <c r="O110" s="85"/>
      <c r="P110" s="85"/>
      <c r="AG110" s="114">
        <f>_xll.qlCalendarAdvance(Calendar,AG109,"1d","mf",,Trigger)</f>
        <v>42951</v>
      </c>
      <c r="AH110" s="100">
        <f>_xll.qlDayCounterYearFraction(DayCounter,SettlementDate,AG110,,,Trigger)</f>
        <v>0.42777777777777776</v>
      </c>
      <c r="AI110" s="112">
        <f t="shared" si="16"/>
        <v>2.355512784479325E-3</v>
      </c>
      <c r="AJ110" s="112">
        <f t="shared" si="17"/>
        <v>2.2716307949508978E-3</v>
      </c>
      <c r="AK110" s="112">
        <f t="shared" si="18"/>
        <v>2.2858569759106094E-3</v>
      </c>
    </row>
    <row r="111" spans="15:37" x14ac:dyDescent="0.2">
      <c r="O111" s="85"/>
      <c r="P111" s="85"/>
      <c r="AG111" s="114">
        <f>_xll.qlCalendarAdvance(Calendar,AG110,"1d","mf",,Trigger)</f>
        <v>42954</v>
      </c>
      <c r="AH111" s="100">
        <f>_xll.qlDayCounterYearFraction(DayCounter,SettlementDate,AG111,,,Trigger)</f>
        <v>0.43611111111111112</v>
      </c>
      <c r="AI111" s="112">
        <f t="shared" si="16"/>
        <v>2.355512784479325E-3</v>
      </c>
      <c r="AJ111" s="112">
        <f t="shared" si="17"/>
        <v>2.2801611667673484E-3</v>
      </c>
      <c r="AK111" s="112">
        <f t="shared" si="18"/>
        <v>2.2947520226895054E-3</v>
      </c>
    </row>
    <row r="112" spans="15:37" x14ac:dyDescent="0.2">
      <c r="O112" s="85"/>
      <c r="P112" s="85"/>
      <c r="AG112" s="114">
        <f>_xll.qlCalendarAdvance(Calendar,AG111,"1d","mf",,Trigger)</f>
        <v>42955</v>
      </c>
      <c r="AH112" s="100">
        <f>_xll.qlDayCounterYearFraction(DayCounter,SettlementDate,AG112,,,Trigger)</f>
        <v>0.43888888888888888</v>
      </c>
      <c r="AI112" s="112">
        <f t="shared" si="16"/>
        <v>2.355512784479325E-3</v>
      </c>
      <c r="AJ112" s="112">
        <f t="shared" si="17"/>
        <v>2.2830046240394984E-3</v>
      </c>
      <c r="AK112" s="112">
        <f t="shared" si="18"/>
        <v>2.2977111037834892E-3</v>
      </c>
    </row>
    <row r="113" spans="15:37" x14ac:dyDescent="0.2">
      <c r="O113" s="85"/>
      <c r="P113" s="85"/>
      <c r="AG113" s="114">
        <f>_xll.qlCalendarAdvance(Calendar,AG112,"1d","mf",,Trigger)</f>
        <v>42956</v>
      </c>
      <c r="AH113" s="100">
        <f>_xll.qlDayCounterYearFraction(DayCounter,SettlementDate,AG113,,,Trigger)</f>
        <v>0.44166666666666665</v>
      </c>
      <c r="AI113" s="112">
        <f t="shared" si="16"/>
        <v>2.355512784479325E-3</v>
      </c>
      <c r="AJ113" s="112">
        <f t="shared" si="17"/>
        <v>2.2858480813116484E-3</v>
      </c>
      <c r="AK113" s="112">
        <f t="shared" si="18"/>
        <v>2.3006672176279813E-3</v>
      </c>
    </row>
    <row r="114" spans="15:37" x14ac:dyDescent="0.2">
      <c r="O114" s="85"/>
      <c r="P114" s="85"/>
      <c r="AG114" s="114">
        <f>_xll.qlCalendarAdvance(Calendar,AG113,"1d","mf",,Trigger)</f>
        <v>42957</v>
      </c>
      <c r="AH114" s="100">
        <f>_xll.qlDayCounterYearFraction(DayCounter,SettlementDate,AG114,,,Trigger)</f>
        <v>0.44444444444444442</v>
      </c>
      <c r="AI114" s="112">
        <f t="shared" si="16"/>
        <v>2.355512784479325E-3</v>
      </c>
      <c r="AJ114" s="112">
        <f t="shared" si="17"/>
        <v>2.2886915385837989E-3</v>
      </c>
      <c r="AK114" s="112">
        <f t="shared" si="18"/>
        <v>2.3036203642229831E-3</v>
      </c>
    </row>
    <row r="115" spans="15:37" x14ac:dyDescent="0.2">
      <c r="O115" s="85"/>
      <c r="P115" s="85"/>
      <c r="AG115" s="114">
        <f>_xll.qlCalendarAdvance(Calendar,AG114,"1d","mf",,Trigger)</f>
        <v>42958</v>
      </c>
      <c r="AH115" s="100">
        <f>_xll.qlDayCounterYearFraction(DayCounter,SettlementDate,AG115,,,Trigger)</f>
        <v>0.44722222222222224</v>
      </c>
      <c r="AI115" s="112">
        <f t="shared" si="16"/>
        <v>2.355512784479325E-3</v>
      </c>
      <c r="AJ115" s="112">
        <f t="shared" si="17"/>
        <v>2.2915349958559489E-3</v>
      </c>
      <c r="AK115" s="112">
        <f t="shared" si="18"/>
        <v>2.3065705435684931E-3</v>
      </c>
    </row>
    <row r="116" spans="15:37" x14ac:dyDescent="0.2">
      <c r="O116" s="85"/>
      <c r="P116" s="85"/>
      <c r="AG116" s="114">
        <f>_xll.qlCalendarAdvance(Calendar,AG115,"1d","mf",,Trigger)</f>
        <v>42961</v>
      </c>
      <c r="AH116" s="100">
        <f>_xll.qlDayCounterYearFraction(DayCounter,SettlementDate,AG116,,,Trigger)</f>
        <v>0.45555555555555555</v>
      </c>
      <c r="AI116" s="112">
        <f t="shared" si="16"/>
        <v>2.355512784479325E-3</v>
      </c>
      <c r="AJ116" s="112">
        <f t="shared" si="17"/>
        <v>2.3000653676723995E-3</v>
      </c>
      <c r="AK116" s="112">
        <f t="shared" si="18"/>
        <v>2.3154032781080784E-3</v>
      </c>
    </row>
    <row r="117" spans="15:37" x14ac:dyDescent="0.2">
      <c r="O117" s="85"/>
      <c r="P117" s="85"/>
      <c r="AG117" s="114">
        <f>_xll.qlCalendarAdvance(Calendar,AG116,"1d","mf",,Trigger)</f>
        <v>42962</v>
      </c>
      <c r="AH117" s="100">
        <f>_xll.qlDayCounterYearFraction(DayCounter,SettlementDate,AG117,,,Trigger)</f>
        <v>0.45833333333333331</v>
      </c>
      <c r="AI117" s="112">
        <f t="shared" si="16"/>
        <v>2.355512784479325E-3</v>
      </c>
      <c r="AJ117" s="112">
        <f t="shared" si="17"/>
        <v>2.3029088249445495E-3</v>
      </c>
      <c r="AK117" s="112">
        <f t="shared" si="18"/>
        <v>2.3183415884556243E-3</v>
      </c>
    </row>
    <row r="118" spans="15:37" x14ac:dyDescent="0.2">
      <c r="O118" s="85"/>
      <c r="P118" s="85"/>
      <c r="AG118" s="114">
        <f>_xll.qlCalendarAdvance(Calendar,AG117,"1d","mf",,Trigger)</f>
        <v>42963</v>
      </c>
      <c r="AH118" s="100">
        <f>_xll.qlDayCounterYearFraction(DayCounter,SettlementDate,AG118,,,Trigger)</f>
        <v>0.46111111111111114</v>
      </c>
      <c r="AI118" s="112">
        <f t="shared" si="16"/>
        <v>2.355512784479325E-3</v>
      </c>
      <c r="AJ118" s="112">
        <f t="shared" si="17"/>
        <v>2.3057522822167E-3</v>
      </c>
      <c r="AK118" s="112">
        <f t="shared" si="18"/>
        <v>2.3212769315536798E-3</v>
      </c>
    </row>
    <row r="119" spans="15:37" x14ac:dyDescent="0.2">
      <c r="O119" s="85"/>
      <c r="P119" s="85"/>
      <c r="AG119" s="114">
        <f>_xll.qlCalendarAdvance(Calendar,AG118,"1d","mf",,Trigger)</f>
        <v>42964</v>
      </c>
      <c r="AH119" s="100">
        <f>_xll.qlDayCounterYearFraction(DayCounter,SettlementDate,AG119,,,Trigger)</f>
        <v>0.46388888888888891</v>
      </c>
      <c r="AI119" s="112">
        <f t="shared" si="16"/>
        <v>2.355512784479325E-3</v>
      </c>
      <c r="AJ119" s="112">
        <f t="shared" si="17"/>
        <v>2.30859573948885E-3</v>
      </c>
      <c r="AK119" s="112">
        <f t="shared" si="18"/>
        <v>2.3242093074022445E-3</v>
      </c>
    </row>
    <row r="120" spans="15:37" x14ac:dyDescent="0.2">
      <c r="O120" s="85"/>
      <c r="P120" s="85"/>
      <c r="AG120" s="114">
        <f>_xll.qlCalendarAdvance(Calendar,AG119,"1d","mf",,Trigger)</f>
        <v>42965</v>
      </c>
      <c r="AH120" s="100">
        <f>_xll.qlDayCounterYearFraction(DayCounter,SettlementDate,AG120,,,Trigger)</f>
        <v>0.46666666666666667</v>
      </c>
      <c r="AI120" s="112">
        <f t="shared" si="16"/>
        <v>2.355512784479325E-3</v>
      </c>
      <c r="AJ120" s="112">
        <f t="shared" si="17"/>
        <v>2.3114391967610001E-3</v>
      </c>
      <c r="AK120" s="112">
        <f t="shared" si="18"/>
        <v>2.3271387160013176E-3</v>
      </c>
    </row>
    <row r="121" spans="15:37" x14ac:dyDescent="0.2">
      <c r="O121" s="86"/>
      <c r="P121" s="85"/>
      <c r="AG121" s="114">
        <f>_xll.qlCalendarAdvance(Calendar,AG120,"1d","mf",,Trigger)</f>
        <v>42968</v>
      </c>
      <c r="AH121" s="100">
        <f>_xll.qlDayCounterYearFraction(DayCounter,SettlementDate,AG121,,,Trigger)</f>
        <v>0.47499999999999998</v>
      </c>
      <c r="AI121" s="112">
        <f t="shared" si="16"/>
        <v>2.355512784479325E-3</v>
      </c>
      <c r="AJ121" s="112">
        <f t="shared" si="17"/>
        <v>2.3199695685774506E-3</v>
      </c>
      <c r="AK121" s="112">
        <f t="shared" si="18"/>
        <v>2.3359091383015913E-3</v>
      </c>
    </row>
    <row r="122" spans="15:37" x14ac:dyDescent="0.2">
      <c r="O122" s="86"/>
      <c r="P122" s="85"/>
      <c r="AG122" s="114">
        <f>_xll.qlCalendarAdvance(Calendar,AG121,"1d","mf",,Trigger)</f>
        <v>42969</v>
      </c>
      <c r="AH122" s="100">
        <f>_xll.qlDayCounterYearFraction(DayCounter,SettlementDate,AG122,,,Trigger)</f>
        <v>0.4777777777777778</v>
      </c>
      <c r="AI122" s="112">
        <f t="shared" si="16"/>
        <v>2.355512784479325E-3</v>
      </c>
      <c r="AJ122" s="112">
        <f t="shared" si="17"/>
        <v>2.3228130258496011E-3</v>
      </c>
      <c r="AK122" s="112">
        <f t="shared" si="18"/>
        <v>2.3388266779027006E-3</v>
      </c>
    </row>
    <row r="123" spans="15:37" x14ac:dyDescent="0.2">
      <c r="O123" s="86"/>
      <c r="P123" s="85"/>
      <c r="AG123" s="114">
        <f>_xll.qlCalendarAdvance(Calendar,AG122,"1d","mf",,Trigger)</f>
        <v>42970</v>
      </c>
      <c r="AH123" s="100">
        <f>_xll.qlDayCounterYearFraction(DayCounter,SettlementDate,AG123,,,Trigger)</f>
        <v>0.48055555555555557</v>
      </c>
      <c r="AI123" s="112">
        <f t="shared" si="16"/>
        <v>2.355512784479325E-3</v>
      </c>
      <c r="AJ123" s="112">
        <f t="shared" si="17"/>
        <v>2.3256564831217511E-3</v>
      </c>
      <c r="AK123" s="112">
        <f t="shared" si="18"/>
        <v>2.3417412502543186E-3</v>
      </c>
    </row>
    <row r="124" spans="15:37" x14ac:dyDescent="0.2">
      <c r="O124" s="86"/>
      <c r="P124" s="85"/>
      <c r="AG124" s="114">
        <f>_xll.qlCalendarAdvance(Calendar,AG123,"1d","mf",,Trigger)</f>
        <v>42971</v>
      </c>
      <c r="AH124" s="100">
        <f>_xll.qlDayCounterYearFraction(DayCounter,SettlementDate,AG124,,,Trigger)</f>
        <v>0.48333333333333334</v>
      </c>
      <c r="AI124" s="112">
        <f t="shared" si="16"/>
        <v>2.355512784479325E-3</v>
      </c>
      <c r="AJ124" s="112">
        <f>$X$10+$X$9*AH124</f>
        <v>2.3284999403939011E-3</v>
      </c>
      <c r="AK124" s="112">
        <f>($X$5+$X$4*AH124+$X$3*AH124^2)</f>
        <v>2.3446528553564458E-3</v>
      </c>
    </row>
    <row r="125" spans="15:37" x14ac:dyDescent="0.2">
      <c r="O125" s="86"/>
      <c r="P125" s="85"/>
      <c r="AG125" s="114">
        <f>_xll.qlCalendarAdvance(Calendar,AG124,"1d","mf",,Trigger)</f>
        <v>42972</v>
      </c>
      <c r="AH125" s="100">
        <f>_xll.qlDayCounterYearFraction(DayCounter,SettlementDate,AG125,,,Trigger)</f>
        <v>0.4861111111111111</v>
      </c>
      <c r="AI125" s="112">
        <f t="shared" si="16"/>
        <v>2.355512784479325E-3</v>
      </c>
      <c r="AJ125" s="112">
        <f t="shared" ref="AJ125:AJ188" si="19">$X$10+$X$9*AH125</f>
        <v>2.3313433976660516E-3</v>
      </c>
      <c r="AK125" s="112">
        <f t="shared" ref="AK125:AK188" si="20">($X$5+$X$4*AH125+$X$3*AH125^2)</f>
        <v>2.3475614932090818E-3</v>
      </c>
    </row>
    <row r="126" spans="15:37" x14ac:dyDescent="0.2">
      <c r="O126" s="86"/>
      <c r="P126" s="85"/>
      <c r="AG126" s="114">
        <f>_xll.qlCalendarAdvance(Calendar,AG125,"1d","mf",,Trigger)</f>
        <v>42975</v>
      </c>
      <c r="AH126" s="100">
        <f>_xll.qlDayCounterYearFraction(DayCounter,SettlementDate,AG126,,,Trigger)</f>
        <v>0.49444444444444446</v>
      </c>
      <c r="AI126" s="112">
        <f t="shared" si="16"/>
        <v>2.355512784479325E-3</v>
      </c>
      <c r="AJ126" s="112">
        <f t="shared" si="19"/>
        <v>2.3398737694825021E-3</v>
      </c>
      <c r="AK126" s="112">
        <f t="shared" si="20"/>
        <v>2.3562696032700444E-3</v>
      </c>
    </row>
    <row r="127" spans="15:37" x14ac:dyDescent="0.2">
      <c r="O127" s="86"/>
      <c r="P127" s="86"/>
      <c r="AG127" s="114">
        <f>_xll.qlCalendarAdvance(Calendar,AG126,"1d","mf",,Trigger)</f>
        <v>42976</v>
      </c>
      <c r="AH127" s="100">
        <f>_xll.qlDayCounterYearFraction(DayCounter,SettlementDate,AG127,,,Trigger)</f>
        <v>0.49722222222222223</v>
      </c>
      <c r="AI127" s="112">
        <f t="shared" si="16"/>
        <v>2.355512784479325E-3</v>
      </c>
      <c r="AJ127" s="112">
        <f t="shared" si="19"/>
        <v>2.3427172267546522E-3</v>
      </c>
      <c r="AK127" s="112">
        <f t="shared" si="20"/>
        <v>2.3591663721247167E-3</v>
      </c>
    </row>
    <row r="128" spans="15:37" x14ac:dyDescent="0.2">
      <c r="O128" s="86"/>
      <c r="P128" s="86"/>
      <c r="AG128" s="114">
        <f>_xll.qlCalendarAdvance(Calendar,AG127,"1d","mf",,Trigger)</f>
        <v>42977</v>
      </c>
      <c r="AH128" s="100">
        <f>_xll.qlDayCounterYearFraction(DayCounter,SettlementDate,AG128,,,Trigger)</f>
        <v>0.5</v>
      </c>
      <c r="AI128" s="112">
        <f t="shared" si="16"/>
        <v>2.355512784479325E-3</v>
      </c>
      <c r="AJ128" s="112">
        <f t="shared" si="19"/>
        <v>2.3455606840268022E-3</v>
      </c>
      <c r="AK128" s="112">
        <f t="shared" si="20"/>
        <v>2.3620601737298977E-3</v>
      </c>
    </row>
    <row r="129" spans="15:37" x14ac:dyDescent="0.2">
      <c r="O129" s="86"/>
      <c r="P129" s="86"/>
      <c r="AG129" s="114">
        <f>_xll.qlCalendarAdvance(Calendar,AG128,"1d","mf",,Trigger)</f>
        <v>42978</v>
      </c>
      <c r="AH129" s="100">
        <f>_xll.qlDayCounterYearFraction(DayCounter,SettlementDate,AG129,,,Trigger)</f>
        <v>0.50277777777777777</v>
      </c>
      <c r="AI129" s="112">
        <f t="shared" si="16"/>
        <v>2.355512784479325E-3</v>
      </c>
      <c r="AJ129" s="112">
        <f t="shared" si="19"/>
        <v>2.3484041412989523E-3</v>
      </c>
      <c r="AK129" s="112">
        <f t="shared" si="20"/>
        <v>2.3649510080855879E-3</v>
      </c>
    </row>
    <row r="130" spans="15:37" x14ac:dyDescent="0.2">
      <c r="O130" s="86"/>
      <c r="P130" s="86"/>
      <c r="AG130" s="114">
        <f>_xll.qlCalendarAdvance(Calendar,AG129,"1d","mf",,Trigger)</f>
        <v>42979</v>
      </c>
      <c r="AH130" s="100">
        <f>_xll.qlDayCounterYearFraction(DayCounter,SettlementDate,AG130,,,Trigger)</f>
        <v>0.50555555555555554</v>
      </c>
      <c r="AI130" s="112">
        <f t="shared" si="16"/>
        <v>2.355512784479325E-3</v>
      </c>
      <c r="AJ130" s="112">
        <f t="shared" si="19"/>
        <v>2.3512475985711023E-3</v>
      </c>
      <c r="AK130" s="112">
        <f t="shared" si="20"/>
        <v>2.3678388751917868E-3</v>
      </c>
    </row>
    <row r="131" spans="15:37" x14ac:dyDescent="0.2">
      <c r="O131" s="86"/>
      <c r="P131" s="86"/>
      <c r="AG131" s="114">
        <f>_xll.qlCalendarAdvance(Calendar,AG130,"1d","mf",,Trigger)</f>
        <v>42982</v>
      </c>
      <c r="AH131" s="100">
        <f>_xll.qlDayCounterYearFraction(DayCounter,SettlementDate,AG131,,,Trigger)</f>
        <v>0.51388888888888884</v>
      </c>
      <c r="AI131" s="112">
        <f t="shared" ref="AI131:AI194" si="21">$X$15</f>
        <v>2.355512784479325E-3</v>
      </c>
      <c r="AJ131" s="112">
        <f t="shared" si="19"/>
        <v>2.3597779703875528E-3</v>
      </c>
      <c r="AK131" s="112">
        <f t="shared" si="20"/>
        <v>2.3764846730134383E-3</v>
      </c>
    </row>
    <row r="132" spans="15:37" x14ac:dyDescent="0.2">
      <c r="O132" s="86"/>
      <c r="P132" s="86"/>
      <c r="AG132" s="114">
        <f>_xll.qlCalendarAdvance(Calendar,AG131,"1d","mf",,Trigger)</f>
        <v>42983</v>
      </c>
      <c r="AH132" s="100">
        <f>_xll.qlDayCounterYearFraction(DayCounter,SettlementDate,AG132,,,Trigger)</f>
        <v>0.51666666666666672</v>
      </c>
      <c r="AI132" s="112">
        <f t="shared" si="21"/>
        <v>2.355512784479325E-3</v>
      </c>
      <c r="AJ132" s="112">
        <f t="shared" si="19"/>
        <v>2.3626214276597033E-3</v>
      </c>
      <c r="AK132" s="112">
        <f t="shared" si="20"/>
        <v>2.3793606711216731E-3</v>
      </c>
    </row>
    <row r="133" spans="15:37" x14ac:dyDescent="0.2">
      <c r="O133" s="86"/>
      <c r="P133" s="86"/>
      <c r="AG133" s="114">
        <f>_xll.qlCalendarAdvance(Calendar,AG132,"1d","mf",,Trigger)</f>
        <v>42984</v>
      </c>
      <c r="AH133" s="100">
        <f>_xll.qlDayCounterYearFraction(DayCounter,SettlementDate,AG133,,,Trigger)</f>
        <v>0.51944444444444449</v>
      </c>
      <c r="AI133" s="112">
        <f t="shared" si="21"/>
        <v>2.355512784479325E-3</v>
      </c>
      <c r="AJ133" s="112">
        <f t="shared" si="19"/>
        <v>2.3654648849318533E-3</v>
      </c>
      <c r="AK133" s="112">
        <f t="shared" si="20"/>
        <v>2.382233701980417E-3</v>
      </c>
    </row>
    <row r="134" spans="15:37" x14ac:dyDescent="0.2">
      <c r="O134" s="86"/>
      <c r="P134" s="86"/>
      <c r="AG134" s="114">
        <f>_xll.qlCalendarAdvance(Calendar,AG133,"1d","mf",,Trigger)</f>
        <v>42985</v>
      </c>
      <c r="AH134" s="100">
        <f>_xll.qlDayCounterYearFraction(DayCounter,SettlementDate,AG134,,,Trigger)</f>
        <v>0.52222222222222225</v>
      </c>
      <c r="AI134" s="112">
        <f t="shared" si="21"/>
        <v>2.355512784479325E-3</v>
      </c>
      <c r="AJ134" s="112">
        <f t="shared" si="19"/>
        <v>2.3683083422040034E-3</v>
      </c>
      <c r="AK134" s="112">
        <f t="shared" si="20"/>
        <v>2.3851037655896702E-3</v>
      </c>
    </row>
    <row r="135" spans="15:37" x14ac:dyDescent="0.2">
      <c r="O135" s="86"/>
      <c r="P135" s="86"/>
      <c r="AG135" s="114">
        <f>_xll.qlCalendarAdvance(Calendar,AG134,"1d","mf",,Trigger)</f>
        <v>42986</v>
      </c>
      <c r="AH135" s="100">
        <f>_xll.qlDayCounterYearFraction(DayCounter,SettlementDate,AG135,,,Trigger)</f>
        <v>0.52500000000000002</v>
      </c>
      <c r="AI135" s="112">
        <f t="shared" si="21"/>
        <v>2.355512784479325E-3</v>
      </c>
      <c r="AJ135" s="112">
        <f t="shared" si="19"/>
        <v>2.3711517994761538E-3</v>
      </c>
      <c r="AK135" s="112">
        <f t="shared" si="20"/>
        <v>2.3879708619494321E-3</v>
      </c>
    </row>
    <row r="136" spans="15:37" x14ac:dyDescent="0.2">
      <c r="O136" s="86"/>
      <c r="P136" s="86"/>
      <c r="AG136" s="114">
        <f>_xll.qlCalendarAdvance(Calendar,AG135,"1d","mf",,Trigger)</f>
        <v>42989</v>
      </c>
      <c r="AH136" s="100">
        <f>_xll.qlDayCounterYearFraction(DayCounter,SettlementDate,AG136,,,Trigger)</f>
        <v>0.53333333333333333</v>
      </c>
      <c r="AI136" s="112">
        <f t="shared" si="21"/>
        <v>2.355512784479325E-3</v>
      </c>
      <c r="AJ136" s="112">
        <f t="shared" si="19"/>
        <v>2.3796821712926044E-3</v>
      </c>
      <c r="AK136" s="112">
        <f t="shared" si="20"/>
        <v>2.3965543475317715E-3</v>
      </c>
    </row>
    <row r="137" spans="15:37" x14ac:dyDescent="0.2">
      <c r="P137" s="86"/>
      <c r="AG137" s="114">
        <f>_xll.qlCalendarAdvance(Calendar,AG136,"1d","mf",,Trigger)</f>
        <v>42990</v>
      </c>
      <c r="AH137" s="100">
        <f>_xll.qlDayCounterYearFraction(DayCounter,SettlementDate,AG137,,,Trigger)</f>
        <v>0.53611111111111109</v>
      </c>
      <c r="AI137" s="112">
        <f t="shared" si="21"/>
        <v>2.355512784479325E-3</v>
      </c>
      <c r="AJ137" s="112">
        <f t="shared" si="19"/>
        <v>2.3825256285647544E-3</v>
      </c>
      <c r="AK137" s="112">
        <f t="shared" si="20"/>
        <v>2.3994095748935697E-3</v>
      </c>
    </row>
    <row r="138" spans="15:37" x14ac:dyDescent="0.2">
      <c r="P138" s="86"/>
      <c r="AG138" s="114">
        <f>_xll.qlCalendarAdvance(Calendar,AG137,"1d","mf",,Trigger)</f>
        <v>42991</v>
      </c>
      <c r="AH138" s="100">
        <f>_xll.qlDayCounterYearFraction(DayCounter,SettlementDate,AG138,,,Trigger)</f>
        <v>0.53888888888888886</v>
      </c>
      <c r="AI138" s="112">
        <f t="shared" si="21"/>
        <v>2.355512784479325E-3</v>
      </c>
      <c r="AJ138" s="112">
        <f t="shared" si="19"/>
        <v>2.3853690858369045E-3</v>
      </c>
      <c r="AK138" s="112">
        <f t="shared" si="20"/>
        <v>2.4022618350058767E-3</v>
      </c>
    </row>
    <row r="139" spans="15:37" x14ac:dyDescent="0.2">
      <c r="P139" s="86"/>
      <c r="AG139" s="114">
        <f>_xll.qlCalendarAdvance(Calendar,AG138,"1d","mf",,Trigger)</f>
        <v>42992</v>
      </c>
      <c r="AH139" s="100">
        <f>_xll.qlDayCounterYearFraction(DayCounter,SettlementDate,AG139,,,Trigger)</f>
        <v>0.54166666666666663</v>
      </c>
      <c r="AI139" s="112">
        <f t="shared" si="21"/>
        <v>2.355512784479325E-3</v>
      </c>
      <c r="AJ139" s="112">
        <f t="shared" si="19"/>
        <v>2.3882125431090549E-3</v>
      </c>
      <c r="AK139" s="112">
        <f t="shared" si="20"/>
        <v>2.4051111278686923E-3</v>
      </c>
    </row>
    <row r="140" spans="15:37" x14ac:dyDescent="0.2">
      <c r="P140" s="86"/>
      <c r="AG140" s="114">
        <f>_xll.qlCalendarAdvance(Calendar,AG139,"1d","mf",,Trigger)</f>
        <v>42993</v>
      </c>
      <c r="AH140" s="100">
        <f>_xll.qlDayCounterYearFraction(DayCounter,SettlementDate,AG140,,,Trigger)</f>
        <v>0.5444444444444444</v>
      </c>
      <c r="AI140" s="112">
        <f t="shared" si="21"/>
        <v>2.355512784479325E-3</v>
      </c>
      <c r="AJ140" s="112">
        <f t="shared" si="19"/>
        <v>2.391056000381205E-3</v>
      </c>
      <c r="AK140" s="112">
        <f t="shared" si="20"/>
        <v>2.4079574534820176E-3</v>
      </c>
    </row>
    <row r="141" spans="15:37" x14ac:dyDescent="0.2">
      <c r="P141" s="86"/>
      <c r="AG141" s="114">
        <f>_xll.qlCalendarAdvance(Calendar,AG140,"1d","mf",,Trigger)</f>
        <v>42996</v>
      </c>
      <c r="AH141" s="100">
        <f>_xll.qlDayCounterYearFraction(DayCounter,SettlementDate,AG141,,,Trigger)</f>
        <v>0.55277777777777781</v>
      </c>
      <c r="AI141" s="112">
        <f t="shared" si="21"/>
        <v>2.355512784479325E-3</v>
      </c>
      <c r="AJ141" s="112">
        <f t="shared" si="19"/>
        <v>2.3995863721976555E-3</v>
      </c>
      <c r="AK141" s="112">
        <f t="shared" si="20"/>
        <v>2.416478626825046E-3</v>
      </c>
    </row>
    <row r="142" spans="15:37" x14ac:dyDescent="0.2">
      <c r="P142" s="86"/>
      <c r="AG142" s="114">
        <f>_xll.qlCalendarAdvance(Calendar,AG141,"1d","mf",,Trigger)</f>
        <v>42997</v>
      </c>
      <c r="AH142" s="100">
        <f>_xll.qlDayCounterYearFraction(DayCounter,SettlementDate,AG142,,,Trigger)</f>
        <v>0.55555555555555558</v>
      </c>
      <c r="AI142" s="112">
        <f t="shared" si="21"/>
        <v>2.355512784479325E-3</v>
      </c>
      <c r="AJ142" s="112">
        <f t="shared" si="19"/>
        <v>2.4024298294698055E-3</v>
      </c>
      <c r="AK142" s="112">
        <f t="shared" si="20"/>
        <v>2.4193130834404067E-3</v>
      </c>
    </row>
    <row r="143" spans="15:37" x14ac:dyDescent="0.2">
      <c r="AG143" s="114">
        <f>_xll.qlCalendarAdvance(Calendar,AG142,"1d","mf",,Trigger)</f>
        <v>42998</v>
      </c>
      <c r="AH143" s="100">
        <f>_xll.qlDayCounterYearFraction(DayCounter,SettlementDate,AG143,,,Trigger)</f>
        <v>0.55833333333333335</v>
      </c>
      <c r="AI143" s="112">
        <f t="shared" si="21"/>
        <v>2.355512784479325E-3</v>
      </c>
      <c r="AJ143" s="112">
        <f t="shared" si="19"/>
        <v>2.405273286741956E-3</v>
      </c>
      <c r="AK143" s="112">
        <f t="shared" si="20"/>
        <v>2.422144572806277E-3</v>
      </c>
    </row>
    <row r="144" spans="15:37" x14ac:dyDescent="0.2">
      <c r="AG144" s="114">
        <f>_xll.qlCalendarAdvance(Calendar,AG143,"1d","mf",,Trigger)</f>
        <v>42999</v>
      </c>
      <c r="AH144" s="100">
        <f>_xll.qlDayCounterYearFraction(DayCounter,SettlementDate,AG144,,,Trigger)</f>
        <v>0.56111111111111112</v>
      </c>
      <c r="AI144" s="112">
        <f t="shared" si="21"/>
        <v>2.355512784479325E-3</v>
      </c>
      <c r="AJ144" s="112">
        <f t="shared" si="19"/>
        <v>2.408116744014106E-3</v>
      </c>
      <c r="AK144" s="112">
        <f t="shared" si="20"/>
        <v>2.4249730949226552E-3</v>
      </c>
    </row>
    <row r="145" spans="33:37" x14ac:dyDescent="0.2">
      <c r="AG145" s="114">
        <f>_xll.qlCalendarAdvance(Calendar,AG144,"1d","mf",,Trigger)</f>
        <v>43000</v>
      </c>
      <c r="AH145" s="100">
        <f>_xll.qlDayCounterYearFraction(DayCounter,SettlementDate,AG145,,,Trigger)</f>
        <v>0.56388888888888888</v>
      </c>
      <c r="AI145" s="112">
        <f t="shared" si="21"/>
        <v>2.355512784479325E-3</v>
      </c>
      <c r="AJ145" s="112">
        <f t="shared" si="19"/>
        <v>2.4109602012862561E-3</v>
      </c>
      <c r="AK145" s="112">
        <f t="shared" si="20"/>
        <v>2.4277986497895435E-3</v>
      </c>
    </row>
    <row r="146" spans="33:37" x14ac:dyDescent="0.2">
      <c r="AG146" s="114">
        <f>_xll.qlCalendarAdvance(Calendar,AG145,"1d","mf",,Trigger)</f>
        <v>43003</v>
      </c>
      <c r="AH146" s="100">
        <f>_xll.qlDayCounterYearFraction(DayCounter,SettlementDate,AG146,,,Trigger)</f>
        <v>0.57222222222222219</v>
      </c>
      <c r="AI146" s="112">
        <f t="shared" si="21"/>
        <v>2.355512784479325E-3</v>
      </c>
      <c r="AJ146" s="112">
        <f t="shared" si="19"/>
        <v>2.4194905731027066E-3</v>
      </c>
      <c r="AK146" s="112">
        <f t="shared" si="20"/>
        <v>2.4362575108932603E-3</v>
      </c>
    </row>
    <row r="147" spans="33:37" x14ac:dyDescent="0.2">
      <c r="AG147" s="114">
        <f>_xll.qlCalendarAdvance(Calendar,AG146,"1d","mf",,Trigger)</f>
        <v>43004</v>
      </c>
      <c r="AH147" s="100">
        <f>_xll.qlDayCounterYearFraction(DayCounter,SettlementDate,AG147,,,Trigger)</f>
        <v>0.57499999999999996</v>
      </c>
      <c r="AI147" s="112">
        <f t="shared" si="21"/>
        <v>2.355512784479325E-3</v>
      </c>
      <c r="AJ147" s="112">
        <f t="shared" si="19"/>
        <v>2.4223340303748567E-3</v>
      </c>
      <c r="AK147" s="112">
        <f t="shared" si="20"/>
        <v>2.4390711967621839E-3</v>
      </c>
    </row>
    <row r="148" spans="33:37" x14ac:dyDescent="0.2">
      <c r="AG148" s="114">
        <f>_xll.qlCalendarAdvance(Calendar,AG147,"1d","mf",,Trigger)</f>
        <v>43005</v>
      </c>
      <c r="AH148" s="100">
        <f>_xll.qlDayCounterYearFraction(DayCounter,SettlementDate,AG148,,,Trigger)</f>
        <v>0.57777777777777772</v>
      </c>
      <c r="AI148" s="112">
        <f t="shared" si="21"/>
        <v>2.355512784479325E-3</v>
      </c>
      <c r="AJ148" s="112">
        <f t="shared" si="19"/>
        <v>2.4251774876470067E-3</v>
      </c>
      <c r="AK148" s="112">
        <f t="shared" si="20"/>
        <v>2.4418819153816168E-3</v>
      </c>
    </row>
    <row r="149" spans="33:37" x14ac:dyDescent="0.2">
      <c r="AG149" s="114">
        <f>_xll.qlCalendarAdvance(Calendar,AG148,"1d","mf",,Trigger)</f>
        <v>43006</v>
      </c>
      <c r="AH149" s="100">
        <f>_xll.qlDayCounterYearFraction(DayCounter,SettlementDate,AG149,,,Trigger)</f>
        <v>0.5805555555555556</v>
      </c>
      <c r="AI149" s="112">
        <f t="shared" si="21"/>
        <v>2.355512784479325E-3</v>
      </c>
      <c r="AJ149" s="112">
        <f t="shared" si="19"/>
        <v>2.4280209449191572E-3</v>
      </c>
      <c r="AK149" s="112">
        <f t="shared" si="20"/>
        <v>2.4446896667515584E-3</v>
      </c>
    </row>
    <row r="150" spans="33:37" x14ac:dyDescent="0.2">
      <c r="AG150" s="114">
        <f>_xll.qlCalendarAdvance(Calendar,AG149,"1d","mf",,Trigger)</f>
        <v>43007</v>
      </c>
      <c r="AH150" s="100">
        <f>_xll.qlDayCounterYearFraction(DayCounter,SettlementDate,AG150,,,Trigger)</f>
        <v>0.58333333333333337</v>
      </c>
      <c r="AI150" s="112">
        <f t="shared" si="21"/>
        <v>2.355512784479325E-3</v>
      </c>
      <c r="AJ150" s="112">
        <f t="shared" si="19"/>
        <v>2.4308644021913076E-3</v>
      </c>
      <c r="AK150" s="112">
        <f t="shared" si="20"/>
        <v>2.4474944508720096E-3</v>
      </c>
    </row>
    <row r="151" spans="33:37" x14ac:dyDescent="0.2">
      <c r="AG151" s="114">
        <f>_xll.qlCalendarAdvance(Calendar,AG150,"1d","mf",,Trigger)</f>
        <v>43010</v>
      </c>
      <c r="AH151" s="100">
        <f>_xll.qlDayCounterYearFraction(DayCounter,SettlementDate,AG151,,,Trigger)</f>
        <v>0.59166666666666667</v>
      </c>
      <c r="AI151" s="112">
        <f t="shared" si="21"/>
        <v>2.355512784479325E-3</v>
      </c>
      <c r="AJ151" s="112">
        <f t="shared" si="19"/>
        <v>2.4393947740077577E-3</v>
      </c>
      <c r="AK151" s="112">
        <f t="shared" si="20"/>
        <v>2.4558909997364152E-3</v>
      </c>
    </row>
    <row r="152" spans="33:37" x14ac:dyDescent="0.2">
      <c r="AG152" s="114">
        <f>_xll.qlCalendarAdvance(Calendar,AG151,"1d","mf",,Trigger)</f>
        <v>43011</v>
      </c>
      <c r="AH152" s="100">
        <f>_xll.qlDayCounterYearFraction(DayCounter,SettlementDate,AG152,,,Trigger)</f>
        <v>0.59444444444444444</v>
      </c>
      <c r="AI152" s="112">
        <f t="shared" si="21"/>
        <v>2.355512784479325E-3</v>
      </c>
      <c r="AJ152" s="112">
        <f t="shared" si="19"/>
        <v>2.4422382312799078E-3</v>
      </c>
      <c r="AK152" s="112">
        <f t="shared" si="20"/>
        <v>2.4586839148589019E-3</v>
      </c>
    </row>
    <row r="153" spans="33:37" x14ac:dyDescent="0.2">
      <c r="AG153" s="114">
        <f>_xll.qlCalendarAdvance(Calendar,AG152,"1d","mf",,Trigger)</f>
        <v>43012</v>
      </c>
      <c r="AH153" s="100">
        <f>_xll.qlDayCounterYearFraction(DayCounter,SettlementDate,AG153,,,Trigger)</f>
        <v>0.59722222222222221</v>
      </c>
      <c r="AI153" s="112">
        <f t="shared" si="21"/>
        <v>2.355512784479325E-3</v>
      </c>
      <c r="AJ153" s="112">
        <f t="shared" si="19"/>
        <v>2.4450816885520582E-3</v>
      </c>
      <c r="AK153" s="112">
        <f t="shared" si="20"/>
        <v>2.4614738627318973E-3</v>
      </c>
    </row>
    <row r="154" spans="33:37" x14ac:dyDescent="0.2">
      <c r="AG154" s="114">
        <f>_xll.qlCalendarAdvance(Calendar,AG153,"1d","mf",,Trigger)</f>
        <v>43013</v>
      </c>
      <c r="AH154" s="100">
        <f>_xll.qlDayCounterYearFraction(DayCounter,SettlementDate,AG154,,,Trigger)</f>
        <v>0.6</v>
      </c>
      <c r="AI154" s="112">
        <f t="shared" si="21"/>
        <v>2.355512784479325E-3</v>
      </c>
      <c r="AJ154" s="112">
        <f t="shared" si="19"/>
        <v>2.4479251458242083E-3</v>
      </c>
      <c r="AK154" s="112">
        <f t="shared" si="20"/>
        <v>2.4642608433554018E-3</v>
      </c>
    </row>
    <row r="155" spans="33:37" x14ac:dyDescent="0.2">
      <c r="AG155" s="114">
        <f>_xll.qlCalendarAdvance(Calendar,AG154,"1d","mf",,Trigger)</f>
        <v>43014</v>
      </c>
      <c r="AH155" s="100">
        <f>_xll.qlDayCounterYearFraction(DayCounter,SettlementDate,AG155,,,Trigger)</f>
        <v>0.60277777777777775</v>
      </c>
      <c r="AI155" s="112">
        <f t="shared" si="21"/>
        <v>2.355512784479325E-3</v>
      </c>
      <c r="AJ155" s="112">
        <f t="shared" si="19"/>
        <v>2.4507686030963583E-3</v>
      </c>
      <c r="AK155" s="112">
        <f t="shared" si="20"/>
        <v>2.4670448567294155E-3</v>
      </c>
    </row>
    <row r="156" spans="33:37" x14ac:dyDescent="0.2">
      <c r="AG156" s="114">
        <f>_xll.qlCalendarAdvance(Calendar,AG155,"1d","mf",,Trigger)</f>
        <v>43017</v>
      </c>
      <c r="AH156" s="100">
        <f>_xll.qlDayCounterYearFraction(DayCounter,SettlementDate,AG156,,,Trigger)</f>
        <v>0.61111111111111116</v>
      </c>
      <c r="AI156" s="112">
        <f t="shared" si="21"/>
        <v>2.355512784479325E-3</v>
      </c>
      <c r="AJ156" s="112">
        <f t="shared" si="19"/>
        <v>2.4592989749128089E-3</v>
      </c>
      <c r="AK156" s="112">
        <f t="shared" si="20"/>
        <v>2.4753790933545101E-3</v>
      </c>
    </row>
    <row r="157" spans="33:37" x14ac:dyDescent="0.2">
      <c r="AG157" s="114">
        <f>_xll.qlCalendarAdvance(Calendar,AG156,"1d","mf",,Trigger)</f>
        <v>43018</v>
      </c>
      <c r="AH157" s="100">
        <f>_xll.qlDayCounterYearFraction(DayCounter,SettlementDate,AG157,,,Trigger)</f>
        <v>0.61388888888888893</v>
      </c>
      <c r="AI157" s="112">
        <f t="shared" si="21"/>
        <v>2.355512784479325E-3</v>
      </c>
      <c r="AJ157" s="112">
        <f t="shared" si="19"/>
        <v>2.4621424321849593E-3</v>
      </c>
      <c r="AK157" s="112">
        <f t="shared" si="20"/>
        <v>2.4781512377305601E-3</v>
      </c>
    </row>
    <row r="158" spans="33:37" x14ac:dyDescent="0.2">
      <c r="AG158" s="114">
        <f>_xll.qlCalendarAdvance(Calendar,AG157,"1d","mf",,Trigger)</f>
        <v>43019</v>
      </c>
      <c r="AH158" s="100">
        <f>_xll.qlDayCounterYearFraction(DayCounter,SettlementDate,AG158,,,Trigger)</f>
        <v>0.6166666666666667</v>
      </c>
      <c r="AI158" s="112">
        <f t="shared" si="21"/>
        <v>2.355512784479325E-3</v>
      </c>
      <c r="AJ158" s="112">
        <f t="shared" si="19"/>
        <v>2.4649858894571094E-3</v>
      </c>
      <c r="AK158" s="112">
        <f t="shared" si="20"/>
        <v>2.4809204148571185E-3</v>
      </c>
    </row>
    <row r="159" spans="33:37" x14ac:dyDescent="0.2">
      <c r="AG159" s="114">
        <f>_xll.qlCalendarAdvance(Calendar,AG158,"1d","mf",,Trigger)</f>
        <v>43020</v>
      </c>
      <c r="AH159" s="100">
        <f>_xll.qlDayCounterYearFraction(DayCounter,SettlementDate,AG159,,,Trigger)</f>
        <v>0.61944444444444446</v>
      </c>
      <c r="AI159" s="112">
        <f t="shared" si="21"/>
        <v>2.355512784479325E-3</v>
      </c>
      <c r="AJ159" s="112">
        <f t="shared" si="19"/>
        <v>2.4678293467292594E-3</v>
      </c>
      <c r="AK159" s="112">
        <f t="shared" si="20"/>
        <v>2.483686624734186E-3</v>
      </c>
    </row>
    <row r="160" spans="33:37" x14ac:dyDescent="0.2">
      <c r="AG160" s="114">
        <f>_xll.qlCalendarAdvance(Calendar,AG159,"1d","mf",,Trigger)</f>
        <v>43021</v>
      </c>
      <c r="AH160" s="100">
        <f>_xll.qlDayCounterYearFraction(DayCounter,SettlementDate,AG160,,,Trigger)</f>
        <v>0.62222222222222223</v>
      </c>
      <c r="AI160" s="112">
        <f t="shared" si="21"/>
        <v>2.355512784479325E-3</v>
      </c>
      <c r="AJ160" s="112">
        <f t="shared" si="19"/>
        <v>2.4706728040014099E-3</v>
      </c>
      <c r="AK160" s="112">
        <f t="shared" si="20"/>
        <v>2.4864498673617622E-3</v>
      </c>
    </row>
    <row r="161" spans="33:37" x14ac:dyDescent="0.2">
      <c r="AG161" s="114">
        <f>_xll.qlCalendarAdvance(Calendar,AG160,"1d","mf",,Trigger)</f>
        <v>43024</v>
      </c>
      <c r="AH161" s="100">
        <f>_xll.qlDayCounterYearFraction(DayCounter,SettlementDate,AG161,,,Trigger)</f>
        <v>0.63055555555555554</v>
      </c>
      <c r="AI161" s="112">
        <f t="shared" si="21"/>
        <v>2.355512784479325E-3</v>
      </c>
      <c r="AJ161" s="112">
        <f t="shared" si="19"/>
        <v>2.4792031758178604E-3</v>
      </c>
      <c r="AK161" s="112">
        <f t="shared" si="20"/>
        <v>2.4947217917475457E-3</v>
      </c>
    </row>
    <row r="162" spans="33:37" x14ac:dyDescent="0.2">
      <c r="AG162" s="114">
        <f>_xll.qlCalendarAdvance(Calendar,AG161,"1d","mf",,Trigger)</f>
        <v>43025</v>
      </c>
      <c r="AH162" s="100">
        <f>_xll.qlDayCounterYearFraction(DayCounter,SettlementDate,AG162,,,Trigger)</f>
        <v>0.6333333333333333</v>
      </c>
      <c r="AI162" s="112">
        <f t="shared" si="21"/>
        <v>2.355512784479325E-3</v>
      </c>
      <c r="AJ162" s="112">
        <f t="shared" si="19"/>
        <v>2.4820466330900104E-3</v>
      </c>
      <c r="AK162" s="112">
        <f t="shared" si="20"/>
        <v>2.4974731653771578E-3</v>
      </c>
    </row>
    <row r="163" spans="33:37" x14ac:dyDescent="0.2">
      <c r="AG163" s="114">
        <f>_xll.qlCalendarAdvance(Calendar,AG162,"1d","mf",,Trigger)</f>
        <v>43026</v>
      </c>
      <c r="AH163" s="100">
        <f>_xll.qlDayCounterYearFraction(DayCounter,SettlementDate,AG163,,,Trigger)</f>
        <v>0.63611111111111107</v>
      </c>
      <c r="AI163" s="112">
        <f t="shared" si="21"/>
        <v>2.355512784479325E-3</v>
      </c>
      <c r="AJ163" s="112">
        <f t="shared" si="19"/>
        <v>2.4848900903621605E-3</v>
      </c>
      <c r="AK163" s="112">
        <f t="shared" si="20"/>
        <v>2.5002215717572791E-3</v>
      </c>
    </row>
    <row r="164" spans="33:37" x14ac:dyDescent="0.2">
      <c r="AG164" s="114">
        <f>_xll.qlCalendarAdvance(Calendar,AG163,"1d","mf",,Trigger)</f>
        <v>43027</v>
      </c>
      <c r="AH164" s="100">
        <f>_xll.qlDayCounterYearFraction(DayCounter,SettlementDate,AG164,,,Trigger)</f>
        <v>0.63888888888888884</v>
      </c>
      <c r="AI164" s="112">
        <f t="shared" si="21"/>
        <v>2.355512784479325E-3</v>
      </c>
      <c r="AJ164" s="112">
        <f t="shared" si="19"/>
        <v>2.4877335476343109E-3</v>
      </c>
      <c r="AK164" s="112">
        <f t="shared" si="20"/>
        <v>2.50296701088791E-3</v>
      </c>
    </row>
    <row r="165" spans="33:37" x14ac:dyDescent="0.2">
      <c r="AG165" s="114">
        <f>_xll.qlCalendarAdvance(Calendar,AG164,"1d","mf",,Trigger)</f>
        <v>43028</v>
      </c>
      <c r="AH165" s="100">
        <f>_xll.qlDayCounterYearFraction(DayCounter,SettlementDate,AG165,,,Trigger)</f>
        <v>0.64166666666666672</v>
      </c>
      <c r="AI165" s="112">
        <f t="shared" si="21"/>
        <v>2.355512784479325E-3</v>
      </c>
      <c r="AJ165" s="112">
        <f t="shared" si="19"/>
        <v>2.490577004906461E-3</v>
      </c>
      <c r="AK165" s="112">
        <f t="shared" si="20"/>
        <v>2.5057094827690492E-3</v>
      </c>
    </row>
    <row r="166" spans="33:37" x14ac:dyDescent="0.2">
      <c r="AG166" s="114">
        <f>_xll.qlCalendarAdvance(Calendar,AG165,"1d","mf",,Trigger)</f>
        <v>43031</v>
      </c>
      <c r="AH166" s="100">
        <f>_xll.qlDayCounterYearFraction(DayCounter,SettlementDate,AG166,,,Trigger)</f>
        <v>0.65</v>
      </c>
      <c r="AI166" s="112">
        <f t="shared" si="21"/>
        <v>2.355512784479325E-3</v>
      </c>
      <c r="AJ166" s="112">
        <f t="shared" si="19"/>
        <v>2.4991073767229115E-3</v>
      </c>
      <c r="AK166" s="112">
        <f t="shared" si="20"/>
        <v>2.5139190949155211E-3</v>
      </c>
    </row>
    <row r="167" spans="33:37" x14ac:dyDescent="0.2">
      <c r="AG167" s="114">
        <f>_xll.qlCalendarAdvance(Calendar,AG166,"1d","mf",,Trigger)</f>
        <v>43032</v>
      </c>
      <c r="AH167" s="100">
        <f>_xll.qlDayCounterYearFraction(DayCounter,SettlementDate,AG167,,,Trigger)</f>
        <v>0.65277777777777779</v>
      </c>
      <c r="AI167" s="112">
        <f t="shared" si="21"/>
        <v>2.355512784479325E-3</v>
      </c>
      <c r="AJ167" s="112">
        <f t="shared" si="19"/>
        <v>2.5019508339950616E-3</v>
      </c>
      <c r="AK167" s="112">
        <f t="shared" si="20"/>
        <v>2.5166496977986966E-3</v>
      </c>
    </row>
    <row r="168" spans="33:37" x14ac:dyDescent="0.2">
      <c r="AG168" s="114">
        <f>_xll.qlCalendarAdvance(Calendar,AG167,"1d","mf",,Trigger)</f>
        <v>43033</v>
      </c>
      <c r="AH168" s="100">
        <f>_xll.qlDayCounterYearFraction(DayCounter,SettlementDate,AG168,,,Trigger)</f>
        <v>0.65555555555555556</v>
      </c>
      <c r="AI168" s="112">
        <f t="shared" si="21"/>
        <v>2.355512784479325E-3</v>
      </c>
      <c r="AJ168" s="112">
        <f t="shared" si="19"/>
        <v>2.504794291267212E-3</v>
      </c>
      <c r="AK168" s="112">
        <f t="shared" si="20"/>
        <v>2.5193773334323808E-3</v>
      </c>
    </row>
    <row r="169" spans="33:37" x14ac:dyDescent="0.2">
      <c r="AG169" s="114">
        <f>_xll.qlCalendarAdvance(Calendar,AG168,"1d","mf",,Trigger)</f>
        <v>43034</v>
      </c>
      <c r="AH169" s="100">
        <f>_xll.qlDayCounterYearFraction(DayCounter,SettlementDate,AG169,,,Trigger)</f>
        <v>0.65833333333333333</v>
      </c>
      <c r="AI169" s="112">
        <f t="shared" si="21"/>
        <v>2.355512784479325E-3</v>
      </c>
      <c r="AJ169" s="112">
        <f t="shared" si="19"/>
        <v>2.5076377485393621E-3</v>
      </c>
      <c r="AK169" s="112">
        <f t="shared" si="20"/>
        <v>2.5221020018165738E-3</v>
      </c>
    </row>
    <row r="170" spans="33:37" x14ac:dyDescent="0.2">
      <c r="AG170" s="114">
        <f>_xll.qlCalendarAdvance(Calendar,AG169,"1d","mf",,Trigger)</f>
        <v>43035</v>
      </c>
      <c r="AH170" s="100">
        <f>_xll.qlDayCounterYearFraction(DayCounter,SettlementDate,AG170,,,Trigger)</f>
        <v>0.66111111111111109</v>
      </c>
      <c r="AI170" s="112">
        <f t="shared" si="21"/>
        <v>2.355512784479325E-3</v>
      </c>
      <c r="AJ170" s="112">
        <f t="shared" si="19"/>
        <v>2.5104812058115121E-3</v>
      </c>
      <c r="AK170" s="112">
        <f t="shared" si="20"/>
        <v>2.5248237029512764E-3</v>
      </c>
    </row>
    <row r="171" spans="33:37" x14ac:dyDescent="0.2">
      <c r="AG171" s="114">
        <f>_xll.qlCalendarAdvance(Calendar,AG170,"1d","mf",,Trigger)</f>
        <v>43038</v>
      </c>
      <c r="AH171" s="100">
        <f>_xll.qlDayCounterYearFraction(DayCounter,SettlementDate,AG171,,,Trigger)</f>
        <v>0.6694444444444444</v>
      </c>
      <c r="AI171" s="112">
        <f t="shared" si="21"/>
        <v>2.355512784479325E-3</v>
      </c>
      <c r="AJ171" s="112">
        <f t="shared" si="19"/>
        <v>2.5190115776279626E-3</v>
      </c>
      <c r="AK171" s="112">
        <f t="shared" si="20"/>
        <v>2.5329710028584372E-3</v>
      </c>
    </row>
    <row r="172" spans="33:37" x14ac:dyDescent="0.2">
      <c r="AG172" s="114">
        <f>_xll.qlCalendarAdvance(Calendar,AG171,"1d","mf",,Trigger)</f>
        <v>43039</v>
      </c>
      <c r="AH172" s="100">
        <f>_xll.qlDayCounterYearFraction(DayCounter,SettlementDate,AG172,,,Trigger)</f>
        <v>0.67222222222222228</v>
      </c>
      <c r="AI172" s="112">
        <f t="shared" si="21"/>
        <v>2.355512784479325E-3</v>
      </c>
      <c r="AJ172" s="112">
        <f t="shared" si="19"/>
        <v>2.5218550349001131E-3</v>
      </c>
      <c r="AK172" s="112">
        <f t="shared" si="20"/>
        <v>2.5356808349951757E-3</v>
      </c>
    </row>
    <row r="173" spans="33:37" x14ac:dyDescent="0.2">
      <c r="AG173" s="114">
        <f>_xll.qlCalendarAdvance(Calendar,AG172,"1d","mf",,Trigger)</f>
        <v>43040</v>
      </c>
      <c r="AH173" s="100">
        <f>_xll.qlDayCounterYearFraction(DayCounter,SettlementDate,AG173,,,Trigger)</f>
        <v>0.67500000000000004</v>
      </c>
      <c r="AI173" s="112">
        <f t="shared" si="21"/>
        <v>2.355512784479325E-3</v>
      </c>
      <c r="AJ173" s="112">
        <f t="shared" si="19"/>
        <v>2.5246984921722631E-3</v>
      </c>
      <c r="AK173" s="112">
        <f t="shared" si="20"/>
        <v>2.5383876998824224E-3</v>
      </c>
    </row>
    <row r="174" spans="33:37" x14ac:dyDescent="0.2">
      <c r="AG174" s="114">
        <f>_xll.qlCalendarAdvance(Calendar,AG173,"1d","mf",,Trigger)</f>
        <v>43041</v>
      </c>
      <c r="AH174" s="100">
        <f>_xll.qlDayCounterYearFraction(DayCounter,SettlementDate,AG174,,,Trigger)</f>
        <v>0.67777777777777781</v>
      </c>
      <c r="AI174" s="112">
        <f t="shared" si="21"/>
        <v>2.355512784479325E-3</v>
      </c>
      <c r="AJ174" s="112">
        <f t="shared" si="19"/>
        <v>2.5275419494444132E-3</v>
      </c>
      <c r="AK174" s="112">
        <f t="shared" si="20"/>
        <v>2.5410915975201788E-3</v>
      </c>
    </row>
    <row r="175" spans="33:37" x14ac:dyDescent="0.2">
      <c r="AG175" s="114">
        <f>_xll.qlCalendarAdvance(Calendar,AG174,"1d","mf",,Trigger)</f>
        <v>43042</v>
      </c>
      <c r="AH175" s="100">
        <f>_xll.qlDayCounterYearFraction(DayCounter,SettlementDate,AG175,,,Trigger)</f>
        <v>0.68055555555555558</v>
      </c>
      <c r="AI175" s="112">
        <f t="shared" si="21"/>
        <v>2.355512784479325E-3</v>
      </c>
      <c r="AJ175" s="112">
        <f t="shared" si="19"/>
        <v>2.5303854067165632E-3</v>
      </c>
      <c r="AK175" s="112">
        <f t="shared" si="20"/>
        <v>2.543792527908444E-3</v>
      </c>
    </row>
    <row r="176" spans="33:37" x14ac:dyDescent="0.2">
      <c r="AG176" s="114">
        <f>_xll.qlCalendarAdvance(Calendar,AG175,"1d","mf",,Trigger)</f>
        <v>43045</v>
      </c>
      <c r="AH176" s="100">
        <f>_xll.qlDayCounterYearFraction(DayCounter,SettlementDate,AG176,,,Trigger)</f>
        <v>0.68888888888888888</v>
      </c>
      <c r="AI176" s="112">
        <f t="shared" si="21"/>
        <v>2.355512784479325E-3</v>
      </c>
      <c r="AJ176" s="112">
        <f t="shared" si="19"/>
        <v>2.5389157785330138E-3</v>
      </c>
      <c r="AK176" s="112">
        <f t="shared" si="20"/>
        <v>2.5518775155762936E-3</v>
      </c>
    </row>
    <row r="177" spans="33:37" x14ac:dyDescent="0.2">
      <c r="AG177" s="114">
        <f>_xll.qlCalendarAdvance(Calendar,AG176,"1d","mf",,Trigger)</f>
        <v>43046</v>
      </c>
      <c r="AH177" s="100">
        <f>_xll.qlDayCounterYearFraction(DayCounter,SettlementDate,AG177,,,Trigger)</f>
        <v>0.69166666666666665</v>
      </c>
      <c r="AI177" s="112">
        <f t="shared" si="21"/>
        <v>2.355512784479325E-3</v>
      </c>
      <c r="AJ177" s="112">
        <f t="shared" si="19"/>
        <v>2.5417592358051638E-3</v>
      </c>
      <c r="AK177" s="112">
        <f t="shared" si="20"/>
        <v>2.5545665769665942E-3</v>
      </c>
    </row>
    <row r="178" spans="33:37" x14ac:dyDescent="0.2">
      <c r="AG178" s="114">
        <f>_xll.qlCalendarAdvance(Calendar,AG177,"1d","mf",,Trigger)</f>
        <v>43047</v>
      </c>
      <c r="AH178" s="100">
        <f>_xll.qlDayCounterYearFraction(DayCounter,SettlementDate,AG178,,,Trigger)</f>
        <v>0.69444444444444442</v>
      </c>
      <c r="AI178" s="112">
        <f t="shared" si="21"/>
        <v>2.355512784479325E-3</v>
      </c>
      <c r="AJ178" s="112">
        <f t="shared" si="19"/>
        <v>2.5446026930773143E-3</v>
      </c>
      <c r="AK178" s="112">
        <f t="shared" si="20"/>
        <v>2.5572526711074048E-3</v>
      </c>
    </row>
    <row r="179" spans="33:37" x14ac:dyDescent="0.2">
      <c r="AG179" s="114">
        <f>_xll.qlCalendarAdvance(Calendar,AG178,"1d","mf",,Trigger)</f>
        <v>43048</v>
      </c>
      <c r="AH179" s="100">
        <f>_xll.qlDayCounterYearFraction(DayCounter,SettlementDate,AG179,,,Trigger)</f>
        <v>0.69722222222222219</v>
      </c>
      <c r="AI179" s="112">
        <f t="shared" si="21"/>
        <v>2.355512784479325E-3</v>
      </c>
      <c r="AJ179" s="112">
        <f t="shared" si="19"/>
        <v>2.5474461503494643E-3</v>
      </c>
      <c r="AK179" s="112">
        <f t="shared" si="20"/>
        <v>2.5599357979987237E-3</v>
      </c>
    </row>
    <row r="180" spans="33:37" x14ac:dyDescent="0.2">
      <c r="AG180" s="114">
        <f>_xll.qlCalendarAdvance(Calendar,AG179,"1d","mf",,Trigger)</f>
        <v>43049</v>
      </c>
      <c r="AH180" s="100">
        <f>_xll.qlDayCounterYearFraction(DayCounter,SettlementDate,AG180,,,Trigger)</f>
        <v>0.7</v>
      </c>
      <c r="AI180" s="112">
        <f t="shared" si="21"/>
        <v>2.355512784479325E-3</v>
      </c>
      <c r="AJ180" s="112">
        <f t="shared" si="19"/>
        <v>2.5502896076216143E-3</v>
      </c>
      <c r="AK180" s="112">
        <f t="shared" si="20"/>
        <v>2.5626159576405518E-3</v>
      </c>
    </row>
    <row r="181" spans="33:37" x14ac:dyDescent="0.2">
      <c r="AG181" s="114">
        <f>_xll.qlCalendarAdvance(Calendar,AG180,"1d","mf",,Trigger)</f>
        <v>43052</v>
      </c>
      <c r="AH181" s="100">
        <f>_xll.qlDayCounterYearFraction(DayCounter,SettlementDate,AG181,,,Trigger)</f>
        <v>0.70833333333333337</v>
      </c>
      <c r="AI181" s="112">
        <f t="shared" si="21"/>
        <v>2.355512784479325E-3</v>
      </c>
      <c r="AJ181" s="112">
        <f t="shared" si="19"/>
        <v>2.5588199794380649E-3</v>
      </c>
      <c r="AK181" s="112">
        <f t="shared" si="20"/>
        <v>2.5706386330690903E-3</v>
      </c>
    </row>
    <row r="182" spans="33:37" x14ac:dyDescent="0.2">
      <c r="AG182" s="114">
        <f>_xll.qlCalendarAdvance(Calendar,AG181,"1d","mf",,Trigger)</f>
        <v>43053</v>
      </c>
      <c r="AH182" s="100">
        <f>_xll.qlDayCounterYearFraction(DayCounter,SettlementDate,AG182,,,Trigger)</f>
        <v>0.71111111111111114</v>
      </c>
      <c r="AI182" s="112">
        <f t="shared" si="21"/>
        <v>2.355512784479325E-3</v>
      </c>
      <c r="AJ182" s="112">
        <f t="shared" si="19"/>
        <v>2.5616634367102153E-3</v>
      </c>
      <c r="AK182" s="112">
        <f t="shared" si="20"/>
        <v>2.5733069237129538E-3</v>
      </c>
    </row>
    <row r="183" spans="33:37" x14ac:dyDescent="0.2">
      <c r="AG183" s="114">
        <f>_xll.qlCalendarAdvance(Calendar,AG182,"1d","mf",,Trigger)</f>
        <v>43054</v>
      </c>
      <c r="AH183" s="100">
        <f>_xll.qlDayCounterYearFraction(DayCounter,SettlementDate,AG183,,,Trigger)</f>
        <v>0.71388888888888891</v>
      </c>
      <c r="AI183" s="112">
        <f t="shared" si="21"/>
        <v>2.355512784479325E-3</v>
      </c>
      <c r="AJ183" s="112">
        <f t="shared" si="19"/>
        <v>2.5645068939823654E-3</v>
      </c>
      <c r="AK183" s="112">
        <f t="shared" si="20"/>
        <v>2.5759722471073274E-3</v>
      </c>
    </row>
    <row r="184" spans="33:37" x14ac:dyDescent="0.2">
      <c r="AG184" s="114">
        <f>_xll.qlCalendarAdvance(Calendar,AG183,"1d","mf",,Trigger)</f>
        <v>43055</v>
      </c>
      <c r="AH184" s="100">
        <f>_xll.qlDayCounterYearFraction(DayCounter,SettlementDate,AG184,,,Trigger)</f>
        <v>0.71666666666666667</v>
      </c>
      <c r="AI184" s="112">
        <f t="shared" si="21"/>
        <v>2.355512784479325E-3</v>
      </c>
      <c r="AJ184" s="112">
        <f t="shared" si="19"/>
        <v>2.5673503512545154E-3</v>
      </c>
      <c r="AK184" s="112">
        <f t="shared" si="20"/>
        <v>2.5786346032522093E-3</v>
      </c>
    </row>
    <row r="185" spans="33:37" x14ac:dyDescent="0.2">
      <c r="AG185" s="114">
        <f>_xll.qlCalendarAdvance(Calendar,AG184,"1d","mf",,Trigger)</f>
        <v>43056</v>
      </c>
      <c r="AH185" s="100">
        <f>_xll.qlDayCounterYearFraction(DayCounter,SettlementDate,AG185,,,Trigger)</f>
        <v>0.71944444444444444</v>
      </c>
      <c r="AI185" s="112">
        <f t="shared" si="21"/>
        <v>2.355512784479325E-3</v>
      </c>
      <c r="AJ185" s="112">
        <f t="shared" si="19"/>
        <v>2.5701938085266659E-3</v>
      </c>
      <c r="AK185" s="112">
        <f t="shared" si="20"/>
        <v>2.5812939921476003E-3</v>
      </c>
    </row>
    <row r="186" spans="33:37" x14ac:dyDescent="0.2">
      <c r="AG186" s="114">
        <f>_xll.qlCalendarAdvance(Calendar,AG185,"1d","mf",,Trigger)</f>
        <v>43059</v>
      </c>
      <c r="AH186" s="100">
        <f>_xll.qlDayCounterYearFraction(DayCounter,SettlementDate,AG186,,,Trigger)</f>
        <v>0.72777777777777775</v>
      </c>
      <c r="AI186" s="112">
        <f t="shared" si="21"/>
        <v>2.355512784479325E-3</v>
      </c>
      <c r="AJ186" s="112">
        <f t="shared" si="19"/>
        <v>2.5787241803431164E-3</v>
      </c>
      <c r="AK186" s="112">
        <f t="shared" si="20"/>
        <v>2.5892543553368268E-3</v>
      </c>
    </row>
    <row r="187" spans="33:37" x14ac:dyDescent="0.2">
      <c r="AG187" s="114">
        <f>_xll.qlCalendarAdvance(Calendar,AG186,"1d","mf",,Trigger)</f>
        <v>43060</v>
      </c>
      <c r="AH187" s="100">
        <f>_xll.qlDayCounterYearFraction(DayCounter,SettlementDate,AG187,,,Trigger)</f>
        <v>0.73055555555555551</v>
      </c>
      <c r="AI187" s="112">
        <f t="shared" si="21"/>
        <v>2.355512784479325E-3</v>
      </c>
      <c r="AJ187" s="112">
        <f t="shared" si="19"/>
        <v>2.5815676376152665E-3</v>
      </c>
      <c r="AK187" s="112">
        <f t="shared" si="20"/>
        <v>2.5919018752342537E-3</v>
      </c>
    </row>
    <row r="188" spans="33:37" x14ac:dyDescent="0.2">
      <c r="AG188" s="114">
        <f>_xll.qlCalendarAdvance(Calendar,AG187,"1d","mf",,Trigger)</f>
        <v>43061</v>
      </c>
      <c r="AH188" s="100">
        <f>_xll.qlDayCounterYearFraction(DayCounter,SettlementDate,AG188,,,Trigger)</f>
        <v>0.73333333333333328</v>
      </c>
      <c r="AI188" s="112">
        <f t="shared" si="21"/>
        <v>2.355512784479325E-3</v>
      </c>
      <c r="AJ188" s="112">
        <f t="shared" si="19"/>
        <v>2.5844110948874165E-3</v>
      </c>
      <c r="AK188" s="112">
        <f t="shared" si="20"/>
        <v>2.5945464278821898E-3</v>
      </c>
    </row>
    <row r="189" spans="33:37" x14ac:dyDescent="0.2">
      <c r="AG189" s="114">
        <f>_xll.qlCalendarAdvance(Calendar,AG188,"1d","mf",,Trigger)</f>
        <v>43062</v>
      </c>
      <c r="AH189" s="100">
        <f>_xll.qlDayCounterYearFraction(DayCounter,SettlementDate,AG189,,,Trigger)</f>
        <v>0.73611111111111116</v>
      </c>
      <c r="AI189" s="112">
        <f t="shared" si="21"/>
        <v>2.355512784479325E-3</v>
      </c>
      <c r="AJ189" s="112">
        <f t="shared" ref="AJ189:AJ252" si="22">$X$10+$X$9*AH189</f>
        <v>2.587254552159567E-3</v>
      </c>
      <c r="AK189" s="112">
        <f t="shared" ref="AK189:AK252" si="23">($X$5+$X$4*AH189+$X$3*AH189^2)</f>
        <v>2.5971880132806347E-3</v>
      </c>
    </row>
    <row r="190" spans="33:37" x14ac:dyDescent="0.2">
      <c r="AG190" s="114">
        <f>_xll.qlCalendarAdvance(Calendar,AG189,"1d","mf",,Trigger)</f>
        <v>43063</v>
      </c>
      <c r="AH190" s="100">
        <f>_xll.qlDayCounterYearFraction(DayCounter,SettlementDate,AG190,,,Trigger)</f>
        <v>0.73888888888888893</v>
      </c>
      <c r="AI190" s="112">
        <f t="shared" si="21"/>
        <v>2.355512784479325E-3</v>
      </c>
      <c r="AJ190" s="112">
        <f t="shared" si="22"/>
        <v>2.590098009431717E-3</v>
      </c>
      <c r="AK190" s="112">
        <f t="shared" si="23"/>
        <v>2.5998266314295887E-3</v>
      </c>
    </row>
    <row r="191" spans="33:37" x14ac:dyDescent="0.2">
      <c r="AG191" s="114">
        <f>_xll.qlCalendarAdvance(Calendar,AG190,"1d","mf",,Trigger)</f>
        <v>43066</v>
      </c>
      <c r="AH191" s="100">
        <f>_xll.qlDayCounterYearFraction(DayCounter,SettlementDate,AG191,,,Trigger)</f>
        <v>0.74722222222222223</v>
      </c>
      <c r="AI191" s="112">
        <f t="shared" si="21"/>
        <v>2.355512784479325E-3</v>
      </c>
      <c r="AJ191" s="112">
        <f t="shared" si="22"/>
        <v>2.5986283812481675E-3</v>
      </c>
      <c r="AK191" s="112">
        <f t="shared" si="23"/>
        <v>2.6077246823795041E-3</v>
      </c>
    </row>
    <row r="192" spans="33:37" x14ac:dyDescent="0.2">
      <c r="AG192" s="114">
        <f>_xll.qlCalendarAdvance(Calendar,AG191,"1d","mf",,Trigger)</f>
        <v>43067</v>
      </c>
      <c r="AH192" s="100">
        <f>_xll.qlDayCounterYearFraction(DayCounter,SettlementDate,AG192,,,Trigger)</f>
        <v>0.75</v>
      </c>
      <c r="AI192" s="112">
        <f t="shared" si="21"/>
        <v>2.355512784479325E-3</v>
      </c>
      <c r="AJ192" s="112">
        <f t="shared" si="22"/>
        <v>2.6014718385203176E-3</v>
      </c>
      <c r="AK192" s="112">
        <f t="shared" si="23"/>
        <v>2.610351431530494E-3</v>
      </c>
    </row>
    <row r="193" spans="33:37" x14ac:dyDescent="0.2">
      <c r="AG193" s="114">
        <f>_xll.qlCalendarAdvance(Calendar,AG192,"1d","mf",,Trigger)</f>
        <v>43068</v>
      </c>
      <c r="AH193" s="100">
        <f>_xll.qlDayCounterYearFraction(DayCounter,SettlementDate,AG193,,,Trigger)</f>
        <v>0.75277777777777777</v>
      </c>
      <c r="AI193" s="112">
        <f t="shared" si="21"/>
        <v>2.355512784479325E-3</v>
      </c>
      <c r="AJ193" s="112">
        <f t="shared" si="22"/>
        <v>2.6043152957924676E-3</v>
      </c>
      <c r="AK193" s="112">
        <f t="shared" si="23"/>
        <v>2.6129752134319926E-3</v>
      </c>
    </row>
    <row r="194" spans="33:37" x14ac:dyDescent="0.2">
      <c r="AG194" s="114">
        <f>_xll.qlCalendarAdvance(Calendar,AG193,"1d","mf",,Trigger)</f>
        <v>43069</v>
      </c>
      <c r="AH194" s="100">
        <f>_xll.qlDayCounterYearFraction(DayCounter,SettlementDate,AG194,,,Trigger)</f>
        <v>0.75555555555555554</v>
      </c>
      <c r="AI194" s="112">
        <f t="shared" si="21"/>
        <v>2.355512784479325E-3</v>
      </c>
      <c r="AJ194" s="112">
        <f t="shared" si="22"/>
        <v>2.6071587530646177E-3</v>
      </c>
      <c r="AK194" s="112">
        <f t="shared" si="23"/>
        <v>2.6155960280840004E-3</v>
      </c>
    </row>
    <row r="195" spans="33:37" x14ac:dyDescent="0.2">
      <c r="AG195" s="114">
        <f>_xll.qlCalendarAdvance(Calendar,AG194,"1d","mf",,Trigger)</f>
        <v>43070</v>
      </c>
      <c r="AH195" s="100">
        <f>_xll.qlDayCounterYearFraction(DayCounter,SettlementDate,AG195,,,Trigger)</f>
        <v>0.7583333333333333</v>
      </c>
      <c r="AI195" s="112">
        <f t="shared" ref="AI195:AI258" si="24">$X$15</f>
        <v>2.355512784479325E-3</v>
      </c>
      <c r="AJ195" s="112">
        <f t="shared" si="22"/>
        <v>2.6100022103367681E-3</v>
      </c>
      <c r="AK195" s="112">
        <f t="shared" si="23"/>
        <v>2.6182138754865174E-3</v>
      </c>
    </row>
    <row r="196" spans="33:37" x14ac:dyDescent="0.2">
      <c r="AG196" s="114">
        <f>_xll.qlCalendarAdvance(Calendar,AG195,"1d","mf",,Trigger)</f>
        <v>43073</v>
      </c>
      <c r="AH196" s="100">
        <f>_xll.qlDayCounterYearFraction(DayCounter,SettlementDate,AG196,,,Trigger)</f>
        <v>0.76666666666666672</v>
      </c>
      <c r="AI196" s="112">
        <f t="shared" si="24"/>
        <v>2.355512784479325E-3</v>
      </c>
      <c r="AJ196" s="112">
        <f t="shared" si="22"/>
        <v>2.6185325821532187E-3</v>
      </c>
      <c r="AK196" s="112">
        <f t="shared" si="23"/>
        <v>2.6260496141971216E-3</v>
      </c>
    </row>
    <row r="197" spans="33:37" x14ac:dyDescent="0.2">
      <c r="AG197" s="114">
        <f>_xll.qlCalendarAdvance(Calendar,AG196,"1d","mf",,Trigger)</f>
        <v>43074</v>
      </c>
      <c r="AH197" s="100">
        <f>_xll.qlDayCounterYearFraction(DayCounter,SettlementDate,AG197,,,Trigger)</f>
        <v>0.76944444444444449</v>
      </c>
      <c r="AI197" s="112">
        <f t="shared" si="24"/>
        <v>2.355512784479325E-3</v>
      </c>
      <c r="AJ197" s="112">
        <f t="shared" si="22"/>
        <v>2.6213760394253687E-3</v>
      </c>
      <c r="AK197" s="112">
        <f t="shared" si="23"/>
        <v>2.6286555926016745E-3</v>
      </c>
    </row>
    <row r="198" spans="33:37" x14ac:dyDescent="0.2">
      <c r="AG198" s="114">
        <f>_xll.qlCalendarAdvance(Calendar,AG197,"1d","mf",,Trigger)</f>
        <v>43075</v>
      </c>
      <c r="AH198" s="100">
        <f>_xll.qlDayCounterYearFraction(DayCounter,SettlementDate,AG198,,,Trigger)</f>
        <v>0.77222222222222225</v>
      </c>
      <c r="AI198" s="112">
        <f t="shared" si="24"/>
        <v>2.355512784479325E-3</v>
      </c>
      <c r="AJ198" s="112">
        <f t="shared" si="22"/>
        <v>2.6242194966975187E-3</v>
      </c>
      <c r="AK198" s="112">
        <f t="shared" si="23"/>
        <v>2.631258603756736E-3</v>
      </c>
    </row>
    <row r="199" spans="33:37" x14ac:dyDescent="0.2">
      <c r="AG199" s="114">
        <f>_xll.qlCalendarAdvance(Calendar,AG198,"1d","mf",,Trigger)</f>
        <v>43076</v>
      </c>
      <c r="AH199" s="100">
        <f>_xll.qlDayCounterYearFraction(DayCounter,SettlementDate,AG199,,,Trigger)</f>
        <v>0.77500000000000002</v>
      </c>
      <c r="AI199" s="112">
        <f t="shared" si="24"/>
        <v>2.355512784479325E-3</v>
      </c>
      <c r="AJ199" s="112">
        <f t="shared" si="22"/>
        <v>2.6270629539696692E-3</v>
      </c>
      <c r="AK199" s="112">
        <f t="shared" si="23"/>
        <v>2.6338586476623068E-3</v>
      </c>
    </row>
    <row r="200" spans="33:37" x14ac:dyDescent="0.2">
      <c r="AG200" s="114">
        <f>_xll.qlCalendarAdvance(Calendar,AG199,"1d","mf",,Trigger)</f>
        <v>43077</v>
      </c>
      <c r="AH200" s="100">
        <f>_xll.qlDayCounterYearFraction(DayCounter,SettlementDate,AG200,,,Trigger)</f>
        <v>0.77777777777777779</v>
      </c>
      <c r="AI200" s="112">
        <f t="shared" si="24"/>
        <v>2.355512784479325E-3</v>
      </c>
      <c r="AJ200" s="112">
        <f t="shared" si="22"/>
        <v>2.6299064112418192E-3</v>
      </c>
      <c r="AK200" s="112">
        <f t="shared" si="23"/>
        <v>2.6364557243183863E-3</v>
      </c>
    </row>
    <row r="201" spans="33:37" x14ac:dyDescent="0.2">
      <c r="AG201" s="114">
        <f>_xll.qlCalendarAdvance(Calendar,AG200,"1d","mf",,Trigger)</f>
        <v>43080</v>
      </c>
      <c r="AH201" s="100">
        <f>_xll.qlDayCounterYearFraction(DayCounter,SettlementDate,AG201,,,Trigger)</f>
        <v>0.78611111111111109</v>
      </c>
      <c r="AI201" s="112">
        <f t="shared" si="24"/>
        <v>2.355512784479325E-3</v>
      </c>
      <c r="AJ201" s="112">
        <f t="shared" si="22"/>
        <v>2.6384367830582698E-3</v>
      </c>
      <c r="AK201" s="112">
        <f t="shared" si="23"/>
        <v>2.644229150789679E-3</v>
      </c>
    </row>
    <row r="202" spans="33:37" x14ac:dyDescent="0.2">
      <c r="AG202" s="114">
        <f>_xll.qlCalendarAdvance(Calendar,AG201,"1d","mf",,Trigger)</f>
        <v>43081</v>
      </c>
      <c r="AH202" s="100">
        <f>_xll.qlDayCounterYearFraction(DayCounter,SettlementDate,AG202,,,Trigger)</f>
        <v>0.78888888888888886</v>
      </c>
      <c r="AI202" s="112">
        <f t="shared" si="24"/>
        <v>2.355512784479325E-3</v>
      </c>
      <c r="AJ202" s="112">
        <f t="shared" si="22"/>
        <v>2.6412802403304198E-3</v>
      </c>
      <c r="AK202" s="112">
        <f t="shared" si="23"/>
        <v>2.6468143584477953E-3</v>
      </c>
    </row>
    <row r="203" spans="33:37" x14ac:dyDescent="0.2">
      <c r="AG203" s="114">
        <f>_xll.qlCalendarAdvance(Calendar,AG202,"1d","mf",,Trigger)</f>
        <v>43082</v>
      </c>
      <c r="AH203" s="100">
        <f>_xll.qlDayCounterYearFraction(DayCounter,SettlementDate,AG203,,,Trigger)</f>
        <v>0.79166666666666663</v>
      </c>
      <c r="AI203" s="112">
        <f t="shared" si="24"/>
        <v>2.355512784479325E-3</v>
      </c>
      <c r="AJ203" s="112">
        <f t="shared" si="22"/>
        <v>2.6441236976025703E-3</v>
      </c>
      <c r="AK203" s="112">
        <f t="shared" si="23"/>
        <v>2.6493965988564194E-3</v>
      </c>
    </row>
    <row r="204" spans="33:37" x14ac:dyDescent="0.2">
      <c r="AG204" s="114">
        <f>_xll.qlCalendarAdvance(Calendar,AG203,"1d","mf",,Trigger)</f>
        <v>43083</v>
      </c>
      <c r="AH204" s="100">
        <f>_xll.qlDayCounterYearFraction(DayCounter,SettlementDate,AG204,,,Trigger)</f>
        <v>0.7944444444444444</v>
      </c>
      <c r="AI204" s="112">
        <f t="shared" si="24"/>
        <v>2.355512784479325E-3</v>
      </c>
      <c r="AJ204" s="112">
        <f t="shared" si="22"/>
        <v>2.6469671548747203E-3</v>
      </c>
      <c r="AK204" s="112">
        <f t="shared" si="23"/>
        <v>2.6519758720155535E-3</v>
      </c>
    </row>
    <row r="205" spans="33:37" x14ac:dyDescent="0.2">
      <c r="AG205" s="114">
        <f>_xll.qlCalendarAdvance(Calendar,AG204,"1d","mf",,Trigger)</f>
        <v>43084</v>
      </c>
      <c r="AH205" s="100">
        <f>_xll.qlDayCounterYearFraction(DayCounter,SettlementDate,AG205,,,Trigger)</f>
        <v>0.79722222222222228</v>
      </c>
      <c r="AI205" s="112">
        <f t="shared" si="24"/>
        <v>2.355512784479325E-3</v>
      </c>
      <c r="AJ205" s="112">
        <f t="shared" si="22"/>
        <v>2.6498106121468704E-3</v>
      </c>
      <c r="AK205" s="112">
        <f t="shared" si="23"/>
        <v>2.654552177925196E-3</v>
      </c>
    </row>
    <row r="206" spans="33:37" x14ac:dyDescent="0.2">
      <c r="AG206" s="114">
        <f>_xll.qlCalendarAdvance(Calendar,AG205,"1d","mf",,Trigger)</f>
        <v>43087</v>
      </c>
      <c r="AH206" s="100">
        <f>_xll.qlDayCounterYearFraction(DayCounter,SettlementDate,AG206,,,Trigger)</f>
        <v>0.80555555555555558</v>
      </c>
      <c r="AI206" s="112">
        <f t="shared" si="24"/>
        <v>2.355512784479325E-3</v>
      </c>
      <c r="AJ206" s="112">
        <f t="shared" si="22"/>
        <v>2.6583409839633209E-3</v>
      </c>
      <c r="AK206" s="112">
        <f t="shared" si="23"/>
        <v>2.6622632921571776E-3</v>
      </c>
    </row>
    <row r="207" spans="33:37" x14ac:dyDescent="0.2">
      <c r="AG207" s="114">
        <f>_xll.qlCalendarAdvance(Calendar,AG206,"1d","mf",,Trigger)</f>
        <v>43088</v>
      </c>
      <c r="AH207" s="100">
        <f>_xll.qlDayCounterYearFraction(DayCounter,SettlementDate,AG207,,,Trigger)</f>
        <v>0.80833333333333335</v>
      </c>
      <c r="AI207" s="112">
        <f t="shared" si="24"/>
        <v>2.355512784479325E-3</v>
      </c>
      <c r="AJ207" s="112">
        <f t="shared" si="22"/>
        <v>2.6611844412354714E-3</v>
      </c>
      <c r="AK207" s="112">
        <f t="shared" si="23"/>
        <v>2.6648277290688563E-3</v>
      </c>
    </row>
    <row r="208" spans="33:37" x14ac:dyDescent="0.2">
      <c r="AG208" s="114">
        <f>_xll.qlCalendarAdvance(Calendar,AG207,"1d","mf",,Trigger)</f>
        <v>43089</v>
      </c>
      <c r="AH208" s="100">
        <f>_xll.qlDayCounterYearFraction(DayCounter,SettlementDate,AG208,,,Trigger)</f>
        <v>0.81111111111111112</v>
      </c>
      <c r="AI208" s="112">
        <f t="shared" si="24"/>
        <v>2.355512784479325E-3</v>
      </c>
      <c r="AJ208" s="112">
        <f t="shared" si="22"/>
        <v>2.6640278985076214E-3</v>
      </c>
      <c r="AK208" s="112">
        <f t="shared" si="23"/>
        <v>2.6673891987310434E-3</v>
      </c>
    </row>
    <row r="209" spans="33:37" x14ac:dyDescent="0.2">
      <c r="AG209" s="114">
        <f>_xll.qlCalendarAdvance(Calendar,AG208,"1d","mf",,Trigger)</f>
        <v>43090</v>
      </c>
      <c r="AH209" s="100">
        <f>_xll.qlDayCounterYearFraction(DayCounter,SettlementDate,AG209,,,Trigger)</f>
        <v>0.81388888888888888</v>
      </c>
      <c r="AI209" s="112">
        <f t="shared" si="24"/>
        <v>2.355512784479325E-3</v>
      </c>
      <c r="AJ209" s="112">
        <f t="shared" si="22"/>
        <v>2.6668713557797714E-3</v>
      </c>
      <c r="AK209" s="112">
        <f t="shared" si="23"/>
        <v>2.6699477011437405E-3</v>
      </c>
    </row>
    <row r="210" spans="33:37" x14ac:dyDescent="0.2">
      <c r="AG210" s="114">
        <f>_xll.qlCalendarAdvance(Calendar,AG209,"1d","mf",,Trigger)</f>
        <v>43091</v>
      </c>
      <c r="AH210" s="100">
        <f>_xll.qlDayCounterYearFraction(DayCounter,SettlementDate,AG210,,,Trigger)</f>
        <v>0.81666666666666665</v>
      </c>
      <c r="AI210" s="112">
        <f t="shared" si="24"/>
        <v>2.355512784479325E-3</v>
      </c>
      <c r="AJ210" s="112">
        <f t="shared" si="22"/>
        <v>2.6697148130519219E-3</v>
      </c>
      <c r="AK210" s="112">
        <f t="shared" si="23"/>
        <v>2.6725032363069455E-3</v>
      </c>
    </row>
    <row r="211" spans="33:37" x14ac:dyDescent="0.2">
      <c r="AG211" s="114">
        <f>_xll.qlCalendarAdvance(Calendar,AG210,"1d","mf",,Trigger)</f>
        <v>43096</v>
      </c>
      <c r="AH211" s="100">
        <f>_xll.qlDayCounterYearFraction(DayCounter,SettlementDate,AG211,,,Trigger)</f>
        <v>0.8305555555555556</v>
      </c>
      <c r="AI211" s="112">
        <f t="shared" si="24"/>
        <v>2.355512784479325E-3</v>
      </c>
      <c r="AJ211" s="112">
        <f t="shared" si="22"/>
        <v>2.6839320994126725E-3</v>
      </c>
      <c r="AK211" s="112">
        <f t="shared" si="23"/>
        <v>2.6852364033806077E-3</v>
      </c>
    </row>
    <row r="212" spans="33:37" x14ac:dyDescent="0.2">
      <c r="AG212" s="114">
        <f>_xll.qlCalendarAdvance(Calendar,AG211,"1d","mf",,Trigger)</f>
        <v>43097</v>
      </c>
      <c r="AH212" s="100">
        <f>_xll.qlDayCounterYearFraction(DayCounter,SettlementDate,AG212,,,Trigger)</f>
        <v>0.83333333333333337</v>
      </c>
      <c r="AI212" s="112">
        <f t="shared" si="24"/>
        <v>2.355512784479325E-3</v>
      </c>
      <c r="AJ212" s="112">
        <f t="shared" si="22"/>
        <v>2.686775556684823E-3</v>
      </c>
      <c r="AK212" s="112">
        <f t="shared" si="23"/>
        <v>2.6877741350468673E-3</v>
      </c>
    </row>
    <row r="213" spans="33:37" x14ac:dyDescent="0.2">
      <c r="AG213" s="114">
        <f>_xll.qlCalendarAdvance(Calendar,AG212,"1d","mf",,Trigger)</f>
        <v>43098</v>
      </c>
      <c r="AH213" s="100">
        <f>_xll.qlDayCounterYearFraction(DayCounter,SettlementDate,AG213,,,Trigger)</f>
        <v>0.83611111111111114</v>
      </c>
      <c r="AI213" s="112">
        <f t="shared" si="24"/>
        <v>2.355512784479325E-3</v>
      </c>
      <c r="AJ213" s="112">
        <f t="shared" si="22"/>
        <v>2.689619013956973E-3</v>
      </c>
      <c r="AK213" s="112">
        <f t="shared" si="23"/>
        <v>2.6903088994636353E-3</v>
      </c>
    </row>
    <row r="214" spans="33:37" x14ac:dyDescent="0.2">
      <c r="AG214" s="114">
        <f>_xll.qlCalendarAdvance(Calendar,AG213,"1d","mf",,Trigger)</f>
        <v>43102</v>
      </c>
      <c r="AH214" s="100">
        <f>_xll.qlDayCounterYearFraction(DayCounter,SettlementDate,AG214,,,Trigger)</f>
        <v>0.84722222222222221</v>
      </c>
      <c r="AI214" s="112">
        <f t="shared" si="24"/>
        <v>2.355512784479325E-3</v>
      </c>
      <c r="AJ214" s="112">
        <f t="shared" si="22"/>
        <v>2.7009928430455736E-3</v>
      </c>
      <c r="AK214" s="112">
        <f t="shared" si="23"/>
        <v>2.7004182846357989E-3</v>
      </c>
    </row>
    <row r="215" spans="33:37" x14ac:dyDescent="0.2">
      <c r="AG215" s="114">
        <f>_xll.qlCalendarAdvance(Calendar,AG214,"1d","mf",,Trigger)</f>
        <v>43103</v>
      </c>
      <c r="AH215" s="100">
        <f>_xll.qlDayCounterYearFraction(DayCounter,SettlementDate,AG215,,,Trigger)</f>
        <v>0.85</v>
      </c>
      <c r="AI215" s="112">
        <f t="shared" si="24"/>
        <v>2.355512784479325E-3</v>
      </c>
      <c r="AJ215" s="112">
        <f t="shared" si="22"/>
        <v>2.7038363003177236E-3</v>
      </c>
      <c r="AK215" s="112">
        <f t="shared" si="23"/>
        <v>2.7029382128051123E-3</v>
      </c>
    </row>
    <row r="216" spans="33:37" x14ac:dyDescent="0.2">
      <c r="AG216" s="114">
        <f>_xll.qlCalendarAdvance(Calendar,AG215,"1d","mf",,Trigger)</f>
        <v>43104</v>
      </c>
      <c r="AH216" s="100">
        <f>_xll.qlDayCounterYearFraction(DayCounter,SettlementDate,AG216,,,Trigger)</f>
        <v>0.85277777777777775</v>
      </c>
      <c r="AI216" s="112">
        <f t="shared" si="24"/>
        <v>2.355512784479325E-3</v>
      </c>
      <c r="AJ216" s="112">
        <f t="shared" si="22"/>
        <v>2.7066797575898737E-3</v>
      </c>
      <c r="AK216" s="112">
        <f t="shared" si="23"/>
        <v>2.7054551737249345E-3</v>
      </c>
    </row>
    <row r="217" spans="33:37" x14ac:dyDescent="0.2">
      <c r="AG217" s="114">
        <f>_xll.qlCalendarAdvance(Calendar,AG216,"1d","mf",,Trigger)</f>
        <v>43105</v>
      </c>
      <c r="AH217" s="100">
        <f>_xll.qlDayCounterYearFraction(DayCounter,SettlementDate,AG217,,,Trigger)</f>
        <v>0.85555555555555551</v>
      </c>
      <c r="AI217" s="112">
        <f t="shared" si="24"/>
        <v>2.355512784479325E-3</v>
      </c>
      <c r="AJ217" s="112">
        <f t="shared" si="22"/>
        <v>2.7095232148620241E-3</v>
      </c>
      <c r="AK217" s="112">
        <f t="shared" si="23"/>
        <v>2.7079691673952658E-3</v>
      </c>
    </row>
    <row r="218" spans="33:37" x14ac:dyDescent="0.2">
      <c r="AG218" s="114">
        <f>_xll.qlCalendarAdvance(Calendar,AG217,"1d","mf",,Trigger)</f>
        <v>43108</v>
      </c>
      <c r="AH218" s="100">
        <f>_xll.qlDayCounterYearFraction(DayCounter,SettlementDate,AG218,,,Trigger)</f>
        <v>0.86388888888888893</v>
      </c>
      <c r="AI218" s="112">
        <f t="shared" si="24"/>
        <v>2.355512784479325E-3</v>
      </c>
      <c r="AJ218" s="112">
        <f t="shared" si="22"/>
        <v>2.7180535866784747E-3</v>
      </c>
      <c r="AK218" s="112">
        <f t="shared" si="23"/>
        <v>2.715493344909314E-3</v>
      </c>
    </row>
    <row r="219" spans="33:37" x14ac:dyDescent="0.2">
      <c r="AG219" s="114">
        <f>_xll.qlCalendarAdvance(Calendar,AG218,"1d","mf",,Trigger)</f>
        <v>43109</v>
      </c>
      <c r="AH219" s="100">
        <f>_xll.qlDayCounterYearFraction(DayCounter,SettlementDate,AG219,,,Trigger)</f>
        <v>0.8666666666666667</v>
      </c>
      <c r="AI219" s="112">
        <f t="shared" si="24"/>
        <v>2.355512784479325E-3</v>
      </c>
      <c r="AJ219" s="112">
        <f t="shared" si="22"/>
        <v>2.7208970439506247E-3</v>
      </c>
      <c r="AK219" s="112">
        <f t="shared" si="23"/>
        <v>2.7179954695816812E-3</v>
      </c>
    </row>
    <row r="220" spans="33:37" x14ac:dyDescent="0.2">
      <c r="AG220" s="114">
        <f>_xll.qlCalendarAdvance(Calendar,AG219,"1d","mf",,Trigger)</f>
        <v>43110</v>
      </c>
      <c r="AH220" s="100">
        <f>_xll.qlDayCounterYearFraction(DayCounter,SettlementDate,AG220,,,Trigger)</f>
        <v>0.86944444444444446</v>
      </c>
      <c r="AI220" s="112">
        <f t="shared" si="24"/>
        <v>2.355512784479325E-3</v>
      </c>
      <c r="AJ220" s="112">
        <f t="shared" si="22"/>
        <v>2.7237405012227748E-3</v>
      </c>
      <c r="AK220" s="112">
        <f t="shared" si="23"/>
        <v>2.7204946270045572E-3</v>
      </c>
    </row>
    <row r="221" spans="33:37" x14ac:dyDescent="0.2">
      <c r="AG221" s="114">
        <f>_xll.qlCalendarAdvance(Calendar,AG220,"1d","mf",,Trigger)</f>
        <v>43111</v>
      </c>
      <c r="AH221" s="100">
        <f>_xll.qlDayCounterYearFraction(DayCounter,SettlementDate,AG221,,,Trigger)</f>
        <v>0.87222222222222223</v>
      </c>
      <c r="AI221" s="112">
        <f t="shared" si="24"/>
        <v>2.355512784479325E-3</v>
      </c>
      <c r="AJ221" s="112">
        <f t="shared" si="22"/>
        <v>2.7265839584949252E-3</v>
      </c>
      <c r="AK221" s="112">
        <f t="shared" si="23"/>
        <v>2.7229908171779423E-3</v>
      </c>
    </row>
    <row r="222" spans="33:37" x14ac:dyDescent="0.2">
      <c r="AG222" s="114">
        <f>_xll.qlCalendarAdvance(Calendar,AG221,"1d","mf",,Trigger)</f>
        <v>43112</v>
      </c>
      <c r="AH222" s="100">
        <f>_xll.qlDayCounterYearFraction(DayCounter,SettlementDate,AG222,,,Trigger)</f>
        <v>0.875</v>
      </c>
      <c r="AI222" s="112">
        <f t="shared" si="24"/>
        <v>2.355512784479325E-3</v>
      </c>
      <c r="AJ222" s="112">
        <f t="shared" si="22"/>
        <v>2.7294274157670753E-3</v>
      </c>
      <c r="AK222" s="112">
        <f t="shared" si="23"/>
        <v>2.7254840401018366E-3</v>
      </c>
    </row>
    <row r="223" spans="33:37" x14ac:dyDescent="0.2">
      <c r="AG223" s="114">
        <f>_xll.qlCalendarAdvance(Calendar,AG222,"1d","mf",,Trigger)</f>
        <v>43115</v>
      </c>
      <c r="AH223" s="100">
        <f>_xll.qlDayCounterYearFraction(DayCounter,SettlementDate,AG223,,,Trigger)</f>
        <v>0.8833333333333333</v>
      </c>
      <c r="AI223" s="112">
        <f t="shared" si="24"/>
        <v>2.355512784479325E-3</v>
      </c>
      <c r="AJ223" s="112">
        <f t="shared" si="22"/>
        <v>2.7379577875835258E-3</v>
      </c>
      <c r="AK223" s="112">
        <f t="shared" si="23"/>
        <v>2.7329459053765728E-3</v>
      </c>
    </row>
    <row r="224" spans="33:37" x14ac:dyDescent="0.2">
      <c r="AG224" s="114">
        <f>_xll.qlCalendarAdvance(Calendar,AG223,"1d","mf",,Trigger)</f>
        <v>43116</v>
      </c>
      <c r="AH224" s="100">
        <f>_xll.qlDayCounterYearFraction(DayCounter,SettlementDate,AG224,,,Trigger)</f>
        <v>0.88611111111111107</v>
      </c>
      <c r="AI224" s="112">
        <f t="shared" si="24"/>
        <v>2.355512784479325E-3</v>
      </c>
      <c r="AJ224" s="112">
        <f t="shared" si="22"/>
        <v>2.7408012448556758E-3</v>
      </c>
      <c r="AK224" s="112">
        <f t="shared" si="23"/>
        <v>2.735427259302503E-3</v>
      </c>
    </row>
    <row r="225" spans="33:37" x14ac:dyDescent="0.2">
      <c r="AG225" s="114">
        <f>_xll.qlCalendarAdvance(Calendar,AG224,"1d","mf",,Trigger)</f>
        <v>43117</v>
      </c>
      <c r="AH225" s="100">
        <f>_xll.qlDayCounterYearFraction(DayCounter,SettlementDate,AG225,,,Trigger)</f>
        <v>0.88888888888888884</v>
      </c>
      <c r="AI225" s="112">
        <f t="shared" si="24"/>
        <v>2.355512784479325E-3</v>
      </c>
      <c r="AJ225" s="112">
        <f t="shared" si="22"/>
        <v>2.7436447021278263E-3</v>
      </c>
      <c r="AK225" s="112">
        <f t="shared" si="23"/>
        <v>2.7379056459789428E-3</v>
      </c>
    </row>
    <row r="226" spans="33:37" x14ac:dyDescent="0.2">
      <c r="AG226" s="114">
        <f>_xll.qlCalendarAdvance(Calendar,AG225,"1d","mf",,Trigger)</f>
        <v>43118</v>
      </c>
      <c r="AH226" s="100">
        <f>_xll.qlDayCounterYearFraction(DayCounter,SettlementDate,AG226,,,Trigger)</f>
        <v>0.89166666666666672</v>
      </c>
      <c r="AI226" s="112">
        <f t="shared" si="24"/>
        <v>2.355512784479325E-3</v>
      </c>
      <c r="AJ226" s="112">
        <f t="shared" si="22"/>
        <v>2.7464881593999763E-3</v>
      </c>
      <c r="AK226" s="112">
        <f t="shared" si="23"/>
        <v>2.7403810654058904E-3</v>
      </c>
    </row>
    <row r="227" spans="33:37" x14ac:dyDescent="0.2">
      <c r="AG227" s="114">
        <f>_xll.qlCalendarAdvance(Calendar,AG226,"1d","mf",,Trigger)</f>
        <v>43119</v>
      </c>
      <c r="AH227" s="100">
        <f>_xll.qlDayCounterYearFraction(DayCounter,SettlementDate,AG227,,,Trigger)</f>
        <v>0.89444444444444449</v>
      </c>
      <c r="AI227" s="112">
        <f t="shared" si="24"/>
        <v>2.355512784479325E-3</v>
      </c>
      <c r="AJ227" s="112">
        <f t="shared" si="22"/>
        <v>2.7493316166721264E-3</v>
      </c>
      <c r="AK227" s="112">
        <f t="shared" si="23"/>
        <v>2.7428535175833477E-3</v>
      </c>
    </row>
    <row r="228" spans="33:37" x14ac:dyDescent="0.2">
      <c r="AG228" s="114">
        <f>_xll.qlCalendarAdvance(Calendar,AG227,"1d","mf",,Trigger)</f>
        <v>43122</v>
      </c>
      <c r="AH228" s="100">
        <f>_xll.qlDayCounterYearFraction(DayCounter,SettlementDate,AG228,,,Trigger)</f>
        <v>0.90277777777777779</v>
      </c>
      <c r="AI228" s="112">
        <f t="shared" si="24"/>
        <v>2.355512784479325E-3</v>
      </c>
      <c r="AJ228" s="112">
        <f t="shared" si="22"/>
        <v>2.7578619884885769E-3</v>
      </c>
      <c r="AK228" s="112">
        <f t="shared" si="23"/>
        <v>2.7502530706187728E-3</v>
      </c>
    </row>
    <row r="229" spans="33:37" x14ac:dyDescent="0.2">
      <c r="AG229" s="114">
        <f>_xll.qlCalendarAdvance(Calendar,AG228,"1d","mf",,Trigger)</f>
        <v>43123</v>
      </c>
      <c r="AH229" s="100">
        <f>_xll.qlDayCounterYearFraction(DayCounter,SettlementDate,AG229,,,Trigger)</f>
        <v>0.90555555555555556</v>
      </c>
      <c r="AI229" s="112">
        <f t="shared" si="24"/>
        <v>2.355512784479325E-3</v>
      </c>
      <c r="AJ229" s="112">
        <f t="shared" si="22"/>
        <v>2.7607054457607274E-3</v>
      </c>
      <c r="AK229" s="112">
        <f t="shared" si="23"/>
        <v>2.7527136537982655E-3</v>
      </c>
    </row>
    <row r="230" spans="33:37" x14ac:dyDescent="0.2">
      <c r="AG230" s="114">
        <f>_xll.qlCalendarAdvance(Calendar,AG229,"1d","mf",,Trigger)</f>
        <v>43124</v>
      </c>
      <c r="AH230" s="100">
        <f>_xll.qlDayCounterYearFraction(DayCounter,SettlementDate,AG230,,,Trigger)</f>
        <v>0.90833333333333333</v>
      </c>
      <c r="AI230" s="112">
        <f t="shared" si="24"/>
        <v>2.355512784479325E-3</v>
      </c>
      <c r="AJ230" s="112">
        <f t="shared" si="22"/>
        <v>2.7635489030328774E-3</v>
      </c>
      <c r="AK230" s="112">
        <f t="shared" si="23"/>
        <v>2.7551712697282682E-3</v>
      </c>
    </row>
    <row r="231" spans="33:37" x14ac:dyDescent="0.2">
      <c r="AG231" s="114">
        <f>_xll.qlCalendarAdvance(Calendar,AG230,"1d","mf",,Trigger)</f>
        <v>43125</v>
      </c>
      <c r="AH231" s="100">
        <f>_xll.qlDayCounterYearFraction(DayCounter,SettlementDate,AG231,,,Trigger)</f>
        <v>0.91111111111111109</v>
      </c>
      <c r="AI231" s="112">
        <f t="shared" si="24"/>
        <v>2.355512784479325E-3</v>
      </c>
      <c r="AJ231" s="112">
        <f t="shared" si="22"/>
        <v>2.7663923603050275E-3</v>
      </c>
      <c r="AK231" s="112">
        <f t="shared" si="23"/>
        <v>2.7576259184087784E-3</v>
      </c>
    </row>
    <row r="232" spans="33:37" x14ac:dyDescent="0.2">
      <c r="AG232" s="114">
        <f>_xll.qlCalendarAdvance(Calendar,AG231,"1d","mf",,Trigger)</f>
        <v>43126</v>
      </c>
      <c r="AH232" s="100">
        <f>_xll.qlDayCounterYearFraction(DayCounter,SettlementDate,AG232,,,Trigger)</f>
        <v>0.91388888888888886</v>
      </c>
      <c r="AI232" s="112">
        <f t="shared" si="24"/>
        <v>2.355512784479325E-3</v>
      </c>
      <c r="AJ232" s="112">
        <f t="shared" si="22"/>
        <v>2.7692358175771775E-3</v>
      </c>
      <c r="AK232" s="112">
        <f t="shared" si="23"/>
        <v>2.760077599839799E-3</v>
      </c>
    </row>
    <row r="233" spans="33:37" x14ac:dyDescent="0.2">
      <c r="AG233" s="114">
        <f>_xll.qlCalendarAdvance(Calendar,AG232,"1d","mf",,Trigger)</f>
        <v>43129</v>
      </c>
      <c r="AH233" s="100">
        <f>_xll.qlDayCounterYearFraction(DayCounter,SettlementDate,AG233,,,Trigger)</f>
        <v>0.92222222222222228</v>
      </c>
      <c r="AI233" s="112">
        <f t="shared" si="24"/>
        <v>2.355512784479325E-3</v>
      </c>
      <c r="AJ233" s="112">
        <f t="shared" si="22"/>
        <v>2.7777661893936285E-3</v>
      </c>
      <c r="AK233" s="112">
        <f t="shared" si="23"/>
        <v>2.7674148406359126E-3</v>
      </c>
    </row>
    <row r="234" spans="33:37" x14ac:dyDescent="0.2">
      <c r="AG234" s="114">
        <f>_xll.qlCalendarAdvance(Calendar,AG233,"1d","mf",,Trigger)</f>
        <v>43130</v>
      </c>
      <c r="AH234" s="100">
        <f>_xll.qlDayCounterYearFraction(DayCounter,SettlementDate,AG234,,,Trigger)</f>
        <v>0.92500000000000004</v>
      </c>
      <c r="AI234" s="112">
        <f t="shared" si="24"/>
        <v>2.355512784479325E-3</v>
      </c>
      <c r="AJ234" s="112">
        <f t="shared" si="22"/>
        <v>2.7806096466657785E-3</v>
      </c>
      <c r="AK234" s="112">
        <f t="shared" si="23"/>
        <v>2.7698546530689687E-3</v>
      </c>
    </row>
    <row r="235" spans="33:37" x14ac:dyDescent="0.2">
      <c r="AG235" s="114">
        <f>_xll.qlCalendarAdvance(Calendar,AG234,"1d","mf",,Trigger)</f>
        <v>43131</v>
      </c>
      <c r="AH235" s="100">
        <f>_xll.qlDayCounterYearFraction(DayCounter,SettlementDate,AG235,,,Trigger)</f>
        <v>0.92777777777777781</v>
      </c>
      <c r="AI235" s="112">
        <f t="shared" si="24"/>
        <v>2.355512784479325E-3</v>
      </c>
      <c r="AJ235" s="112">
        <f t="shared" si="22"/>
        <v>2.7834531039379285E-3</v>
      </c>
      <c r="AK235" s="112">
        <f t="shared" si="23"/>
        <v>2.7722914982525335E-3</v>
      </c>
    </row>
    <row r="236" spans="33:37" x14ac:dyDescent="0.2">
      <c r="AG236" s="114">
        <f>_xll.qlCalendarAdvance(Calendar,AG235,"1d","mf",,Trigger)</f>
        <v>43132</v>
      </c>
      <c r="AH236" s="100">
        <f>_xll.qlDayCounterYearFraction(DayCounter,SettlementDate,AG236,,,Trigger)</f>
        <v>0.93055555555555558</v>
      </c>
      <c r="AI236" s="112">
        <f t="shared" si="24"/>
        <v>2.355512784479325E-3</v>
      </c>
      <c r="AJ236" s="112">
        <f t="shared" si="22"/>
        <v>2.7862965612100786E-3</v>
      </c>
      <c r="AK236" s="112">
        <f t="shared" si="23"/>
        <v>2.7747253761866075E-3</v>
      </c>
    </row>
    <row r="237" spans="33:37" x14ac:dyDescent="0.2">
      <c r="AG237" s="114">
        <f>_xll.qlCalendarAdvance(Calendar,AG236,"1d","mf",,Trigger)</f>
        <v>43133</v>
      </c>
      <c r="AH237" s="100">
        <f>_xll.qlDayCounterYearFraction(DayCounter,SettlementDate,AG237,,,Trigger)</f>
        <v>0.93333333333333335</v>
      </c>
      <c r="AI237" s="112">
        <f t="shared" si="24"/>
        <v>2.355512784479325E-3</v>
      </c>
      <c r="AJ237" s="112">
        <f t="shared" si="22"/>
        <v>2.7891400184822286E-3</v>
      </c>
      <c r="AK237" s="112">
        <f t="shared" si="23"/>
        <v>2.7771562868711907E-3</v>
      </c>
    </row>
    <row r="238" spans="33:37" x14ac:dyDescent="0.2">
      <c r="AG238" s="114">
        <f>_xll.qlCalendarAdvance(Calendar,AG237,"1d","mf",,Trigger)</f>
        <v>43136</v>
      </c>
      <c r="AH238" s="100">
        <f>_xll.qlDayCounterYearFraction(DayCounter,SettlementDate,AG238,,,Trigger)</f>
        <v>0.94166666666666665</v>
      </c>
      <c r="AI238" s="112">
        <f t="shared" si="24"/>
        <v>2.355512784479325E-3</v>
      </c>
      <c r="AJ238" s="112">
        <f t="shared" si="22"/>
        <v>2.7976703902986792E-3</v>
      </c>
      <c r="AK238" s="112">
        <f t="shared" si="23"/>
        <v>2.7844312154279927E-3</v>
      </c>
    </row>
    <row r="239" spans="33:37" x14ac:dyDescent="0.2">
      <c r="AG239" s="114">
        <f>_xll.qlCalendarAdvance(Calendar,AG238,"1d","mf",,Trigger)</f>
        <v>43137</v>
      </c>
      <c r="AH239" s="100">
        <f>_xll.qlDayCounterYearFraction(DayCounter,SettlementDate,AG239,,,Trigger)</f>
        <v>0.94444444444444442</v>
      </c>
      <c r="AI239" s="112">
        <f t="shared" si="24"/>
        <v>2.355512784479325E-3</v>
      </c>
      <c r="AJ239" s="112">
        <f t="shared" si="22"/>
        <v>2.8005138475708296E-3</v>
      </c>
      <c r="AK239" s="112">
        <f t="shared" si="23"/>
        <v>2.7868502571146117E-3</v>
      </c>
    </row>
    <row r="240" spans="33:37" x14ac:dyDescent="0.2">
      <c r="AG240" s="114">
        <f>_xll.qlCalendarAdvance(Calendar,AG239,"1d","mf",,Trigger)</f>
        <v>43138</v>
      </c>
      <c r="AH240" s="100">
        <f>_xll.qlDayCounterYearFraction(DayCounter,SettlementDate,AG240,,,Trigger)</f>
        <v>0.94722222222222219</v>
      </c>
      <c r="AI240" s="112">
        <f t="shared" si="24"/>
        <v>2.355512784479325E-3</v>
      </c>
      <c r="AJ240" s="112">
        <f t="shared" si="22"/>
        <v>2.8033573048429797E-3</v>
      </c>
      <c r="AK240" s="112">
        <f t="shared" si="23"/>
        <v>2.7892663315517395E-3</v>
      </c>
    </row>
    <row r="241" spans="33:37" x14ac:dyDescent="0.2">
      <c r="AG241" s="114">
        <f>_xll.qlCalendarAdvance(Calendar,AG240,"1d","mf",,Trigger)</f>
        <v>43139</v>
      </c>
      <c r="AH241" s="100">
        <f>_xll.qlDayCounterYearFraction(DayCounter,SettlementDate,AG241,,,Trigger)</f>
        <v>0.95</v>
      </c>
      <c r="AI241" s="112">
        <f t="shared" si="24"/>
        <v>2.355512784479325E-3</v>
      </c>
      <c r="AJ241" s="112">
        <f t="shared" si="22"/>
        <v>2.8062007621151297E-3</v>
      </c>
      <c r="AK241" s="112">
        <f t="shared" si="23"/>
        <v>2.7916794387393765E-3</v>
      </c>
    </row>
    <row r="242" spans="33:37" x14ac:dyDescent="0.2">
      <c r="AG242" s="114">
        <f>_xll.qlCalendarAdvance(Calendar,AG241,"1d","mf",,Trigger)</f>
        <v>43140</v>
      </c>
      <c r="AH242" s="100">
        <f>_xll.qlDayCounterYearFraction(DayCounter,SettlementDate,AG242,,,Trigger)</f>
        <v>0.95277777777777772</v>
      </c>
      <c r="AI242" s="112">
        <f t="shared" si="24"/>
        <v>2.355512784479325E-3</v>
      </c>
      <c r="AJ242" s="112">
        <f t="shared" si="22"/>
        <v>2.8090442193872802E-3</v>
      </c>
      <c r="AK242" s="112">
        <f t="shared" si="23"/>
        <v>2.7940895786775222E-3</v>
      </c>
    </row>
    <row r="243" spans="33:37" x14ac:dyDescent="0.2">
      <c r="AG243" s="114">
        <f>_xll.qlCalendarAdvance(Calendar,AG242,"1d","mf",,Trigger)</f>
        <v>43143</v>
      </c>
      <c r="AH243" s="100">
        <f>_xll.qlDayCounterYearFraction(DayCounter,SettlementDate,AG243,,,Trigger)</f>
        <v>0.96111111111111114</v>
      </c>
      <c r="AI243" s="112">
        <f t="shared" si="24"/>
        <v>2.355512784479325E-3</v>
      </c>
      <c r="AJ243" s="112">
        <f t="shared" si="22"/>
        <v>2.8175745912037307E-3</v>
      </c>
      <c r="AK243" s="112">
        <f t="shared" si="23"/>
        <v>2.8013021949950135E-3</v>
      </c>
    </row>
    <row r="244" spans="33:37" x14ac:dyDescent="0.2">
      <c r="AG244" s="114">
        <f>_xll.qlCalendarAdvance(Calendar,AG243,"1d","mf",,Trigger)</f>
        <v>43144</v>
      </c>
      <c r="AH244" s="100">
        <f>_xll.qlDayCounterYearFraction(DayCounter,SettlementDate,AG244,,,Trigger)</f>
        <v>0.96388888888888891</v>
      </c>
      <c r="AI244" s="112">
        <f t="shared" si="24"/>
        <v>2.355512784479325E-3</v>
      </c>
      <c r="AJ244" s="112">
        <f t="shared" si="22"/>
        <v>2.8204180484758807E-3</v>
      </c>
      <c r="AK244" s="112">
        <f t="shared" si="23"/>
        <v>2.8037004659351955E-3</v>
      </c>
    </row>
    <row r="245" spans="33:37" x14ac:dyDescent="0.2">
      <c r="AG245" s="114">
        <f>_xll.qlCalendarAdvance(Calendar,AG244,"1d","mf",,Trigger)</f>
        <v>43145</v>
      </c>
      <c r="AH245" s="100">
        <f>_xll.qlDayCounterYearFraction(DayCounter,SettlementDate,AG245,,,Trigger)</f>
        <v>0.96666666666666667</v>
      </c>
      <c r="AI245" s="112">
        <f t="shared" si="24"/>
        <v>2.355512784479325E-3</v>
      </c>
      <c r="AJ245" s="112">
        <f t="shared" si="22"/>
        <v>2.8232615057480308E-3</v>
      </c>
      <c r="AK245" s="112">
        <f t="shared" si="23"/>
        <v>2.8060957696258858E-3</v>
      </c>
    </row>
    <row r="246" spans="33:37" x14ac:dyDescent="0.2">
      <c r="AG246" s="114">
        <f>_xll.qlCalendarAdvance(Calendar,AG245,"1d","mf",,Trigger)</f>
        <v>43146</v>
      </c>
      <c r="AH246" s="100">
        <f>_xll.qlDayCounterYearFraction(DayCounter,SettlementDate,AG246,,,Trigger)</f>
        <v>0.96944444444444444</v>
      </c>
      <c r="AI246" s="112">
        <f t="shared" si="24"/>
        <v>2.355512784479325E-3</v>
      </c>
      <c r="AJ246" s="112">
        <f t="shared" si="22"/>
        <v>2.8261049630201813E-3</v>
      </c>
      <c r="AK246" s="112">
        <f t="shared" si="23"/>
        <v>2.8084881060670857E-3</v>
      </c>
    </row>
    <row r="247" spans="33:37" x14ac:dyDescent="0.2">
      <c r="AG247" s="114">
        <f>_xll.qlCalendarAdvance(Calendar,AG246,"1d","mf",,Trigger)</f>
        <v>43147</v>
      </c>
      <c r="AH247" s="100">
        <f>_xll.qlDayCounterYearFraction(DayCounter,SettlementDate,AG247,,,Trigger)</f>
        <v>0.97222222222222221</v>
      </c>
      <c r="AI247" s="112">
        <f t="shared" si="24"/>
        <v>2.355512784479325E-3</v>
      </c>
      <c r="AJ247" s="112">
        <f t="shared" si="22"/>
        <v>2.8289484202923313E-3</v>
      </c>
      <c r="AK247" s="112">
        <f t="shared" si="23"/>
        <v>2.8108774752587944E-3</v>
      </c>
    </row>
    <row r="248" spans="33:37" x14ac:dyDescent="0.2">
      <c r="AG248" s="114">
        <f>_xll.qlCalendarAdvance(Calendar,AG247,"1d","mf",,Trigger)</f>
        <v>43150</v>
      </c>
      <c r="AH248" s="100">
        <f>_xll.qlDayCounterYearFraction(DayCounter,SettlementDate,AG248,,,Trigger)</f>
        <v>0.98055555555555551</v>
      </c>
      <c r="AI248" s="112">
        <f t="shared" si="24"/>
        <v>2.355512784479325E-3</v>
      </c>
      <c r="AJ248" s="112">
        <f t="shared" si="22"/>
        <v>2.8374787921087814E-3</v>
      </c>
      <c r="AK248" s="112">
        <f t="shared" si="23"/>
        <v>2.8180277793369742E-3</v>
      </c>
    </row>
    <row r="249" spans="33:37" x14ac:dyDescent="0.2">
      <c r="AG249" s="114">
        <f>_xll.qlCalendarAdvance(Calendar,AG248,"1d","mf",,Trigger)</f>
        <v>43151</v>
      </c>
      <c r="AH249" s="100">
        <f>_xll.qlDayCounterYearFraction(DayCounter,SettlementDate,AG249,,,Trigger)</f>
        <v>0.98333333333333328</v>
      </c>
      <c r="AI249" s="112">
        <f t="shared" si="24"/>
        <v>2.355512784479325E-3</v>
      </c>
      <c r="AJ249" s="112">
        <f t="shared" si="22"/>
        <v>2.8403222493809319E-3</v>
      </c>
      <c r="AK249" s="112">
        <f t="shared" si="23"/>
        <v>2.8204052795307187E-3</v>
      </c>
    </row>
    <row r="250" spans="33:37" x14ac:dyDescent="0.2">
      <c r="AG250" s="114">
        <f>_xll.qlCalendarAdvance(Calendar,AG249,"1d","mf",,Trigger)</f>
        <v>43152</v>
      </c>
      <c r="AH250" s="100">
        <f>_xll.qlDayCounterYearFraction(DayCounter,SettlementDate,AG250,,,Trigger)</f>
        <v>0.98611111111111116</v>
      </c>
      <c r="AI250" s="112">
        <f t="shared" si="24"/>
        <v>2.355512784479325E-3</v>
      </c>
      <c r="AJ250" s="112">
        <f t="shared" si="22"/>
        <v>2.8431657066530823E-3</v>
      </c>
      <c r="AK250" s="112">
        <f t="shared" si="23"/>
        <v>2.8227798124749724E-3</v>
      </c>
    </row>
    <row r="251" spans="33:37" x14ac:dyDescent="0.2">
      <c r="AG251" s="114">
        <f>_xll.qlCalendarAdvance(Calendar,AG250,"1d","mf",,Trigger)</f>
        <v>43153</v>
      </c>
      <c r="AH251" s="100">
        <f>_xll.qlDayCounterYearFraction(DayCounter,SettlementDate,AG251,,,Trigger)</f>
        <v>0.98888888888888893</v>
      </c>
      <c r="AI251" s="112">
        <f t="shared" si="24"/>
        <v>2.355512784479325E-3</v>
      </c>
      <c r="AJ251" s="112">
        <f t="shared" si="22"/>
        <v>2.8460091639252324E-3</v>
      </c>
      <c r="AK251" s="112">
        <f t="shared" si="23"/>
        <v>2.8251513781697352E-3</v>
      </c>
    </row>
    <row r="252" spans="33:37" x14ac:dyDescent="0.2">
      <c r="AG252" s="114">
        <f>_xll.qlCalendarAdvance(Calendar,AG251,"1d","mf",,Trigger)</f>
        <v>43154</v>
      </c>
      <c r="AH252" s="100">
        <f>_xll.qlDayCounterYearFraction(DayCounter,SettlementDate,AG252,,,Trigger)</f>
        <v>0.9916666666666667</v>
      </c>
      <c r="AI252" s="112">
        <f t="shared" si="24"/>
        <v>2.355512784479325E-3</v>
      </c>
      <c r="AJ252" s="112">
        <f t="shared" si="22"/>
        <v>2.8488526211973824E-3</v>
      </c>
      <c r="AK252" s="112">
        <f t="shared" si="23"/>
        <v>2.8275199766150069E-3</v>
      </c>
    </row>
    <row r="253" spans="33:37" x14ac:dyDescent="0.2">
      <c r="AG253" s="114">
        <f>_xll.qlCalendarAdvance(Calendar,AG252,"1d","mf",,Trigger)</f>
        <v>43157</v>
      </c>
      <c r="AH253" s="100">
        <f>_xll.qlDayCounterYearFraction(DayCounter,SettlementDate,AG253,,,Trigger)</f>
        <v>1</v>
      </c>
      <c r="AI253" s="112">
        <f t="shared" si="24"/>
        <v>2.355512784479325E-3</v>
      </c>
      <c r="AJ253" s="112">
        <f t="shared" ref="AJ253:AJ259" si="25">$X$10+$X$9*AH253</f>
        <v>2.8573829930138329E-3</v>
      </c>
      <c r="AK253" s="112">
        <f t="shared" ref="AK253:AK259" si="26">($X$5+$X$4*AH253+$X$3*AH253^2)</f>
        <v>2.8346079684538755E-3</v>
      </c>
    </row>
    <row r="254" spans="33:37" x14ac:dyDescent="0.2">
      <c r="AG254" s="114">
        <f>_xll.qlCalendarAdvance(Calendar,AG253,"1d","mf",,Trigger)</f>
        <v>43158</v>
      </c>
      <c r="AH254" s="100">
        <f>_xll.qlDayCounterYearFraction(DayCounter,SettlementDate,AG254,,,Trigger)</f>
        <v>1.0027777777777778</v>
      </c>
      <c r="AI254" s="112">
        <f t="shared" si="24"/>
        <v>2.355512784479325E-3</v>
      </c>
      <c r="AJ254" s="112">
        <f t="shared" si="25"/>
        <v>2.8602264502859834E-3</v>
      </c>
      <c r="AK254" s="112">
        <f t="shared" si="26"/>
        <v>2.836964697901183E-3</v>
      </c>
    </row>
    <row r="255" spans="33:37" x14ac:dyDescent="0.2">
      <c r="AG255" s="114">
        <f>_xll.qlCalendarAdvance(Calendar,AG254,"1d","mf",,Trigger)</f>
        <v>43159</v>
      </c>
      <c r="AH255" s="100">
        <f>_xll.qlDayCounterYearFraction(DayCounter,SettlementDate,AG255,,,Trigger)</f>
        <v>1.0055555555555555</v>
      </c>
      <c r="AI255" s="112">
        <f t="shared" si="24"/>
        <v>2.355512784479325E-3</v>
      </c>
      <c r="AJ255" s="112">
        <f t="shared" si="25"/>
        <v>2.863069907558133E-3</v>
      </c>
      <c r="AK255" s="112">
        <f t="shared" si="26"/>
        <v>2.8393184600989997E-3</v>
      </c>
    </row>
    <row r="256" spans="33:37" x14ac:dyDescent="0.2">
      <c r="AG256" s="114">
        <f>_xll.qlCalendarAdvance(Calendar,AG255,"1d","mf",,Trigger)</f>
        <v>43160</v>
      </c>
      <c r="AH256" s="100">
        <f>_xll.qlDayCounterYearFraction(DayCounter,SettlementDate,AG256,,,Trigger)</f>
        <v>1.0083333333333333</v>
      </c>
      <c r="AI256" s="112">
        <f t="shared" si="24"/>
        <v>2.355512784479325E-3</v>
      </c>
      <c r="AJ256" s="112">
        <f t="shared" si="25"/>
        <v>2.8659133648302835E-3</v>
      </c>
      <c r="AK256" s="112">
        <f t="shared" si="26"/>
        <v>2.8416692550473251E-3</v>
      </c>
    </row>
    <row r="257" spans="33:37" x14ac:dyDescent="0.2">
      <c r="AG257" s="114">
        <f>_xll.qlCalendarAdvance(Calendar,AG256,"1d","mf",,Trigger)</f>
        <v>43161</v>
      </c>
      <c r="AH257" s="100">
        <f>_xll.qlDayCounterYearFraction(DayCounter,SettlementDate,AG257,,,Trigger)</f>
        <v>1.0111111111111111</v>
      </c>
      <c r="AI257" s="112">
        <f t="shared" si="24"/>
        <v>2.355512784479325E-3</v>
      </c>
      <c r="AJ257" s="112">
        <f t="shared" si="25"/>
        <v>2.8687568221024335E-3</v>
      </c>
      <c r="AK257" s="112">
        <f t="shared" si="26"/>
        <v>2.8440170827461596E-3</v>
      </c>
    </row>
    <row r="258" spans="33:37" x14ac:dyDescent="0.2">
      <c r="AG258" s="114">
        <f>_xll.qlCalendarAdvance(Calendar,AG257,"1d","mf",,Trigger)</f>
        <v>43164</v>
      </c>
      <c r="AH258" s="100">
        <f>_xll.qlDayCounterYearFraction(DayCounter,SettlementDate,AG258,,,Trigger)</f>
        <v>1.0194444444444444</v>
      </c>
      <c r="AI258" s="112">
        <f t="shared" si="24"/>
        <v>2.355512784479325E-3</v>
      </c>
      <c r="AJ258" s="112">
        <f t="shared" si="25"/>
        <v>2.8772871939188841E-3</v>
      </c>
      <c r="AK258" s="112">
        <f t="shared" si="26"/>
        <v>2.8510427623457172E-3</v>
      </c>
    </row>
    <row r="259" spans="33:37" x14ac:dyDescent="0.2">
      <c r="AG259" s="118">
        <f>_xll.qlCalendarAdvance(Calendar,AG258,"1d","mf",,Trigger)</f>
        <v>43165</v>
      </c>
      <c r="AH259" s="105">
        <f>_xll.qlDayCounterYearFraction(DayCounter,SettlementDate,AG259,,,Trigger)</f>
        <v>1.0222222222222221</v>
      </c>
      <c r="AI259" s="121">
        <f t="shared" ref="AI259" si="27">$X$15</f>
        <v>2.355512784479325E-3</v>
      </c>
      <c r="AJ259" s="121">
        <f t="shared" si="25"/>
        <v>2.8801306511910341E-3</v>
      </c>
      <c r="AK259" s="121">
        <f t="shared" si="26"/>
        <v>2.8533787210465872E-3</v>
      </c>
    </row>
  </sheetData>
  <mergeCells count="5">
    <mergeCell ref="AB2:AD2"/>
    <mergeCell ref="S3:S5"/>
    <mergeCell ref="S9:S10"/>
    <mergeCell ref="W9:W10"/>
    <mergeCell ref="Y9:Y10"/>
  </mergeCells>
  <dataValidations count="3">
    <dataValidation type="list" allowBlank="1" showInputMessage="1" showErrorMessage="1" sqref="C35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workbookViewId="0">
      <selection activeCell="H2" sqref="H2"/>
    </sheetView>
  </sheetViews>
  <sheetFormatPr defaultColWidth="9.33203125" defaultRowHeight="11.25" x14ac:dyDescent="0.2"/>
  <cols>
    <col min="1" max="1" width="4.33203125" style="213" customWidth="1"/>
    <col min="2" max="2" width="7.83203125" style="213" customWidth="1"/>
    <col min="3" max="3" width="36.6640625" style="213" bestFit="1" customWidth="1"/>
    <col min="4" max="4" width="35.83203125" style="213" customWidth="1"/>
    <col min="5" max="5" width="25.6640625" style="213" customWidth="1"/>
    <col min="6" max="6" width="4.33203125" style="213" customWidth="1"/>
    <col min="7" max="7" width="7.83203125" style="213" customWidth="1"/>
    <col min="8" max="8" width="10.5" style="213" bestFit="1" customWidth="1"/>
    <col min="9" max="9" width="3.1640625" style="213" customWidth="1"/>
    <col min="10" max="10" width="10.5" style="213" bestFit="1" customWidth="1"/>
    <col min="11" max="11" width="3.1640625" style="213" customWidth="1"/>
    <col min="12" max="12" width="11.6640625" style="213" bestFit="1" customWidth="1"/>
    <col min="13" max="13" width="10.5" style="213" bestFit="1" customWidth="1"/>
    <col min="14" max="14" width="5.83203125" style="213" customWidth="1"/>
    <col min="15" max="16384" width="9.33203125" style="212"/>
  </cols>
  <sheetData>
    <row r="1" spans="1:14" x14ac:dyDescent="0.2">
      <c r="A1" s="161"/>
      <c r="B1" s="49"/>
      <c r="C1" s="49"/>
      <c r="D1" s="3"/>
      <c r="E1" s="3"/>
      <c r="F1" s="5"/>
      <c r="G1" s="4"/>
      <c r="H1" s="4"/>
      <c r="I1" s="5"/>
      <c r="J1" s="5"/>
      <c r="K1" s="5"/>
      <c r="L1" s="4"/>
      <c r="M1" s="49"/>
      <c r="N1" s="162"/>
    </row>
    <row r="2" spans="1:14" s="325" customFormat="1" x14ac:dyDescent="0.2">
      <c r="A2" s="321"/>
      <c r="B2" s="322"/>
      <c r="C2" s="216" t="s">
        <v>137</v>
      </c>
      <c r="D2" s="216" t="s">
        <v>138</v>
      </c>
      <c r="E2" s="216" t="s">
        <v>85</v>
      </c>
      <c r="F2" s="323"/>
      <c r="G2" s="157"/>
      <c r="H2" s="158" t="s">
        <v>51</v>
      </c>
      <c r="I2" s="323"/>
      <c r="J2" s="159" t="s">
        <v>52</v>
      </c>
      <c r="K2" s="323"/>
      <c r="L2" s="157" t="s">
        <v>53</v>
      </c>
      <c r="M2" s="160" t="s">
        <v>54</v>
      </c>
      <c r="N2" s="324">
        <f>_xll.ohTrigger(M3:M7)</f>
        <v>4</v>
      </c>
    </row>
    <row r="3" spans="1:14" x14ac:dyDescent="0.2">
      <c r="A3" s="163">
        <v>1</v>
      </c>
      <c r="B3" s="203" t="s">
        <v>55</v>
      </c>
      <c r="C3" s="204" t="str">
        <f t="shared" ref="C3" si="0">Currency&amp;$B3&amp;"_SYNTH"&amp;Tenor1M&amp;QuoteSuffix</f>
        <v>EURSND_SYNTH1M_Quote</v>
      </c>
      <c r="D3" s="204" t="str">
        <f>_xll.qlSimpleQuote(C3,,RateTickValue,Permanent,EvaluationDate,ObjectOverwrite)</f>
        <v>EURSND_SYNTH1M_Quote#0001</v>
      </c>
      <c r="E3" s="209" t="str">
        <f>_xll.ohRangeRetrieveError(D3)</f>
        <v/>
      </c>
      <c r="F3" s="6"/>
      <c r="G3" s="190" t="s">
        <v>55</v>
      </c>
      <c r="H3" s="191">
        <f>'1MSynthDepo'!C23</f>
        <v>-3.7999070398253565E-3</v>
      </c>
      <c r="I3" s="7" t="s">
        <v>56</v>
      </c>
      <c r="J3" s="186">
        <v>-3.6909277038699173E-3</v>
      </c>
      <c r="K3" s="6"/>
      <c r="L3" s="178">
        <f t="array" ref="L3:L40">QuoteLive</f>
        <v>-3.7999070398253565E-3</v>
      </c>
      <c r="M3" s="179" t="e">
        <f>_xll.qlSimpleQuoteSetValue(D3,ROUND($L3,6),EvaluationDate)</f>
        <v>#N/A</v>
      </c>
      <c r="N3" s="164"/>
    </row>
    <row r="4" spans="1:14" x14ac:dyDescent="0.2">
      <c r="A4" s="165" t="str">
        <f>_xll.qlPeriodEquivalent(Months1M&amp;"M")</f>
        <v>1M</v>
      </c>
      <c r="B4" s="205" t="s">
        <v>57</v>
      </c>
      <c r="C4" s="206" t="str">
        <f t="shared" ref="C4:C7" si="1">Currency&amp;$B4&amp;"_SYNTH"&amp;Tenor1M&amp;QuoteSuffix</f>
        <v>EURSWD_SYNTH1M_Quote</v>
      </c>
      <c r="D4" s="206" t="str">
        <f>_xll.qlSimpleQuote(C4,,RateTickValue,Permanent,EvaluationDate,ObjectOverwrite)</f>
        <v>EURSWD_SYNTH1M_Quote#0002</v>
      </c>
      <c r="E4" s="210" t="str">
        <f>_xll.ohRangeRetrieveError(D4)</f>
        <v/>
      </c>
      <c r="F4" s="6"/>
      <c r="G4" s="190" t="s">
        <v>57</v>
      </c>
      <c r="H4" s="191">
        <f>'1MSynthDepo'!C24</f>
        <v>-3.7212567850478501E-3</v>
      </c>
      <c r="I4" s="7" t="s">
        <v>56</v>
      </c>
      <c r="J4" s="186">
        <v>-3.6727649871278901E-3</v>
      </c>
      <c r="K4" s="6"/>
      <c r="L4" s="178">
        <v>-3.7212567850478501E-3</v>
      </c>
      <c r="M4" s="179" t="e">
        <f>_xll.qlSimpleQuoteSetValue(D4,ROUND($L4,6),EvaluationDate)</f>
        <v>#N/A</v>
      </c>
      <c r="N4" s="164"/>
    </row>
    <row r="5" spans="1:14" x14ac:dyDescent="0.2">
      <c r="A5" s="166"/>
      <c r="B5" s="205" t="s">
        <v>58</v>
      </c>
      <c r="C5" s="206" t="str">
        <f t="shared" si="1"/>
        <v>EUR2WD_SYNTH1M_Quote</v>
      </c>
      <c r="D5" s="206" t="str">
        <f>_xll.qlSimpleQuote(C5,,RateTickValue,Permanent,EvaluationDate,ObjectOverwrite)</f>
        <v>EUR2WD_SYNTH1M_Quote#0002</v>
      </c>
      <c r="E5" s="210" t="str">
        <f>_xll.ohRangeRetrieveError(D5)</f>
        <v/>
      </c>
      <c r="F5" s="6"/>
      <c r="G5" s="190" t="s">
        <v>58</v>
      </c>
      <c r="H5" s="191">
        <f>'1MSynthDepo'!C25</f>
        <v>-3.7248375934776207E-3</v>
      </c>
      <c r="I5" s="7" t="s">
        <v>56</v>
      </c>
      <c r="J5" s="186">
        <v>-3.6528863876242718E-3</v>
      </c>
      <c r="K5" s="6"/>
      <c r="L5" s="178">
        <v>-3.7248375934776207E-3</v>
      </c>
      <c r="M5" s="179" t="e">
        <f>_xll.qlSimpleQuoteSetValue(D5,ROUND($L5,6),EvaluationDate)</f>
        <v>#N/A</v>
      </c>
      <c r="N5" s="164"/>
    </row>
    <row r="6" spans="1:14" x14ac:dyDescent="0.2">
      <c r="A6" s="166"/>
      <c r="B6" s="205" t="s">
        <v>59</v>
      </c>
      <c r="C6" s="206" t="str">
        <f t="shared" si="1"/>
        <v>EUR3WD_SYNTH1M_Quote</v>
      </c>
      <c r="D6" s="206" t="str">
        <f>_xll.qlSimpleQuote(C6,,RateTickValue,Permanent,EvaluationDate,ObjectOverwrite)</f>
        <v>EUR3WD_SYNTH1M_Quote#0001</v>
      </c>
      <c r="E6" s="210" t="str">
        <f>_xll.ohRangeRetrieveError(D6)</f>
        <v/>
      </c>
      <c r="F6" s="6"/>
      <c r="G6" s="192" t="s">
        <v>59</v>
      </c>
      <c r="H6" s="191">
        <f>'1MSynthDepo'!C26</f>
        <v>-3.7275694245789532E-3</v>
      </c>
      <c r="I6" s="7" t="s">
        <v>56</v>
      </c>
      <c r="J6" s="187">
        <v>-3.634302801782674E-3</v>
      </c>
      <c r="K6" s="6"/>
      <c r="L6" s="180">
        <v>-3.7275694245789532E-3</v>
      </c>
      <c r="M6" s="181" t="e">
        <f>_xll.qlSimpleQuoteSetValue(D6,ROUND($L6,6),EvaluationDate)</f>
        <v>#N/A</v>
      </c>
      <c r="N6" s="164"/>
    </row>
    <row r="7" spans="1:14" x14ac:dyDescent="0.2">
      <c r="A7" s="166"/>
      <c r="B7" s="207" t="s">
        <v>60</v>
      </c>
      <c r="C7" s="208" t="str">
        <f t="shared" si="1"/>
        <v>EUR1MD_SYNTH1M_Quote</v>
      </c>
      <c r="D7" s="208" t="str">
        <f>_xll.qlSimpleQuote(C7,,RateTickValue,Permanent,EvaluationDate,ObjectOverwrite)</f>
        <v>EUR1MD_SYNTH1M_Quote#0001</v>
      </c>
      <c r="E7" s="211" t="str">
        <f>_xll.ohRangeRetrieveError(D7)</f>
        <v/>
      </c>
      <c r="F7" s="6"/>
      <c r="G7" s="193" t="s">
        <v>60</v>
      </c>
      <c r="H7" s="194">
        <f>'1MSynthDepo'!C27</f>
        <v>-3.710000000000711E-3</v>
      </c>
      <c r="I7" s="7" t="s">
        <v>56</v>
      </c>
      <c r="J7" s="188">
        <v>-3.6400000000003812E-3</v>
      </c>
      <c r="K7" s="6"/>
      <c r="L7" s="182">
        <v>-3.710000000000711E-3</v>
      </c>
      <c r="M7" s="183" t="e">
        <f>_xll.qlSimpleQuoteSetValue(D7,ROUND($L7,6),EvaluationDate)</f>
        <v>#N/A</v>
      </c>
      <c r="N7" s="167"/>
    </row>
    <row r="8" spans="1:14" x14ac:dyDescent="0.2">
      <c r="A8" s="151">
        <v>3</v>
      </c>
      <c r="B8" s="203" t="s">
        <v>55</v>
      </c>
      <c r="C8" s="204" t="str">
        <f t="shared" ref="C8:C14" si="2">Currency&amp;$B8&amp;"_SYNTH"&amp;Tenor3M&amp;QuoteSuffix</f>
        <v>EURSND_SYNTH3M_Quote</v>
      </c>
      <c r="D8" s="204" t="str">
        <f>_xll.qlSimpleQuote(C8,,RateTickValue,Permanent,EvaluationDate,ObjectOverwrite)</f>
        <v>EURSND_SYNTH3M_Quote#0001</v>
      </c>
      <c r="E8" s="209"/>
      <c r="F8" s="8"/>
      <c r="G8" s="195" t="s">
        <v>55</v>
      </c>
      <c r="H8" s="196">
        <f>'3MSynthDepo'!C27</f>
        <v>-3.6216130670796431E-3</v>
      </c>
      <c r="I8" s="9"/>
      <c r="J8" s="186">
        <v>-2.7968626583918521E-3</v>
      </c>
      <c r="K8" s="8"/>
      <c r="L8" s="178">
        <v>-3.6216130670796431E-3</v>
      </c>
      <c r="M8" s="179" t="e">
        <f>_xll.qlSimpleQuoteSetValue(D8,ROUND($L8,6),EvaluationDate)</f>
        <v>#N/A</v>
      </c>
      <c r="N8" s="168">
        <f>_xll.ohTrigger(M8:M14)</f>
        <v>4</v>
      </c>
    </row>
    <row r="9" spans="1:14" x14ac:dyDescent="0.2">
      <c r="A9" s="165" t="str">
        <f>_xll.qlPeriodEquivalent(Months3M&amp;"M")</f>
        <v>3M</v>
      </c>
      <c r="B9" s="205" t="s">
        <v>57</v>
      </c>
      <c r="C9" s="206" t="str">
        <f t="shared" si="2"/>
        <v>EURSWD_SYNTH3M_Quote</v>
      </c>
      <c r="D9" s="206" t="str">
        <f>_xll.qlSimpleQuote(C9,,RateTickValue,Permanent,EvaluationDate,ObjectOverwrite)</f>
        <v>EURSWD_SYNTH3M_Quote#0001</v>
      </c>
      <c r="E9" s="210"/>
      <c r="F9" s="8"/>
      <c r="G9" s="197" t="s">
        <v>57</v>
      </c>
      <c r="H9" s="191">
        <f>'3MSynthDepo'!C28</f>
        <v>-3.5283676195677466E-3</v>
      </c>
      <c r="I9" s="9"/>
      <c r="J9" s="186">
        <v>-2.7811683315194713E-3</v>
      </c>
      <c r="K9" s="8"/>
      <c r="L9" s="178">
        <v>-3.5283676195677466E-3</v>
      </c>
      <c r="M9" s="179" t="e">
        <f>_xll.qlSimpleQuoteSetValue(D9,ROUND($L9,6),EvaluationDate)</f>
        <v>#N/A</v>
      </c>
      <c r="N9" s="164"/>
    </row>
    <row r="10" spans="1:14" x14ac:dyDescent="0.2">
      <c r="A10" s="169"/>
      <c r="B10" s="205" t="s">
        <v>58</v>
      </c>
      <c r="C10" s="206" t="str">
        <f t="shared" si="2"/>
        <v>EUR2WD_SYNTH3M_Quote</v>
      </c>
      <c r="D10" s="206" t="str">
        <f>_xll.qlSimpleQuote(C10,,RateTickValue,Permanent,EvaluationDate,ObjectOverwrite)</f>
        <v>EUR2WD_SYNTH3M_Quote#0002</v>
      </c>
      <c r="E10" s="210"/>
      <c r="F10" s="8"/>
      <c r="G10" s="197" t="s">
        <v>58</v>
      </c>
      <c r="H10" s="191">
        <f>'3MSynthDepo'!C29</f>
        <v>-3.5078429321466764E-3</v>
      </c>
      <c r="I10" s="9"/>
      <c r="J10" s="186">
        <v>-2.7634045783282118E-3</v>
      </c>
      <c r="K10" s="8"/>
      <c r="L10" s="178">
        <v>-3.5078429321466764E-3</v>
      </c>
      <c r="M10" s="179" t="e">
        <f>_xll.qlSimpleQuoteSetValue(D10,ROUND($L10,6),EvaluationDate)</f>
        <v>#N/A</v>
      </c>
      <c r="N10" s="164"/>
    </row>
    <row r="11" spans="1:14" x14ac:dyDescent="0.2">
      <c r="A11" s="169"/>
      <c r="B11" s="205" t="s">
        <v>59</v>
      </c>
      <c r="C11" s="206" t="str">
        <f t="shared" si="2"/>
        <v>EUR3WD_SYNTH3M_Quote</v>
      </c>
      <c r="D11" s="206" t="str">
        <f>_xll.qlSimpleQuote(C11,,RateTickValue,Permanent,EvaluationDate,ObjectOverwrite)</f>
        <v>EUR3WD_SYNTH3M_Quote#0001</v>
      </c>
      <c r="E11" s="210"/>
      <c r="F11" s="8"/>
      <c r="G11" s="198" t="s">
        <v>59</v>
      </c>
      <c r="H11" s="199">
        <f>'3MSynthDepo'!C30</f>
        <v>-3.4882964034834074E-3</v>
      </c>
      <c r="I11" s="9"/>
      <c r="J11" s="187">
        <v>-2.7461122484963496E-3</v>
      </c>
      <c r="K11" s="8"/>
      <c r="L11" s="180">
        <v>-3.4882964034834074E-3</v>
      </c>
      <c r="M11" s="181" t="e">
        <f>_xll.qlSimpleQuoteSetValue(D11,ROUND($L11,6),EvaluationDate)</f>
        <v>#N/A</v>
      </c>
      <c r="N11" s="164"/>
    </row>
    <row r="12" spans="1:14" x14ac:dyDescent="0.2">
      <c r="A12" s="169"/>
      <c r="B12" s="205" t="s">
        <v>60</v>
      </c>
      <c r="C12" s="206" t="str">
        <f t="shared" si="2"/>
        <v>EUR1MD_SYNTH3M_Quote</v>
      </c>
      <c r="D12" s="206" t="str">
        <f>_xll.qlSimpleQuote(C12,,RateTickValue,Permanent,EvaluationDate,ObjectOverwrite)</f>
        <v>EUR1MD_SYNTH3M_Quote#0001</v>
      </c>
      <c r="E12" s="210"/>
      <c r="F12" s="8"/>
      <c r="G12" s="197" t="s">
        <v>60</v>
      </c>
      <c r="H12" s="191">
        <f>'3MSynthDepo'!C31</f>
        <v>-3.4420690128427046E-3</v>
      </c>
      <c r="I12" s="9"/>
      <c r="J12" s="186">
        <v>-2.7522281102994543E-3</v>
      </c>
      <c r="K12" s="8"/>
      <c r="L12" s="178">
        <v>-3.4420690128427046E-3</v>
      </c>
      <c r="M12" s="179" t="e">
        <f>_xll.qlSimpleQuoteSetValue(D12,ROUND($L12,6),EvaluationDate)</f>
        <v>#N/A</v>
      </c>
      <c r="N12" s="164"/>
    </row>
    <row r="13" spans="1:14" x14ac:dyDescent="0.2">
      <c r="A13" s="169"/>
      <c r="B13" s="205" t="s">
        <v>61</v>
      </c>
      <c r="C13" s="206" t="str">
        <f t="shared" si="2"/>
        <v>EUR2MD_SYNTH3M_Quote</v>
      </c>
      <c r="D13" s="206" t="str">
        <f>_xll.qlSimpleQuote(C13,,RateTickValue,Permanent,EvaluationDate,ObjectOverwrite)</f>
        <v>EUR2MD_SYNTH3M_Quote#0001</v>
      </c>
      <c r="E13" s="210"/>
      <c r="F13" s="8"/>
      <c r="G13" s="197" t="s">
        <v>61</v>
      </c>
      <c r="H13" s="191">
        <f>'3MSynthDepo'!C32</f>
        <v>-3.3784253306276589E-3</v>
      </c>
      <c r="I13" s="9"/>
      <c r="J13" s="186">
        <v>-2.7822688035199815E-3</v>
      </c>
      <c r="K13" s="8"/>
      <c r="L13" s="178">
        <v>-3.3784253306276589E-3</v>
      </c>
      <c r="M13" s="179" t="e">
        <f>_xll.qlSimpleQuoteSetValue(D13,ROUND($L13,6),EvaluationDate)</f>
        <v>#N/A</v>
      </c>
      <c r="N13" s="164"/>
    </row>
    <row r="14" spans="1:14" x14ac:dyDescent="0.2">
      <c r="A14" s="155"/>
      <c r="B14" s="207" t="s">
        <v>62</v>
      </c>
      <c r="C14" s="208" t="str">
        <f t="shared" si="2"/>
        <v>EUR3MD_SYNTH3M_Quote</v>
      </c>
      <c r="D14" s="208" t="str">
        <f>_xll.qlSimpleQuote(C14,,RateTickValue,Permanent,EvaluationDate,ObjectOverwrite)</f>
        <v>EUR3MD_SYNTH3M_Quote#0002</v>
      </c>
      <c r="E14" s="211"/>
      <c r="F14" s="8"/>
      <c r="G14" s="198" t="s">
        <v>62</v>
      </c>
      <c r="H14" s="199">
        <f>'3MSynthDepo'!C33</f>
        <v>-3.3271357729184065E-3</v>
      </c>
      <c r="I14" s="9"/>
      <c r="J14" s="187">
        <v>-2.8084093361644704E-3</v>
      </c>
      <c r="K14" s="8"/>
      <c r="L14" s="180">
        <v>-3.3271357729184065E-3</v>
      </c>
      <c r="M14" s="181" t="e">
        <f>_xll.qlSimpleQuoteSetValue(D14,ROUND($L14,6),EvaluationDate)</f>
        <v>#N/A</v>
      </c>
      <c r="N14" s="164"/>
    </row>
    <row r="15" spans="1:14" x14ac:dyDescent="0.2">
      <c r="A15" s="163">
        <v>6</v>
      </c>
      <c r="B15" s="203" t="s">
        <v>55</v>
      </c>
      <c r="C15" s="204" t="str">
        <f t="shared" ref="C15:C24" si="3">Currency&amp;$B15&amp;"_SYNTH"&amp;Tenor6M&amp;QuoteSuffix</f>
        <v>EURSND_SYNTH6M_Quote</v>
      </c>
      <c r="D15" s="204" t="str">
        <f>_xll.qlSimpleQuote(C15,,RateTickValue,Permanent,EvaluationDate,ObjectOverwrite)</f>
        <v>EURSND_SYNTH6M_Quote#0002</v>
      </c>
      <c r="E15" s="209" t="str">
        <f>_xll.ohRangeRetrieveError(D15)</f>
        <v/>
      </c>
      <c r="F15" s="8"/>
      <c r="G15" s="195" t="s">
        <v>55</v>
      </c>
      <c r="H15" s="196">
        <f>'6MSynthDepo'!C30</f>
        <v>-2.7161625423754998E-3</v>
      </c>
      <c r="I15" s="9"/>
      <c r="J15" s="186">
        <v>-1.4056201226964049E-3</v>
      </c>
      <c r="K15" s="8"/>
      <c r="L15" s="178">
        <v>-2.7161625423754998E-3</v>
      </c>
      <c r="M15" s="179" t="e">
        <f>_xll.qlSimpleQuoteSetValue(D15,ROUND($L15,6),EvaluationDate)</f>
        <v>#N/A</v>
      </c>
      <c r="N15" s="170">
        <f>_xll.ohTrigger(M15:M24)</f>
        <v>4</v>
      </c>
    </row>
    <row r="16" spans="1:14" x14ac:dyDescent="0.2">
      <c r="A16" s="165" t="str">
        <f>_xll.qlPeriodEquivalent(Months6M&amp;"M")</f>
        <v>6M</v>
      </c>
      <c r="B16" s="205" t="s">
        <v>57</v>
      </c>
      <c r="C16" s="206" t="str">
        <f t="shared" si="3"/>
        <v>EURSWD_SYNTH6M_Quote</v>
      </c>
      <c r="D16" s="206" t="str">
        <f>_xll.qlSimpleQuote(C16,,RateTickValue,Permanent,EvaluationDate,ObjectOverwrite)</f>
        <v>EURSWD_SYNTH6M_Quote#0002</v>
      </c>
      <c r="E16" s="210" t="str">
        <f>_xll.ohRangeRetrieveError(D16)</f>
        <v/>
      </c>
      <c r="F16" s="8"/>
      <c r="G16" s="197" t="s">
        <v>57</v>
      </c>
      <c r="H16" s="191">
        <f>'6MSynthDepo'!C31</f>
        <v>-2.6298892427949788E-3</v>
      </c>
      <c r="I16" s="9"/>
      <c r="J16" s="186">
        <v>-1.3982728396972582E-3</v>
      </c>
      <c r="K16" s="8"/>
      <c r="L16" s="178">
        <v>-2.6298892427949788E-3</v>
      </c>
      <c r="M16" s="179" t="e">
        <f>_xll.qlSimpleQuoteSetValue(D16,ROUND($L16,6),EvaluationDate)</f>
        <v>#N/A</v>
      </c>
      <c r="N16" s="171"/>
    </row>
    <row r="17" spans="1:14" x14ac:dyDescent="0.2">
      <c r="A17" s="172"/>
      <c r="B17" s="205" t="s">
        <v>58</v>
      </c>
      <c r="C17" s="206" t="str">
        <f t="shared" si="3"/>
        <v>EUR2WD_SYNTH6M_Quote</v>
      </c>
      <c r="D17" s="206" t="str">
        <f>_xll.qlSimpleQuote(C17,,RateTickValue,Permanent,EvaluationDate,ObjectOverwrite)</f>
        <v>EUR2WD_SYNTH6M_Quote#0001</v>
      </c>
      <c r="E17" s="210" t="str">
        <f>_xll.ohRangeRetrieveError(D17)</f>
        <v/>
      </c>
      <c r="F17" s="2"/>
      <c r="G17" s="197" t="s">
        <v>58</v>
      </c>
      <c r="H17" s="191">
        <f>'6MSynthDepo'!C32</f>
        <v>-2.6207989157324618E-3</v>
      </c>
      <c r="I17" s="9"/>
      <c r="J17" s="186">
        <v>-1.3898099057008118E-3</v>
      </c>
      <c r="K17" s="8"/>
      <c r="L17" s="178">
        <v>-2.6207989157324618E-3</v>
      </c>
      <c r="M17" s="179" t="e">
        <f>_xll.qlSimpleQuoteSetValue(D17,ROUND($L17,6),EvaluationDate)</f>
        <v>#N/A</v>
      </c>
      <c r="N17" s="171"/>
    </row>
    <row r="18" spans="1:14" x14ac:dyDescent="0.2">
      <c r="A18" s="169"/>
      <c r="B18" s="205" t="s">
        <v>59</v>
      </c>
      <c r="C18" s="206" t="str">
        <f t="shared" si="3"/>
        <v>EUR3WD_SYNTH6M_Quote</v>
      </c>
      <c r="D18" s="206" t="str">
        <f>_xll.qlSimpleQuote(C18,,RateTickValue,Permanent,EvaluationDate,ObjectOverwrite)</f>
        <v>EUR3WD_SYNTH6M_Quote#0002</v>
      </c>
      <c r="E18" s="210" t="str">
        <f>_xll.ohRangeRetrieveError(D18)</f>
        <v/>
      </c>
      <c r="F18" s="2"/>
      <c r="G18" s="197" t="s">
        <v>59</v>
      </c>
      <c r="H18" s="191">
        <f>'6MSynthDepo'!C33</f>
        <v>-2.6117095187697509E-3</v>
      </c>
      <c r="I18" s="9"/>
      <c r="J18" s="186">
        <v>-1.381347435051821E-3</v>
      </c>
      <c r="K18" s="8"/>
      <c r="L18" s="178">
        <v>-2.6117095187697509E-3</v>
      </c>
      <c r="M18" s="179" t="e">
        <f>_xll.qlSimpleQuoteSetValue(D18,ROUND($L18,6),EvaluationDate)</f>
        <v>#N/A</v>
      </c>
      <c r="N18" s="171"/>
    </row>
    <row r="19" spans="1:14" x14ac:dyDescent="0.2">
      <c r="A19" s="169"/>
      <c r="B19" s="205" t="s">
        <v>60</v>
      </c>
      <c r="C19" s="206" t="str">
        <f t="shared" si="3"/>
        <v>EUR1MD_SYNTH6M_Quote</v>
      </c>
      <c r="D19" s="206" t="str">
        <f>_xll.qlSimpleQuote(C19,,RateTickValue,Permanent,EvaluationDate,ObjectOverwrite)</f>
        <v>EUR1MD_SYNTH6M_Quote#0002</v>
      </c>
      <c r="E19" s="210" t="str">
        <f>_xll.ohRangeRetrieveError(D19)</f>
        <v/>
      </c>
      <c r="F19" s="2"/>
      <c r="G19" s="195" t="s">
        <v>60</v>
      </c>
      <c r="H19" s="196">
        <f>'6MSynthDepo'!C34</f>
        <v>-2.5787246307648884E-3</v>
      </c>
      <c r="I19" s="51"/>
      <c r="J19" s="189">
        <v>-1.3992640793028621E-3</v>
      </c>
      <c r="K19" s="52"/>
      <c r="L19" s="184">
        <v>-2.5787246307648884E-3</v>
      </c>
      <c r="M19" s="185" t="e">
        <f>_xll.qlSimpleQuoteSetValue(D19,ROUND($L19,6),EvaluationDate)</f>
        <v>#N/A</v>
      </c>
      <c r="N19" s="171"/>
    </row>
    <row r="20" spans="1:14" x14ac:dyDescent="0.2">
      <c r="A20" s="169"/>
      <c r="B20" s="205" t="s">
        <v>61</v>
      </c>
      <c r="C20" s="206" t="str">
        <f t="shared" si="3"/>
        <v>EUR2MD_SYNTH6M_Quote</v>
      </c>
      <c r="D20" s="206" t="str">
        <f>_xll.qlSimpleQuote(C20,,RateTickValue,Permanent,EvaluationDate,ObjectOverwrite)</f>
        <v>EUR2MD_SYNTH6M_Quote#0002</v>
      </c>
      <c r="E20" s="210" t="str">
        <f>_xll.ohRangeRetrieveError(D20)</f>
        <v/>
      </c>
      <c r="F20" s="2"/>
      <c r="G20" s="197" t="s">
        <v>61</v>
      </c>
      <c r="H20" s="191">
        <f>'6MSynthDepo'!C35</f>
        <v>-2.542854565586004E-3</v>
      </c>
      <c r="I20" s="9"/>
      <c r="J20" s="186">
        <v>-1.4606278486255827E-3</v>
      </c>
      <c r="K20" s="8"/>
      <c r="L20" s="178">
        <v>-2.542854565586004E-3</v>
      </c>
      <c r="M20" s="179" t="e">
        <f>_xll.qlSimpleQuoteSetValue(D20,ROUND($L20,6),EvaluationDate)</f>
        <v>#N/A</v>
      </c>
      <c r="N20" s="171"/>
    </row>
    <row r="21" spans="1:14" x14ac:dyDescent="0.2">
      <c r="A21" s="169"/>
      <c r="B21" s="205" t="s">
        <v>62</v>
      </c>
      <c r="C21" s="206" t="str">
        <f t="shared" si="3"/>
        <v>EUR3MD_SYNTH6M_Quote</v>
      </c>
      <c r="D21" s="206" t="str">
        <f>_xll.qlSimpleQuote(C21,,RateTickValue,Permanent,EvaluationDate,ObjectOverwrite)</f>
        <v>EUR3MD_SYNTH6M_Quote#0001</v>
      </c>
      <c r="E21" s="210" t="str">
        <f>_xll.ohRangeRetrieveError(D21)</f>
        <v/>
      </c>
      <c r="F21" s="2"/>
      <c r="G21" s="197" t="s">
        <v>62</v>
      </c>
      <c r="H21" s="191">
        <f>'6MSynthDepo'!C36</f>
        <v>-2.5014142488021178E-3</v>
      </c>
      <c r="I21" s="9"/>
      <c r="J21" s="186">
        <v>-1.5066798648545659E-3</v>
      </c>
      <c r="K21" s="8"/>
      <c r="L21" s="178">
        <v>-2.5014142488021178E-3</v>
      </c>
      <c r="M21" s="179" t="e">
        <f>_xll.qlSimpleQuoteSetValue(D21,ROUND($L21,6),EvaluationDate)</f>
        <v>#N/A</v>
      </c>
      <c r="N21" s="171"/>
    </row>
    <row r="22" spans="1:14" x14ac:dyDescent="0.2">
      <c r="A22" s="169"/>
      <c r="B22" s="205" t="s">
        <v>63</v>
      </c>
      <c r="C22" s="206" t="str">
        <f t="shared" si="3"/>
        <v>EUR4MD_SYNTH6M_Quote</v>
      </c>
      <c r="D22" s="206" t="str">
        <f>_xll.qlSimpleQuote(C22,,RateTickValue,Permanent,EvaluationDate,ObjectOverwrite)</f>
        <v>EUR4MD_SYNTH6M_Quote#0001</v>
      </c>
      <c r="E22" s="210" t="str">
        <f>_xll.ohRangeRetrieveError(D22)</f>
        <v/>
      </c>
      <c r="F22" s="2"/>
      <c r="G22" s="197" t="s">
        <v>63</v>
      </c>
      <c r="H22" s="191">
        <f>'6MSynthDepo'!C37</f>
        <v>-2.4652517694604905E-3</v>
      </c>
      <c r="I22" s="9"/>
      <c r="J22" s="186">
        <v>-1.6084007389081708E-3</v>
      </c>
      <c r="K22" s="8"/>
      <c r="L22" s="178">
        <v>-2.4652517694604905E-3</v>
      </c>
      <c r="M22" s="179" t="e">
        <f>_xll.qlSimpleQuoteSetValue(D22,ROUND($L22,6),EvaluationDate)</f>
        <v>#N/A</v>
      </c>
      <c r="N22" s="171"/>
    </row>
    <row r="23" spans="1:14" x14ac:dyDescent="0.2">
      <c r="A23" s="169"/>
      <c r="B23" s="205" t="s">
        <v>64</v>
      </c>
      <c r="C23" s="206" t="str">
        <f t="shared" si="3"/>
        <v>EUR5MD_SYNTH6M_Quote</v>
      </c>
      <c r="D23" s="206" t="str">
        <f>_xll.qlSimpleQuote(C23,,RateTickValue,Permanent,EvaluationDate,ObjectOverwrite)</f>
        <v>EUR5MD_SYNTH6M_Quote#0001</v>
      </c>
      <c r="E23" s="210" t="str">
        <f>_xll.ohRangeRetrieveError(D23)</f>
        <v/>
      </c>
      <c r="F23" s="2"/>
      <c r="G23" s="197" t="s">
        <v>64</v>
      </c>
      <c r="H23" s="191">
        <f>'6MSynthDepo'!C38</f>
        <v>-2.4225539053326752E-3</v>
      </c>
      <c r="I23" s="9"/>
      <c r="J23" s="186">
        <v>-1.6664673150589961E-3</v>
      </c>
      <c r="K23" s="8"/>
      <c r="L23" s="178">
        <v>-2.4225539053326752E-3</v>
      </c>
      <c r="M23" s="179" t="e">
        <f>_xll.qlSimpleQuoteSetValue(D23,ROUND($L23,6),EvaluationDate)</f>
        <v>#N/A</v>
      </c>
      <c r="N23" s="171"/>
    </row>
    <row r="24" spans="1:14" x14ac:dyDescent="0.2">
      <c r="A24" s="155"/>
      <c r="B24" s="207" t="s">
        <v>65</v>
      </c>
      <c r="C24" s="208" t="str">
        <f t="shared" si="3"/>
        <v>EUR6MD_SYNTH6M_Quote</v>
      </c>
      <c r="D24" s="208" t="str">
        <f>_xll.qlSimpleQuote(C24,,RateTickValue,Permanent,EvaluationDate,ObjectOverwrite)</f>
        <v>EUR6MD_SYNTH6M_Quote#0001</v>
      </c>
      <c r="E24" s="211" t="str">
        <f>_xll.ohRangeRetrieveError(D24)</f>
        <v/>
      </c>
      <c r="F24" s="2"/>
      <c r="G24" s="198" t="s">
        <v>65</v>
      </c>
      <c r="H24" s="199">
        <f>'6MSynthDepo'!C39</f>
        <v>-2.3801522042883449E-3</v>
      </c>
      <c r="I24" s="9"/>
      <c r="J24" s="187">
        <v>-1.7197015979246626E-3</v>
      </c>
      <c r="K24" s="8"/>
      <c r="L24" s="180">
        <v>-2.3801522042883449E-3</v>
      </c>
      <c r="M24" s="181" t="e">
        <f>_xll.qlSimpleQuoteSetValue(D24,ROUND($L24,6),EvaluationDate)</f>
        <v>#N/A</v>
      </c>
      <c r="N24" s="171"/>
    </row>
    <row r="25" spans="1:14" x14ac:dyDescent="0.2">
      <c r="A25" s="156">
        <v>12</v>
      </c>
      <c r="B25" s="205" t="s">
        <v>55</v>
      </c>
      <c r="C25" s="206" t="str">
        <f t="shared" ref="C25:C40" si="4">Currency&amp;$B25&amp;"_SYNTH"&amp;Tenor12M&amp;QuoteSuffix</f>
        <v>EURSND_SYNTH1Y_Quote</v>
      </c>
      <c r="D25" s="206" t="str">
        <f>_xll.qlSimpleQuote(C25,,RateTickValue,Permanent,EvaluationDate,ObjectOverwrite)</f>
        <v>EURSND_SYNTH1Y_Quote#0001</v>
      </c>
      <c r="E25" s="210" t="str">
        <f>_xll.ohRangeRetrieveError(D25)</f>
        <v/>
      </c>
      <c r="F25" s="8"/>
      <c r="G25" s="200" t="s">
        <v>55</v>
      </c>
      <c r="H25" s="196">
        <f>'12MSynthDepo'!C36</f>
        <v>-1.793115768733422E-3</v>
      </c>
      <c r="I25" s="9"/>
      <c r="J25" s="186">
        <v>1.0564268004387145E-4</v>
      </c>
      <c r="K25" s="8"/>
      <c r="L25" s="178">
        <v>-1.793115768733422E-3</v>
      </c>
      <c r="M25" s="179" t="e">
        <f>_xll.qlSimpleQuoteSetValue(D25,ROUND($L25,6),EvaluationDate)</f>
        <v>#N/A</v>
      </c>
      <c r="N25" s="170">
        <f>_xll.ohTrigger(M25:M40)</f>
        <v>4</v>
      </c>
    </row>
    <row r="26" spans="1:14" x14ac:dyDescent="0.2">
      <c r="A26" s="151" t="str">
        <f>_xll.qlPeriodEquivalent(Months12M&amp;"M")</f>
        <v>1Y</v>
      </c>
      <c r="B26" s="205" t="s">
        <v>57</v>
      </c>
      <c r="C26" s="206" t="str">
        <f t="shared" si="4"/>
        <v>EURSWD_SYNTH1Y_Quote</v>
      </c>
      <c r="D26" s="206" t="str">
        <f>_xll.qlSimpleQuote(C26,,RateTickValue,Permanent,EvaluationDate,ObjectOverwrite)</f>
        <v>EURSWD_SYNTH1Y_Quote#0002</v>
      </c>
      <c r="E26" s="210" t="str">
        <f>_xll.ohRangeRetrieveError(D26)</f>
        <v/>
      </c>
      <c r="F26" s="8"/>
      <c r="G26" s="201" t="s">
        <v>57</v>
      </c>
      <c r="H26" s="191">
        <f>'12MSynthDepo'!C37</f>
        <v>-1.7064037444772648E-3</v>
      </c>
      <c r="I26" s="9"/>
      <c r="J26" s="186">
        <v>1.1286825636399758E-4</v>
      </c>
      <c r="K26" s="8"/>
      <c r="L26" s="178">
        <v>-1.7064037444772648E-3</v>
      </c>
      <c r="M26" s="179" t="e">
        <f>_xll.qlSimpleQuoteSetValue(D26,ROUND($L26,6),EvaluationDate)</f>
        <v>#N/A</v>
      </c>
      <c r="N26" s="171"/>
    </row>
    <row r="27" spans="1:14" x14ac:dyDescent="0.2">
      <c r="A27" s="152"/>
      <c r="B27" s="205" t="s">
        <v>58</v>
      </c>
      <c r="C27" s="206" t="str">
        <f t="shared" si="4"/>
        <v>EUR2WD_SYNTH1Y_Quote</v>
      </c>
      <c r="D27" s="206" t="str">
        <f>_xll.qlSimpleQuote(C27,,RateTickValue,Permanent,EvaluationDate,ObjectOverwrite)</f>
        <v>EUR2WD_SYNTH1Y_Quote#0001</v>
      </c>
      <c r="E27" s="210" t="str">
        <f>_xll.ohRangeRetrieveError(D27)</f>
        <v/>
      </c>
      <c r="F27" s="2"/>
      <c r="G27" s="201" t="s">
        <v>58</v>
      </c>
      <c r="H27" s="191">
        <f>'12MSynthDepo'!C38</f>
        <v>-1.6965465263983426E-3</v>
      </c>
      <c r="I27" s="9"/>
      <c r="J27" s="186">
        <v>1.2118965934782011E-4</v>
      </c>
      <c r="K27" s="8"/>
      <c r="L27" s="178">
        <v>-1.6965465263983426E-3</v>
      </c>
      <c r="M27" s="179" t="e">
        <f>_xll.qlSimpleQuoteSetValue(D27,ROUND($L27,6),EvaluationDate)</f>
        <v>#N/A</v>
      </c>
      <c r="N27" s="171"/>
    </row>
    <row r="28" spans="1:14" x14ac:dyDescent="0.2">
      <c r="A28" s="152"/>
      <c r="B28" s="205" t="s">
        <v>59</v>
      </c>
      <c r="C28" s="206" t="str">
        <f t="shared" si="4"/>
        <v>EUR3WD_SYNTH1Y_Quote</v>
      </c>
      <c r="D28" s="206" t="str">
        <f>_xll.qlSimpleQuote(C28,,RateTickValue,Permanent,EvaluationDate,ObjectOverwrite)</f>
        <v>EUR3WD_SYNTH1Y_Quote#0001</v>
      </c>
      <c r="E28" s="210" t="str">
        <f>_xll.ohRangeRetrieveError(D28)</f>
        <v/>
      </c>
      <c r="F28" s="2"/>
      <c r="G28" s="201" t="s">
        <v>59</v>
      </c>
      <c r="H28" s="191">
        <f>'12MSynthDepo'!C39</f>
        <v>-1.6866899649960385E-3</v>
      </c>
      <c r="I28" s="9"/>
      <c r="J28" s="186">
        <v>1.2951109486181167E-4</v>
      </c>
      <c r="K28" s="8"/>
      <c r="L28" s="178">
        <v>-1.6866899649960385E-3</v>
      </c>
      <c r="M28" s="179" t="e">
        <f>_xll.qlSimpleQuoteSetValue(D28,ROUND($L28,6),EvaluationDate)</f>
        <v>#N/A</v>
      </c>
      <c r="N28" s="171"/>
    </row>
    <row r="29" spans="1:14" x14ac:dyDescent="0.2">
      <c r="A29" s="152"/>
      <c r="B29" s="205" t="s">
        <v>60</v>
      </c>
      <c r="C29" s="206" t="str">
        <f t="shared" si="4"/>
        <v>EUR1MD_SYNTH1Y_Quote</v>
      </c>
      <c r="D29" s="206" t="str">
        <f>_xll.qlSimpleQuote(C29,,RateTickValue,Permanent,EvaluationDate,ObjectOverwrite)</f>
        <v>EUR1MD_SYNTH1Y_Quote#0002</v>
      </c>
      <c r="E29" s="210" t="str">
        <f>_xll.ohRangeRetrieveError(D29)</f>
        <v/>
      </c>
      <c r="F29" s="2"/>
      <c r="G29" s="202" t="s">
        <v>60</v>
      </c>
      <c r="H29" s="199">
        <f>'12MSynthDepo'!C40</f>
        <v>-1.6526070563422709E-3</v>
      </c>
      <c r="I29" s="9"/>
      <c r="J29" s="187">
        <v>1.1138992809166561E-4</v>
      </c>
      <c r="K29" s="8"/>
      <c r="L29" s="180">
        <v>-1.6526070563422709E-3</v>
      </c>
      <c r="M29" s="181" t="e">
        <f>_xll.qlSimpleQuoteSetValue(D29,ROUND($L29,6),EvaluationDate)</f>
        <v>#N/A</v>
      </c>
      <c r="N29" s="171"/>
    </row>
    <row r="30" spans="1:14" x14ac:dyDescent="0.2">
      <c r="A30" s="152"/>
      <c r="B30" s="205" t="s">
        <v>61</v>
      </c>
      <c r="C30" s="206" t="str">
        <f t="shared" si="4"/>
        <v>EUR2MD_SYNTH1Y_Quote</v>
      </c>
      <c r="D30" s="206" t="str">
        <f>_xll.qlSimpleQuote(C30,,RateTickValue,Permanent,EvaluationDate,ObjectOverwrite)</f>
        <v>EUR2MD_SYNTH1Y_Quote#0001</v>
      </c>
      <c r="E30" s="210" t="str">
        <f>_xll.ohRangeRetrieveError(D30)</f>
        <v/>
      </c>
      <c r="F30" s="2"/>
      <c r="G30" s="201" t="s">
        <v>61</v>
      </c>
      <c r="H30" s="191">
        <f>'12MSynthDepo'!C41</f>
        <v>-1.6134432601247609E-3</v>
      </c>
      <c r="I30" s="9"/>
      <c r="J30" s="186">
        <v>4.9360502812742121E-5</v>
      </c>
      <c r="K30" s="8"/>
      <c r="L30" s="178">
        <v>-1.6134432601247609E-3</v>
      </c>
      <c r="M30" s="179" t="e">
        <f>_xll.qlSimpleQuoteSetValue(D30,ROUND($L30,6),EvaluationDate)</f>
        <v>#N/A</v>
      </c>
      <c r="N30" s="170"/>
    </row>
    <row r="31" spans="1:14" x14ac:dyDescent="0.2">
      <c r="A31" s="152"/>
      <c r="B31" s="205" t="s">
        <v>62</v>
      </c>
      <c r="C31" s="206" t="str">
        <f t="shared" si="4"/>
        <v>EUR3MD_SYNTH1Y_Quote</v>
      </c>
      <c r="D31" s="206" t="str">
        <f>_xll.qlSimpleQuote(C31,,RateTickValue,Permanent,EvaluationDate,ObjectOverwrite)</f>
        <v>EUR3MD_SYNTH1Y_Quote#0001</v>
      </c>
      <c r="E31" s="210" t="str">
        <f>_xll.ohRangeRetrieveError(D31)</f>
        <v/>
      </c>
      <c r="F31" s="2"/>
      <c r="G31" s="201" t="s">
        <v>62</v>
      </c>
      <c r="H31" s="191">
        <f>'12MSynthDepo'!C42</f>
        <v>-1.5683739695045546E-3</v>
      </c>
      <c r="I31" s="9"/>
      <c r="J31" s="186">
        <v>2.6946812894100982E-6</v>
      </c>
      <c r="K31" s="8"/>
      <c r="L31" s="178">
        <v>-1.5683739695045546E-3</v>
      </c>
      <c r="M31" s="179" t="e">
        <f>_xll.qlSimpleQuoteSetValue(D31,ROUND($L31,6),EvaluationDate)</f>
        <v>#N/A</v>
      </c>
      <c r="N31" s="171"/>
    </row>
    <row r="32" spans="1:14" x14ac:dyDescent="0.2">
      <c r="A32" s="152"/>
      <c r="B32" s="205" t="s">
        <v>63</v>
      </c>
      <c r="C32" s="206" t="str">
        <f t="shared" si="4"/>
        <v>EUR4MD_SYNTH1Y_Quote</v>
      </c>
      <c r="D32" s="206" t="str">
        <f>_xll.qlSimpleQuote(C32,,RateTickValue,Permanent,EvaluationDate,ObjectOverwrite)</f>
        <v>EUR4MD_SYNTH1Y_Quote#0002</v>
      </c>
      <c r="E32" s="210" t="str">
        <f>_xll.ohRangeRetrieveError(D32)</f>
        <v/>
      </c>
      <c r="F32" s="2"/>
      <c r="G32" s="201" t="s">
        <v>63</v>
      </c>
      <c r="H32" s="191">
        <f>'12MSynthDepo'!C43</f>
        <v>-1.5291272850854996E-3</v>
      </c>
      <c r="I32" s="9"/>
      <c r="J32" s="186">
        <v>-9.9721796701233214E-5</v>
      </c>
      <c r="K32" s="8"/>
      <c r="L32" s="178">
        <v>-1.5291272850854996E-3</v>
      </c>
      <c r="M32" s="179" t="e">
        <f>_xll.qlSimpleQuoteSetValue(D32,ROUND($L32,6),EvaluationDate)</f>
        <v>#N/A</v>
      </c>
      <c r="N32" s="171"/>
    </row>
    <row r="33" spans="1:14" x14ac:dyDescent="0.2">
      <c r="A33" s="152"/>
      <c r="B33" s="205" t="s">
        <v>64</v>
      </c>
      <c r="C33" s="206" t="str">
        <f t="shared" si="4"/>
        <v>EUR5MD_SYNTH1Y_Quote</v>
      </c>
      <c r="D33" s="206" t="str">
        <f>_xll.qlSimpleQuote(C33,,RateTickValue,Permanent,EvaluationDate,ObjectOverwrite)</f>
        <v>EUR5MD_SYNTH1Y_Quote#0001</v>
      </c>
      <c r="E33" s="210" t="str">
        <f>_xll.ohRangeRetrieveError(D33)</f>
        <v/>
      </c>
      <c r="F33" s="8"/>
      <c r="G33" s="201" t="s">
        <v>64</v>
      </c>
      <c r="H33" s="191">
        <f>'12MSynthDepo'!C44</f>
        <v>-1.4830083622390374E-3</v>
      </c>
      <c r="I33" s="9"/>
      <c r="J33" s="186">
        <v>-1.5848221860354888E-4</v>
      </c>
      <c r="K33" s="8"/>
      <c r="L33" s="178">
        <v>-1.4830083622390374E-3</v>
      </c>
      <c r="M33" s="179" t="e">
        <f>_xll.qlSimpleQuoteSetValue(D33,ROUND($L33,6),EvaluationDate)</f>
        <v>#N/A</v>
      </c>
      <c r="N33" s="171"/>
    </row>
    <row r="34" spans="1:14" x14ac:dyDescent="0.2">
      <c r="A34" s="152"/>
      <c r="B34" s="205" t="s">
        <v>65</v>
      </c>
      <c r="C34" s="206" t="str">
        <f t="shared" si="4"/>
        <v>EUR6MD_SYNTH1Y_Quote</v>
      </c>
      <c r="D34" s="206" t="str">
        <f>_xll.qlSimpleQuote(C34,,RateTickValue,Permanent,EvaluationDate,ObjectOverwrite)</f>
        <v>EUR6MD_SYNTH1Y_Quote#0001</v>
      </c>
      <c r="E34" s="210" t="str">
        <f>_xll.ohRangeRetrieveError(D34)</f>
        <v/>
      </c>
      <c r="F34" s="8"/>
      <c r="G34" s="201" t="s">
        <v>65</v>
      </c>
      <c r="H34" s="191">
        <f>'12MSynthDepo'!C45</f>
        <v>-1.4370696302643058E-3</v>
      </c>
      <c r="I34" s="9"/>
      <c r="J34" s="186">
        <v>-2.1240003545388287E-4</v>
      </c>
      <c r="K34" s="8"/>
      <c r="L34" s="178">
        <v>-1.4370696302643058E-3</v>
      </c>
      <c r="M34" s="179" t="e">
        <f>_xll.qlSimpleQuoteSetValue(D34,ROUND($L34,6),EvaluationDate)</f>
        <v>#N/A</v>
      </c>
      <c r="N34" s="171"/>
    </row>
    <row r="35" spans="1:14" x14ac:dyDescent="0.2">
      <c r="A35" s="152"/>
      <c r="B35" s="205" t="s">
        <v>66</v>
      </c>
      <c r="C35" s="206" t="str">
        <f t="shared" si="4"/>
        <v>EUR7MD_SYNTH1Y_Quote</v>
      </c>
      <c r="D35" s="206" t="str">
        <f>_xll.qlSimpleQuote(C35,,RateTickValue,Permanent,EvaluationDate,ObjectOverwrite)</f>
        <v>EUR7MD_SYNTH1Y_Quote#0002</v>
      </c>
      <c r="E35" s="210" t="str">
        <f>_xll.ohRangeRetrieveError(D35)</f>
        <v/>
      </c>
      <c r="F35" s="8"/>
      <c r="G35" s="201" t="s">
        <v>66</v>
      </c>
      <c r="H35" s="191">
        <f>'12MSynthDepo'!C46</f>
        <v>-1.3936447707554788E-3</v>
      </c>
      <c r="I35" s="9"/>
      <c r="J35" s="186">
        <v>-2.7889035334675627E-4</v>
      </c>
      <c r="K35" s="8"/>
      <c r="L35" s="178">
        <v>-1.3936447707554788E-3</v>
      </c>
      <c r="M35" s="179" t="e">
        <f>_xll.qlSimpleQuoteSetValue(D35,ROUND($L35,6),EvaluationDate)</f>
        <v>#N/A</v>
      </c>
      <c r="N35" s="171"/>
    </row>
    <row r="36" spans="1:14" x14ac:dyDescent="0.2">
      <c r="A36" s="152"/>
      <c r="B36" s="205" t="s">
        <v>67</v>
      </c>
      <c r="C36" s="206" t="str">
        <f t="shared" si="4"/>
        <v>EUR8MD_SYNTH1Y_Quote</v>
      </c>
      <c r="D36" s="206" t="str">
        <f>_xll.qlSimpleQuote(C36,,RateTickValue,Permanent,EvaluationDate,ObjectOverwrite)</f>
        <v>EUR8MD_SYNTH1Y_Quote#0001</v>
      </c>
      <c r="E36" s="210" t="str">
        <f>_xll.ohRangeRetrieveError(D36)</f>
        <v/>
      </c>
      <c r="F36" s="8"/>
      <c r="G36" s="201" t="s">
        <v>67</v>
      </c>
      <c r="H36" s="191">
        <f>'12MSynthDepo'!C47</f>
        <v>-1.3465114146699517E-3</v>
      </c>
      <c r="I36" s="9"/>
      <c r="J36" s="186">
        <v>-3.1597088364807295E-4</v>
      </c>
      <c r="K36" s="8"/>
      <c r="L36" s="178">
        <v>-1.3465114146699517E-3</v>
      </c>
      <c r="M36" s="179" t="e">
        <f>_xll.qlSimpleQuoteSetValue(D36,ROUND($L36,6),EvaluationDate)</f>
        <v>#N/A</v>
      </c>
      <c r="N36" s="171"/>
    </row>
    <row r="37" spans="1:14" x14ac:dyDescent="0.2">
      <c r="A37" s="153"/>
      <c r="B37" s="205" t="s">
        <v>68</v>
      </c>
      <c r="C37" s="206" t="str">
        <f t="shared" si="4"/>
        <v>EUR9MD_SYNTH1Y_Quote</v>
      </c>
      <c r="D37" s="206" t="str">
        <f>_xll.qlSimpleQuote(C37,,RateTickValue,Permanent,EvaluationDate,ObjectOverwrite)</f>
        <v>EUR9MD_SYNTH1Y_Quote#0001</v>
      </c>
      <c r="E37" s="210" t="str">
        <f>_xll.ohRangeRetrieveError(D37)</f>
        <v/>
      </c>
      <c r="F37" s="8"/>
      <c r="G37" s="201" t="s">
        <v>68</v>
      </c>
      <c r="H37" s="191">
        <f>'12MSynthDepo'!C48</f>
        <v>-1.3016234813444045E-3</v>
      </c>
      <c r="I37" s="9"/>
      <c r="J37" s="186">
        <v>-3.519161825773871E-4</v>
      </c>
      <c r="K37" s="8"/>
      <c r="L37" s="178">
        <v>-1.3016234813444045E-3</v>
      </c>
      <c r="M37" s="179" t="e">
        <f>_xll.qlSimpleQuoteSetValue(D37,ROUND($L37,6),EvaluationDate)</f>
        <v>#N/A</v>
      </c>
      <c r="N37" s="171"/>
    </row>
    <row r="38" spans="1:14" x14ac:dyDescent="0.2">
      <c r="A38" s="154"/>
      <c r="B38" s="205" t="s">
        <v>69</v>
      </c>
      <c r="C38" s="206" t="str">
        <f t="shared" si="4"/>
        <v>EUR10MD_SYNTH1Y_Quote</v>
      </c>
      <c r="D38" s="206" t="str">
        <f>_xll.qlSimpleQuote(C38,,RateTickValue,Permanent,EvaluationDate,ObjectOverwrite)</f>
        <v>EUR10MD_SYNTH1Y_Quote#0001</v>
      </c>
      <c r="E38" s="210" t="str">
        <f>_xll.ohRangeRetrieveError(D38)</f>
        <v/>
      </c>
      <c r="F38" s="8"/>
      <c r="G38" s="201" t="s">
        <v>69</v>
      </c>
      <c r="H38" s="191">
        <f>'12MSynthDepo'!C49</f>
        <v>-1.2572402313640809E-3</v>
      </c>
      <c r="I38" s="9"/>
      <c r="J38" s="186">
        <v>-3.8672968882506219E-4</v>
      </c>
      <c r="K38" s="8"/>
      <c r="L38" s="178">
        <v>-1.2572402313640809E-3</v>
      </c>
      <c r="M38" s="179" t="e">
        <f>_xll.qlSimpleQuoteSetValue(D38,ROUND($L38,6),EvaluationDate)</f>
        <v>#N/A</v>
      </c>
      <c r="N38" s="171"/>
    </row>
    <row r="39" spans="1:14" x14ac:dyDescent="0.2">
      <c r="A39" s="152"/>
      <c r="B39" s="205" t="s">
        <v>70</v>
      </c>
      <c r="C39" s="206" t="str">
        <f t="shared" si="4"/>
        <v>EUR11MD_SYNTH1Y_Quote</v>
      </c>
      <c r="D39" s="206" t="str">
        <f>_xll.qlSimpleQuote(C39,,RateTickValue,Permanent,EvaluationDate,ObjectOverwrite)</f>
        <v>EUR11MD_SYNTH1Y_Quote#0002</v>
      </c>
      <c r="E39" s="210" t="str">
        <f>_xll.ohRangeRetrieveError(D39)</f>
        <v/>
      </c>
      <c r="F39" s="8"/>
      <c r="G39" s="201" t="s">
        <v>70</v>
      </c>
      <c r="H39" s="191">
        <f>'12MSynthDepo'!C50</f>
        <v>-1.2048145015296822E-3</v>
      </c>
      <c r="I39" s="9"/>
      <c r="J39" s="186">
        <v>-4.1923626714251191E-4</v>
      </c>
      <c r="K39" s="8"/>
      <c r="L39" s="178">
        <v>-1.2048145015296822E-3</v>
      </c>
      <c r="M39" s="179" t="e">
        <f>_xll.qlSimpleQuoteSetValue(D39,ROUND($L39,6),EvaluationDate)</f>
        <v>#N/A</v>
      </c>
      <c r="N39" s="171"/>
    </row>
    <row r="40" spans="1:14" x14ac:dyDescent="0.2">
      <c r="A40" s="155"/>
      <c r="B40" s="207" t="s">
        <v>71</v>
      </c>
      <c r="C40" s="208" t="str">
        <f t="shared" si="4"/>
        <v>EUR1YD_SYNTH1Y_Quote</v>
      </c>
      <c r="D40" s="208" t="str">
        <f>_xll.qlSimpleQuote(C40,,RateTickValue,Permanent,EvaluationDate,ObjectOverwrite)</f>
        <v>EUR1YD_SYNTH1Y_Quote#0002</v>
      </c>
      <c r="E40" s="211" t="str">
        <f>_xll.ohRangeRetrieveError(D40)</f>
        <v/>
      </c>
      <c r="F40" s="8"/>
      <c r="G40" s="202" t="s">
        <v>71</v>
      </c>
      <c r="H40" s="199">
        <f>'12MSynthDepo'!C51</f>
        <v>-1.1575698055268963E-3</v>
      </c>
      <c r="I40" s="9"/>
      <c r="J40" s="187">
        <v>-4.3525232802020704E-4</v>
      </c>
      <c r="K40" s="8"/>
      <c r="L40" s="180">
        <v>-1.1575698055268963E-3</v>
      </c>
      <c r="M40" s="181" t="e">
        <f>_xll.qlSimpleQuoteSetValue(D40,ROUND($L40,6),EvaluationDate)</f>
        <v>#N/A</v>
      </c>
      <c r="N40" s="170"/>
    </row>
    <row r="41" spans="1:14" x14ac:dyDescent="0.2">
      <c r="A41" s="173"/>
      <c r="B41" s="174"/>
      <c r="C41" s="175"/>
      <c r="D41" s="175"/>
      <c r="E41" s="175"/>
      <c r="F41" s="176"/>
      <c r="G41" s="176"/>
      <c r="H41" s="176"/>
      <c r="I41" s="176"/>
      <c r="J41" s="176"/>
      <c r="K41" s="176"/>
      <c r="L41" s="176"/>
      <c r="M41" s="176"/>
      <c r="N41" s="177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7"/>
  <sheetViews>
    <sheetView showGridLines="0" topLeftCell="N2" workbookViewId="0">
      <selection activeCell="P2" sqref="P2"/>
    </sheetView>
  </sheetViews>
  <sheetFormatPr defaultColWidth="9.33203125" defaultRowHeight="11.25" outlineLevelCol="1" x14ac:dyDescent="0.2"/>
  <cols>
    <col min="1" max="1" width="3.1640625" style="213" hidden="1" customWidth="1" outlineLevel="1"/>
    <col min="2" max="3" width="7" style="213" hidden="1" customWidth="1" outlineLevel="1"/>
    <col min="4" max="4" width="3.5" style="213" hidden="1" customWidth="1" outlineLevel="1"/>
    <col min="5" max="5" width="2.33203125" style="225" hidden="1" customWidth="1" outlineLevel="1"/>
    <col min="6" max="6" width="4.6640625" style="225" hidden="1" customWidth="1" outlineLevel="1"/>
    <col min="7" max="7" width="8.1640625" style="213" hidden="1" customWidth="1" outlineLevel="1"/>
    <col min="8" max="8" width="22.5" style="213" hidden="1" customWidth="1" outlineLevel="1"/>
    <col min="9" max="9" width="12.83203125" style="213" hidden="1" customWidth="1" outlineLevel="1"/>
    <col min="10" max="10" width="9.33203125" style="213" hidden="1" customWidth="1" outlineLevel="1"/>
    <col min="11" max="11" width="31.1640625" style="213" hidden="1" customWidth="1" outlineLevel="1"/>
    <col min="12" max="12" width="17.83203125" style="227" hidden="1" customWidth="1" outlineLevel="1"/>
    <col min="13" max="13" width="26.33203125" style="213" hidden="1" customWidth="1" outlineLevel="1"/>
    <col min="14" max="14" width="3.5" style="213" customWidth="1" collapsed="1"/>
    <col min="15" max="15" width="3.5" style="213" customWidth="1"/>
    <col min="16" max="16" width="31.1640625" style="213" bestFit="1" customWidth="1"/>
    <col min="17" max="21" width="20.1640625" style="213" bestFit="1" customWidth="1"/>
    <col min="22" max="22" width="20.1640625" style="213" hidden="1" customWidth="1" outlineLevel="1"/>
    <col min="23" max="23" width="14.1640625" style="213" hidden="1" customWidth="1" outlineLevel="1"/>
    <col min="24" max="24" width="11.6640625" style="213" bestFit="1" customWidth="1" collapsed="1"/>
    <col min="25" max="25" width="10.5" style="213" bestFit="1" customWidth="1"/>
    <col min="26" max="26" width="9.33203125" style="213" bestFit="1" customWidth="1"/>
    <col min="27" max="27" width="7" style="213" bestFit="1" customWidth="1"/>
    <col min="28" max="16384" width="9.33203125" style="213"/>
  </cols>
  <sheetData>
    <row r="1" spans="1:21" ht="11.25" customHeight="1" x14ac:dyDescent="0.2">
      <c r="E1" s="213"/>
      <c r="F1" s="213"/>
      <c r="K1" s="213" t="s">
        <v>35</v>
      </c>
      <c r="L1" s="213" t="str">
        <f>_xll.qlEuribor(,K1,,,Trigger)</f>
        <v>obj_00446#0002</v>
      </c>
      <c r="M1" s="213" t="str">
        <f>_xll.ohRangeRetrieveError(L1)</f>
        <v/>
      </c>
    </row>
    <row r="2" spans="1:21" ht="24" customHeight="1" x14ac:dyDescent="0.2">
      <c r="A2" s="221"/>
      <c r="B2" s="214" t="s">
        <v>136</v>
      </c>
      <c r="C2" s="214" t="s">
        <v>107</v>
      </c>
      <c r="D2" s="214"/>
      <c r="E2" s="215"/>
      <c r="F2" s="215"/>
      <c r="G2" s="214" t="s">
        <v>108</v>
      </c>
      <c r="H2" s="214" t="s">
        <v>109</v>
      </c>
      <c r="I2" s="214" t="s">
        <v>110</v>
      </c>
      <c r="J2" s="214" t="s">
        <v>111</v>
      </c>
      <c r="K2" s="214" t="s">
        <v>72</v>
      </c>
      <c r="L2" s="214" t="s">
        <v>73</v>
      </c>
      <c r="M2" s="216" t="s">
        <v>31</v>
      </c>
      <c r="N2" s="224"/>
      <c r="O2" s="224"/>
      <c r="P2" s="217" t="s">
        <v>112</v>
      </c>
      <c r="Q2" s="217" t="s">
        <v>74</v>
      </c>
      <c r="R2" s="217" t="s">
        <v>111</v>
      </c>
      <c r="S2" s="217" t="s">
        <v>75</v>
      </c>
      <c r="T2" s="214" t="s">
        <v>76</v>
      </c>
      <c r="U2" s="214" t="s">
        <v>77</v>
      </c>
    </row>
    <row r="3" spans="1:21" ht="11.25" customHeight="1" x14ac:dyDescent="0.2">
      <c r="A3" s="222"/>
      <c r="B3" s="15">
        <v>2</v>
      </c>
      <c r="C3" s="15" t="s">
        <v>115</v>
      </c>
      <c r="D3" s="36"/>
      <c r="E3" s="37"/>
      <c r="F3" s="37"/>
      <c r="G3" s="34"/>
      <c r="H3" s="34"/>
      <c r="I3" s="34"/>
      <c r="J3" s="38"/>
      <c r="K3" s="29" t="str">
        <f>PROPER((Currency))&amp;IborType&amp;K1&amp;"LastFixing"&amp;QuoteSuffix</f>
        <v>Euribor1MLastFixing_Quote</v>
      </c>
      <c r="L3" s="35" t="str">
        <f>_xll.qlDepositRateHelper(,K3,L1,,Trigger)</f>
        <v>obj_00473#0001</v>
      </c>
      <c r="M3" s="46" t="str">
        <f>_xll.ohRangeRetrieveError(L3)</f>
        <v/>
      </c>
      <c r="N3" s="223"/>
      <c r="O3" s="223"/>
      <c r="P3" s="262" t="str">
        <f>_xll.qlRateHelperQuoteName(L3,Trigger)</f>
        <v>Euribor1MLastFixing_Quote</v>
      </c>
      <c r="Q3" s="252">
        <f>_xll.qlQuoteValue(K3,AllTriggers)</f>
        <v>-3.7099999999999998E-3</v>
      </c>
      <c r="R3" s="253" t="str">
        <f>IF(ISBLANK(J3),"--",_xll.qlSwapRateHelperSpread(L3,AllTriggers))</f>
        <v>--</v>
      </c>
      <c r="S3" s="262" t="b">
        <v>1</v>
      </c>
      <c r="T3" s="254">
        <f>_xll.qlRateHelperEarliestDate(L3,Trigger)</f>
        <v>42797</v>
      </c>
      <c r="U3" s="254">
        <f>_xll.qlRateHelperPillarDate(L3,Trigger)</f>
        <v>42828</v>
      </c>
    </row>
    <row r="4" spans="1:21" ht="11.25" customHeight="1" x14ac:dyDescent="0.2">
      <c r="A4" s="222"/>
      <c r="B4" s="39">
        <v>2</v>
      </c>
      <c r="C4" s="39" t="s">
        <v>115</v>
      </c>
      <c r="D4" s="40" t="s">
        <v>42</v>
      </c>
      <c r="E4" s="41" t="s">
        <v>139</v>
      </c>
      <c r="F4" s="41" t="s">
        <v>140</v>
      </c>
      <c r="G4" s="39" t="s">
        <v>116</v>
      </c>
      <c r="H4" s="42" t="s">
        <v>113</v>
      </c>
      <c r="I4" s="42" t="s">
        <v>11</v>
      </c>
      <c r="J4" s="43">
        <v>0</v>
      </c>
      <c r="K4" s="44" t="str">
        <f t="shared" ref="K4:K9" si="0">Currency&amp;$E4&amp;$F4&amp;$D4&amp;"_Quote"</f>
        <v>EURAM1E2M_Quote</v>
      </c>
      <c r="L4" s="45" t="str">
        <f>_xll.qlSwapRateHelper2(,$K4,$B4,D4,Calendar,$G4,$H4,$I4,$L$1,$J4,C4,Discounting,,,Permanent,Trigger,ObjectOverwrite)</f>
        <v>obj_00447#0002</v>
      </c>
      <c r="M4" s="46" t="str">
        <f>_xll.ohRangeRetrieveError(L4)</f>
        <v/>
      </c>
      <c r="N4" s="223"/>
      <c r="O4" s="223"/>
      <c r="P4" s="262" t="str">
        <f>_xll.qlRateHelperQuoteName(L4,Trigger)</f>
        <v>EURAM1E2M_Quote</v>
      </c>
      <c r="Q4" s="252">
        <f>_xll.qlQuoteValue(K4,AllTriggers)</f>
        <v>-3.7099999999999998E-3</v>
      </c>
      <c r="R4" s="263">
        <f>IF(ISBLANK(J4),"--",_xll.qlSwapRateHelperSpread(L4,AllTriggers))</f>
        <v>0</v>
      </c>
      <c r="S4" s="262" t="b">
        <v>1</v>
      </c>
      <c r="T4" s="254">
        <f>_xll.qlRateHelperEarliestDate(L4,Trigger)</f>
        <v>42797</v>
      </c>
      <c r="U4" s="254">
        <f>_xll.qlRateHelperPillarDate(L4,Trigger)</f>
        <v>42858</v>
      </c>
    </row>
    <row r="5" spans="1:21" ht="11.25" customHeight="1" x14ac:dyDescent="0.2">
      <c r="A5" s="222"/>
      <c r="B5" s="15">
        <v>2</v>
      </c>
      <c r="C5" s="15" t="s">
        <v>115</v>
      </c>
      <c r="D5" s="16" t="s">
        <v>36</v>
      </c>
      <c r="E5" s="17" t="s">
        <v>139</v>
      </c>
      <c r="F5" s="17" t="s">
        <v>140</v>
      </c>
      <c r="G5" s="15" t="s">
        <v>116</v>
      </c>
      <c r="H5" s="18" t="s">
        <v>113</v>
      </c>
      <c r="I5" s="18" t="s">
        <v>11</v>
      </c>
      <c r="J5" s="19">
        <v>0</v>
      </c>
      <c r="K5" s="20" t="str">
        <f t="shared" si="0"/>
        <v>EURAM1E3M_Quote</v>
      </c>
      <c r="L5" s="21" t="str">
        <f>_xll.qlSwapRateHelper2(,$K5,$B5,D5,Calendar,$G5,$H5,$I5,$L$1,$J5,C5,Discounting,,,Permanent,Trigger,ObjectOverwrite)</f>
        <v>obj_00448#0002</v>
      </c>
      <c r="M5" s="22" t="str">
        <f>_xll.ohRangeRetrieveError(L5)</f>
        <v/>
      </c>
      <c r="N5" s="223"/>
      <c r="O5" s="223"/>
      <c r="P5" s="262" t="str">
        <f>_xll.qlRateHelperQuoteName(L5,Trigger)</f>
        <v>EURAM1E3M_Quote</v>
      </c>
      <c r="Q5" s="252">
        <f>_xll.qlQuoteValue(K5,AllTriggers)</f>
        <v>-3.6900000000000001E-3</v>
      </c>
      <c r="R5" s="263">
        <f>IF(ISBLANK(J5),"--",_xll.qlSwapRateHelperSpread(L5,AllTriggers))</f>
        <v>0</v>
      </c>
      <c r="S5" s="262" t="b">
        <v>1</v>
      </c>
      <c r="T5" s="254">
        <f>_xll.qlRateHelperEarliestDate(L5,Trigger)</f>
        <v>42797</v>
      </c>
      <c r="U5" s="254">
        <f>_xll.qlRateHelperPillarDate(L5,Trigger)</f>
        <v>42891</v>
      </c>
    </row>
    <row r="6" spans="1:21" ht="11.25" customHeight="1" x14ac:dyDescent="0.2">
      <c r="A6" s="221"/>
      <c r="B6" s="15">
        <v>2</v>
      </c>
      <c r="C6" s="15" t="s">
        <v>115</v>
      </c>
      <c r="D6" s="16" t="s">
        <v>43</v>
      </c>
      <c r="E6" s="17" t="s">
        <v>139</v>
      </c>
      <c r="F6" s="17" t="s">
        <v>140</v>
      </c>
      <c r="G6" s="15" t="s">
        <v>116</v>
      </c>
      <c r="H6" s="18" t="s">
        <v>113</v>
      </c>
      <c r="I6" s="18" t="s">
        <v>11</v>
      </c>
      <c r="J6" s="19">
        <v>0</v>
      </c>
      <c r="K6" s="20" t="str">
        <f t="shared" si="0"/>
        <v>EURAM1E4M_Quote</v>
      </c>
      <c r="L6" s="21" t="str">
        <f>_xll.qlSwapRateHelper2(,$K6,$B6,D6,Calendar,$G6,$H6,$I6,$L$1,$J6,C6,Discounting,,,Permanent,Trigger,ObjectOverwrite)</f>
        <v>obj_0044b#0002</v>
      </c>
      <c r="M6" s="22" t="str">
        <f>_xll.ohRangeRetrieveError(L6)</f>
        <v/>
      </c>
      <c r="N6" s="223"/>
      <c r="O6" s="223"/>
      <c r="P6" s="262" t="str">
        <f>_xll.qlRateHelperQuoteName(L6,Trigger)</f>
        <v>EURAM1E4M_Quote</v>
      </c>
      <c r="Q6" s="252">
        <f>_xll.qlQuoteValue(K6,AllTriggers)</f>
        <v>-3.6700000000000001E-3</v>
      </c>
      <c r="R6" s="263">
        <f>IF(ISBLANK(J6),"--",_xll.qlSwapRateHelperSpread(L6,AllTriggers))</f>
        <v>0</v>
      </c>
      <c r="S6" s="262" t="b">
        <v>1</v>
      </c>
      <c r="T6" s="254">
        <f>_xll.qlRateHelperEarliestDate(L6,Trigger)</f>
        <v>42797</v>
      </c>
      <c r="U6" s="254">
        <f>_xll.qlRateHelperPillarDate(L6,Trigger)</f>
        <v>42919</v>
      </c>
    </row>
    <row r="7" spans="1:21" ht="11.25" customHeight="1" x14ac:dyDescent="0.2">
      <c r="A7" s="221"/>
      <c r="B7" s="15">
        <v>2</v>
      </c>
      <c r="C7" s="15" t="s">
        <v>115</v>
      </c>
      <c r="D7" s="16" t="s">
        <v>44</v>
      </c>
      <c r="E7" s="17" t="s">
        <v>139</v>
      </c>
      <c r="F7" s="17" t="s">
        <v>140</v>
      </c>
      <c r="G7" s="15" t="s">
        <v>116</v>
      </c>
      <c r="H7" s="18" t="s">
        <v>113</v>
      </c>
      <c r="I7" s="18" t="s">
        <v>11</v>
      </c>
      <c r="J7" s="19">
        <v>0</v>
      </c>
      <c r="K7" s="20" t="str">
        <f t="shared" si="0"/>
        <v>EURAM1E5M_Quote</v>
      </c>
      <c r="L7" s="21" t="str">
        <f>_xll.qlSwapRateHelper2(,$K7,$B7,D7,Calendar,$G7,$H7,$I7,$L$1,$J7,C7,Discounting,,,Permanent,Trigger,ObjectOverwrite)</f>
        <v>obj_00449#0002</v>
      </c>
      <c r="M7" s="22" t="str">
        <f>_xll.ohRangeRetrieveError(L7)</f>
        <v/>
      </c>
      <c r="N7" s="223"/>
      <c r="O7" s="223"/>
      <c r="P7" s="262" t="str">
        <f>_xll.qlRateHelperQuoteName(L7,Trigger)</f>
        <v>EURAM1E5M_Quote</v>
      </c>
      <c r="Q7" s="252">
        <f>_xll.qlQuoteValue(K7,AllTriggers)</f>
        <v>-3.6600000000000001E-3</v>
      </c>
      <c r="R7" s="263">
        <f>IF(ISBLANK(J7),"--",_xll.qlSwapRateHelperSpread(L7,AllTriggers))</f>
        <v>0</v>
      </c>
      <c r="S7" s="262" t="b">
        <v>1</v>
      </c>
      <c r="T7" s="254">
        <f>_xll.qlRateHelperEarliestDate(L7,Trigger)</f>
        <v>42797</v>
      </c>
      <c r="U7" s="254">
        <f>_xll.qlRateHelperPillarDate(L7,Trigger)</f>
        <v>42950</v>
      </c>
    </row>
    <row r="8" spans="1:21" ht="11.25" customHeight="1" x14ac:dyDescent="0.2">
      <c r="A8" s="221"/>
      <c r="B8" s="15">
        <v>2</v>
      </c>
      <c r="C8" s="15" t="s">
        <v>115</v>
      </c>
      <c r="D8" s="16" t="s">
        <v>37</v>
      </c>
      <c r="E8" s="17" t="s">
        <v>139</v>
      </c>
      <c r="F8" s="17" t="s">
        <v>140</v>
      </c>
      <c r="G8" s="15" t="s">
        <v>116</v>
      </c>
      <c r="H8" s="18" t="s">
        <v>113</v>
      </c>
      <c r="I8" s="18" t="s">
        <v>11</v>
      </c>
      <c r="J8" s="19">
        <v>0</v>
      </c>
      <c r="K8" s="20" t="str">
        <f t="shared" si="0"/>
        <v>EURAM1E6M_Quote</v>
      </c>
      <c r="L8" s="21" t="str">
        <f>_xll.qlSwapRateHelper2(,$K8,$B8,D8,Calendar,$G8,$H8,$I8,$L$1,$J8,C8,Discounting,,,Permanent,Trigger,ObjectOverwrite)</f>
        <v>obj_0044c#0002</v>
      </c>
      <c r="M8" s="22" t="str">
        <f>_xll.ohRangeRetrieveError(L8)</f>
        <v/>
      </c>
      <c r="N8" s="223"/>
      <c r="O8" s="223"/>
      <c r="P8" s="262" t="str">
        <f>_xll.qlRateHelperQuoteName(L8,Trigger)</f>
        <v>EURAM1E6M_Quote</v>
      </c>
      <c r="Q8" s="252">
        <f>_xll.qlQuoteValue(K8,AllTriggers)</f>
        <v>-3.65E-3</v>
      </c>
      <c r="R8" s="263">
        <f>IF(ISBLANK(J8),"--",_xll.qlSwapRateHelperSpread(L8,AllTriggers))</f>
        <v>0</v>
      </c>
      <c r="S8" s="262" t="b">
        <v>0</v>
      </c>
      <c r="T8" s="254">
        <f>_xll.qlRateHelperEarliestDate(L8,Trigger)</f>
        <v>42797</v>
      </c>
      <c r="U8" s="254">
        <f>_xll.qlRateHelperPillarDate(L8,Trigger)</f>
        <v>42982</v>
      </c>
    </row>
    <row r="9" spans="1:21" ht="11.25" customHeight="1" x14ac:dyDescent="0.2">
      <c r="B9" s="23">
        <v>2</v>
      </c>
      <c r="C9" s="23" t="s">
        <v>115</v>
      </c>
      <c r="D9" s="24" t="s">
        <v>45</v>
      </c>
      <c r="E9" s="25" t="s">
        <v>139</v>
      </c>
      <c r="F9" s="25" t="s">
        <v>140</v>
      </c>
      <c r="G9" s="23" t="s">
        <v>116</v>
      </c>
      <c r="H9" s="26" t="s">
        <v>113</v>
      </c>
      <c r="I9" s="26" t="s">
        <v>11</v>
      </c>
      <c r="J9" s="27">
        <v>0</v>
      </c>
      <c r="K9" s="32" t="str">
        <f t="shared" si="0"/>
        <v>EURAM1E7M_Quote</v>
      </c>
      <c r="L9" s="33" t="str">
        <f>_xll.qlSwapRateHelper2(,$K9,$B9,D9,Calendar,$G9,$H9,$I9,$L$1,$J9,C9,Discounting,,,Permanent,Trigger,ObjectOverwrite)</f>
        <v>obj_0044a#0002</v>
      </c>
      <c r="M9" s="28" t="str">
        <f>_xll.ohRangeRetrieveError(L9)</f>
        <v/>
      </c>
      <c r="P9" s="264" t="str">
        <f>_xll.qlRateHelperQuoteName(L9,Trigger)</f>
        <v>EURAM1E7M_Quote</v>
      </c>
      <c r="Q9" s="257">
        <f>_xll.qlQuoteValue(K9,AllTriggers)</f>
        <v>-3.64E-3</v>
      </c>
      <c r="R9" s="265">
        <f>IF(ISBLANK(J9),"--",_xll.qlSwapRateHelperSpread(L9,AllTriggers))</f>
        <v>0</v>
      </c>
      <c r="S9" s="264" t="b">
        <v>0</v>
      </c>
      <c r="T9" s="259">
        <f>_xll.qlRateHelperEarliestDate(L9,Trigger)</f>
        <v>42797</v>
      </c>
      <c r="U9" s="259">
        <f>_xll.qlRateHelperPillarDate(L9,Trigger)</f>
        <v>43011</v>
      </c>
    </row>
    <row r="10" spans="1:21" x14ac:dyDescent="0.2">
      <c r="E10" s="213"/>
      <c r="F10" s="213"/>
      <c r="L10" s="213"/>
      <c r="M10" s="223"/>
    </row>
    <row r="11" spans="1:21" x14ac:dyDescent="0.2">
      <c r="J11" s="226"/>
      <c r="K11" s="226"/>
      <c r="P11" s="218" t="str">
        <f>K1&amp;" "&amp;PROPER(Currency)&amp;IborType&amp;" Curve"</f>
        <v>1M Euribor Curve</v>
      </c>
      <c r="Q11" s="219"/>
      <c r="R11" s="219"/>
      <c r="S11" s="219"/>
      <c r="T11" s="219"/>
      <c r="U11" s="220" t="s">
        <v>133</v>
      </c>
    </row>
    <row r="12" spans="1:21" ht="11.25" customHeight="1" x14ac:dyDescent="0.2">
      <c r="M12" s="217" t="s">
        <v>114</v>
      </c>
      <c r="P12" s="217" t="s">
        <v>78</v>
      </c>
      <c r="Q12" s="217" t="s">
        <v>79</v>
      </c>
      <c r="R12" s="217" t="s">
        <v>111</v>
      </c>
      <c r="S12" s="217" t="s">
        <v>76</v>
      </c>
      <c r="T12" s="217" t="s">
        <v>77</v>
      </c>
      <c r="U12" s="261">
        <f t="array" ref="U12:U21">_xll.qlPiecewiseYieldCurveData('General Settings'!D31,InterestRatesTrigger)</f>
        <v>1</v>
      </c>
    </row>
    <row r="13" spans="1:21" x14ac:dyDescent="0.2">
      <c r="J13" s="226"/>
      <c r="K13" s="226"/>
      <c r="M13" s="29" t="str">
        <f t="array" ref="M13:M21">_xll.ohFilter(L3:L9,S3:S9)</f>
        <v>obj_00473#0001</v>
      </c>
      <c r="P13" s="251" t="str">
        <f t="array" ref="P13:P21">_xll.ohFilter(P3:P8,S3:S8)</f>
        <v>Euribor1MLastFixing_Quote</v>
      </c>
      <c r="Q13" s="252">
        <f t="array" ref="Q13:Q21">_xll.ohFilter(Q3:Q8,S3:S8)</f>
        <v>-3.7099999999999998E-3</v>
      </c>
      <c r="R13" s="253" t="str">
        <f t="array" ref="R13:R21">_xll.ohFilter(R3:R8,S3:S8)</f>
        <v>--</v>
      </c>
      <c r="S13" s="254">
        <f t="array" ref="S13:S21">_xll.ohFilter(T3:T8,S3:S8)</f>
        <v>42797</v>
      </c>
      <c r="T13" s="254">
        <f t="array" ref="T13:T21">_xll.ohFilter(U3:U8,S3:S8)</f>
        <v>42828</v>
      </c>
      <c r="U13" s="255">
        <v>1.0003195743173396</v>
      </c>
    </row>
    <row r="14" spans="1:21" x14ac:dyDescent="0.2">
      <c r="M14" s="30" t="str">
        <v>obj_00447#0002</v>
      </c>
      <c r="P14" s="251" t="str">
        <v>EURAM1E2M_Quote</v>
      </c>
      <c r="Q14" s="252">
        <v>-3.7099999999999998E-3</v>
      </c>
      <c r="R14" s="253">
        <v>0</v>
      </c>
      <c r="S14" s="254">
        <v>42797</v>
      </c>
      <c r="T14" s="254">
        <v>42858</v>
      </c>
      <c r="U14" s="255">
        <v>1.0006290296911333</v>
      </c>
    </row>
    <row r="15" spans="1:21" x14ac:dyDescent="0.2">
      <c r="J15" s="226"/>
      <c r="K15" s="226"/>
      <c r="M15" s="30" t="str">
        <v>obj_00448#0002</v>
      </c>
      <c r="P15" s="251" t="str">
        <v>EURAM1E3M_Quote</v>
      </c>
      <c r="Q15" s="252">
        <v>-3.6900000000000001E-3</v>
      </c>
      <c r="R15" s="253">
        <v>0</v>
      </c>
      <c r="S15" s="254">
        <v>42797</v>
      </c>
      <c r="T15" s="254">
        <v>42891</v>
      </c>
      <c r="U15" s="255">
        <v>1.0009644178864354</v>
      </c>
    </row>
    <row r="16" spans="1:21" x14ac:dyDescent="0.2">
      <c r="M16" s="30" t="str">
        <v>obj_0044b#0002</v>
      </c>
      <c r="P16" s="251" t="str">
        <v>EURAM1E4M_Quote</v>
      </c>
      <c r="Q16" s="252">
        <v>-3.6700000000000001E-3</v>
      </c>
      <c r="R16" s="253">
        <v>0</v>
      </c>
      <c r="S16" s="254">
        <v>42797</v>
      </c>
      <c r="T16" s="254">
        <v>42919</v>
      </c>
      <c r="U16" s="255">
        <v>1.0012452545478545</v>
      </c>
    </row>
    <row r="17" spans="10:25" x14ac:dyDescent="0.2">
      <c r="J17" s="226"/>
      <c r="K17" s="226"/>
      <c r="M17" s="30" t="str">
        <v>obj_00449#0002</v>
      </c>
      <c r="P17" s="251" t="str">
        <v>EURAM1E5M_Quote</v>
      </c>
      <c r="Q17" s="252">
        <v>-3.6600000000000001E-3</v>
      </c>
      <c r="R17" s="253">
        <v>0</v>
      </c>
      <c r="S17" s="254">
        <v>42797</v>
      </c>
      <c r="T17" s="254">
        <v>42950</v>
      </c>
      <c r="U17" s="255">
        <v>1.0015578963066984</v>
      </c>
    </row>
    <row r="18" spans="10:25" x14ac:dyDescent="0.2">
      <c r="M18" s="30" t="e">
        <v>#N/A</v>
      </c>
      <c r="P18" s="251" t="e">
        <v>#N/A</v>
      </c>
      <c r="Q18" s="252" t="e">
        <v>#N/A</v>
      </c>
      <c r="R18" s="253" t="e">
        <v>#N/A</v>
      </c>
      <c r="S18" s="254" t="e">
        <v>#N/A</v>
      </c>
      <c r="T18" s="254" t="e">
        <v>#N/A</v>
      </c>
      <c r="U18" s="255" t="e">
        <v>#N/A</v>
      </c>
    </row>
    <row r="19" spans="10:25" x14ac:dyDescent="0.2">
      <c r="J19" s="226"/>
      <c r="K19" s="226"/>
      <c r="M19" s="30" t="e">
        <v>#N/A</v>
      </c>
      <c r="P19" s="251" t="e">
        <v>#N/A</v>
      </c>
      <c r="Q19" s="252" t="e">
        <v>#N/A</v>
      </c>
      <c r="R19" s="253" t="e">
        <v>#N/A</v>
      </c>
      <c r="S19" s="254" t="e">
        <v>#N/A</v>
      </c>
      <c r="T19" s="254" t="e">
        <v>#N/A</v>
      </c>
      <c r="U19" s="255" t="e">
        <v>#N/A</v>
      </c>
    </row>
    <row r="20" spans="10:25" x14ac:dyDescent="0.2">
      <c r="M20" s="30" t="e">
        <v>#N/A</v>
      </c>
      <c r="P20" s="251" t="e">
        <v>#N/A</v>
      </c>
      <c r="Q20" s="252" t="e">
        <v>#N/A</v>
      </c>
      <c r="R20" s="253" t="e">
        <v>#N/A</v>
      </c>
      <c r="S20" s="254" t="e">
        <v>#N/A</v>
      </c>
      <c r="T20" s="254" t="e">
        <v>#N/A</v>
      </c>
      <c r="U20" s="255" t="e">
        <v>#N/A</v>
      </c>
    </row>
    <row r="21" spans="10:25" x14ac:dyDescent="0.2">
      <c r="J21" s="226"/>
      <c r="K21" s="226"/>
      <c r="M21" s="31" t="e">
        <v>#N/A</v>
      </c>
      <c r="P21" s="256" t="e">
        <v>#N/A</v>
      </c>
      <c r="Q21" s="257" t="e">
        <v>#N/A</v>
      </c>
      <c r="R21" s="258" t="e">
        <v>#N/A</v>
      </c>
      <c r="S21" s="259" t="e">
        <v>#N/A</v>
      </c>
      <c r="T21" s="259" t="e">
        <v>#N/A</v>
      </c>
      <c r="U21" s="260" t="e">
        <v>#N/A</v>
      </c>
    </row>
    <row r="22" spans="10:25" x14ac:dyDescent="0.2">
      <c r="M22" s="228"/>
    </row>
    <row r="23" spans="10:25" x14ac:dyDescent="0.2">
      <c r="J23" s="226"/>
      <c r="K23" s="226"/>
    </row>
    <row r="24" spans="10:25" x14ac:dyDescent="0.2">
      <c r="P24" s="218" t="str">
        <f>"Delta "&amp;K1</f>
        <v>Delta 1M</v>
      </c>
      <c r="Q24" s="219"/>
      <c r="R24" s="219"/>
      <c r="S24" s="219"/>
      <c r="T24" s="219"/>
      <c r="U24" s="220"/>
    </row>
    <row r="25" spans="10:25" x14ac:dyDescent="0.2">
      <c r="J25" s="226"/>
      <c r="K25" s="226"/>
      <c r="P25" s="87" t="str">
        <f>K1&amp;" Instruments"</f>
        <v>1M Instruments</v>
      </c>
      <c r="Q25" s="87" t="s">
        <v>100</v>
      </c>
      <c r="R25" s="87" t="s">
        <v>101</v>
      </c>
      <c r="S25" s="87" t="s">
        <v>119</v>
      </c>
      <c r="T25" s="87" t="str">
        <f>"F "&amp;K1</f>
        <v>F 1M</v>
      </c>
      <c r="U25" s="87" t="s">
        <v>122</v>
      </c>
      <c r="V25" s="87" t="s">
        <v>120</v>
      </c>
      <c r="W25" s="87" t="s">
        <v>121</v>
      </c>
      <c r="X25" s="87" t="s">
        <v>123</v>
      </c>
      <c r="Y25" s="87" t="s">
        <v>132</v>
      </c>
    </row>
    <row r="26" spans="10:25" x14ac:dyDescent="0.2">
      <c r="N26" s="213">
        <v>0</v>
      </c>
      <c r="O26" s="213">
        <f>N26+SUBSTITUTE($K$1,"M","")</f>
        <v>1</v>
      </c>
      <c r="P26" s="266" t="str">
        <f>N26&amp;"x"&amp;O26</f>
        <v>0x1</v>
      </c>
      <c r="Q26" s="267">
        <f>SettlementDate</f>
        <v>42797</v>
      </c>
      <c r="R26" s="267">
        <f>_xll.qlInterestRateIndexMaturity(iborindex1M,Q26,Trigger)</f>
        <v>42828</v>
      </c>
      <c r="S26" s="100">
        <f>_xll.qlDayCounterYearFraction(DayCounter,Q26,R26,,,Trigger)</f>
        <v>8.611111111111111E-2</v>
      </c>
      <c r="T26" s="112">
        <f>_xll.qlIndexFixing(iborindex1M,_xll.qlInterestRateIndexFixingDate(iborindex1M,Q26,Trigger),TRUE,AllTriggers)</f>
        <v>-3.710000000000711E-3</v>
      </c>
      <c r="U26" s="112">
        <f>(V26/W26-1)/S26</f>
        <v>-3.5299999999987581E-3</v>
      </c>
      <c r="V26" s="115">
        <f>_xll.qlYieldTSDiscount(Discounting,Q26,,AllTriggers)</f>
        <v>1.000020555872458</v>
      </c>
      <c r="W26" s="115">
        <f>_xll.qlYieldTSDiscount(Discounting,R26,,AllTriggers)</f>
        <v>1.0003246267722015</v>
      </c>
      <c r="X26" s="268">
        <f>LN((1+T26*S26)/(1+U26*S26))</f>
        <v>-1.5504833201572935E-5</v>
      </c>
      <c r="Y26" s="112">
        <f>T26-U26</f>
        <v>-1.800000000019529E-4</v>
      </c>
    </row>
    <row r="27" spans="10:25" x14ac:dyDescent="0.2">
      <c r="J27" s="226"/>
      <c r="K27" s="226"/>
      <c r="N27" s="213">
        <v>1</v>
      </c>
      <c r="O27" s="213">
        <f t="shared" ref="O27:O29" si="1">N27+SUBSTITUTE($K$1,"M","")</f>
        <v>2</v>
      </c>
      <c r="P27" s="266" t="str">
        <f t="shared" ref="P27:P29" si="2">N27&amp;"x"&amp;O27</f>
        <v>1x2</v>
      </c>
      <c r="Q27" s="267">
        <f>R26</f>
        <v>42828</v>
      </c>
      <c r="R27" s="267">
        <f>_xll.qlInterestRateIndexMaturity(iborindex1M,Q27,Trigger)</f>
        <v>42858</v>
      </c>
      <c r="S27" s="100">
        <f>_xll.qlDayCounterYearFraction(DayCounter,Q27,R27,,,Trigger)</f>
        <v>8.3333333333333329E-2</v>
      </c>
      <c r="T27" s="112">
        <f>_xll.qlIndexFixing(iborindex1M,_xll.qlInterestRateIndexFixingDate(iborindex1M,Q27,Trigger),TRUE,AllTriggers)</f>
        <v>-3.7111300745196196E-3</v>
      </c>
      <c r="U27" s="112">
        <f>(V27/W27-1)/S27</f>
        <v>-3.5373169626828904E-3</v>
      </c>
      <c r="V27" s="115">
        <f>_xll.qlYieldTSDiscount(Discounting,Q27,,AllTriggers)</f>
        <v>1.0003246267722015</v>
      </c>
      <c r="W27" s="115">
        <f>_xll.qlYieldTSDiscount(Discounting,R27,,AllTriggers)</f>
        <v>1.0006195858250457</v>
      </c>
      <c r="X27" s="268">
        <f>LN((1+T27*S27)/(1+U27*S27))</f>
        <v>-1.4488801874745338E-5</v>
      </c>
      <c r="Y27" s="112">
        <f t="shared" ref="Y27:Y29" si="3">T27-U27</f>
        <v>-1.7381311183672921E-4</v>
      </c>
    </row>
    <row r="28" spans="10:25" x14ac:dyDescent="0.2">
      <c r="N28" s="213">
        <v>2</v>
      </c>
      <c r="O28" s="213">
        <f t="shared" si="1"/>
        <v>3</v>
      </c>
      <c r="P28" s="266" t="str">
        <f t="shared" si="2"/>
        <v>2x3</v>
      </c>
      <c r="Q28" s="267">
        <f>R27</f>
        <v>42858</v>
      </c>
      <c r="R28" s="267">
        <f>_xll.qlInterestRateIndexMaturity(iborindex1M,Q28,Trigger)</f>
        <v>42891</v>
      </c>
      <c r="S28" s="100">
        <f>_xll.qlDayCounterYearFraction(DayCounter,Q28,R28,,,Trigger)</f>
        <v>9.166666666666666E-2</v>
      </c>
      <c r="T28" s="112">
        <f>_xll.qlIndexFixing(iborindex1M,_xll.qlInterestRateIndexFixingDate(iborindex1M,Q28,Trigger),TRUE,AllTriggers)</f>
        <v>-3.65525511897058E-3</v>
      </c>
      <c r="U28" s="112">
        <f>(V28/W28-1)/S28</f>
        <v>-3.539103441207397E-3</v>
      </c>
      <c r="V28" s="115">
        <f>_xll.qlYieldTSDiscount(Discounting,Q28,,AllTriggers)</f>
        <v>1.0006195858250457</v>
      </c>
      <c r="W28" s="115">
        <f>_xll.qlYieldTSDiscount(Discounting,R28,,AllTriggers)</f>
        <v>1.0009443099914743</v>
      </c>
      <c r="X28" s="268">
        <f>LN((1+T28*S28)/(1+U28*S28))</f>
        <v>-1.0650749121718735E-5</v>
      </c>
      <c r="Y28" s="112">
        <f t="shared" si="3"/>
        <v>-1.1615167776318292E-4</v>
      </c>
    </row>
    <row r="29" spans="10:25" x14ac:dyDescent="0.2">
      <c r="J29" s="226"/>
      <c r="K29" s="226"/>
      <c r="N29" s="213">
        <v>3</v>
      </c>
      <c r="O29" s="213">
        <f t="shared" si="1"/>
        <v>4</v>
      </c>
      <c r="P29" s="269" t="str">
        <f t="shared" si="2"/>
        <v>3x4</v>
      </c>
      <c r="Q29" s="270">
        <f>R28</f>
        <v>42891</v>
      </c>
      <c r="R29" s="270">
        <f>_xll.qlInterestRateIndexMaturity(iborindex1M,Q29,Trigger)</f>
        <v>42921</v>
      </c>
      <c r="S29" s="105">
        <f>_xll.qlDayCounterYearFraction(DayCounter,Q29,R29,,,Trigger)</f>
        <v>8.3333333333333329E-2</v>
      </c>
      <c r="T29" s="121">
        <f>_xll.qlIndexFixing(iborindex1M,_xll.qlInterestRateIndexFixingDate(iborindex1M,Q29,Trigger),TRUE,AllTriggers)</f>
        <v>-3.60748483436657E-3</v>
      </c>
      <c r="U29" s="121">
        <f>(V29/W29-1)/S29</f>
        <v>-3.5376578913921541E-3</v>
      </c>
      <c r="V29" s="119">
        <f>_xll.qlYieldTSDiscount(Discounting,Q29,,AllTriggers)</f>
        <v>1.0009443099914743</v>
      </c>
      <c r="W29" s="119">
        <f>_xll.qlYieldTSDiscount(Discounting,R29,,AllTriggers)</f>
        <v>1.0012394802205056</v>
      </c>
      <c r="X29" s="271">
        <f>LN((1+T29*S29)/(1+U29*S29))</f>
        <v>-5.8206448036152913E-6</v>
      </c>
      <c r="Y29" s="121">
        <f t="shared" si="3"/>
        <v>-6.9826942974415829E-5</v>
      </c>
    </row>
    <row r="31" spans="10:25" x14ac:dyDescent="0.2">
      <c r="J31" s="226"/>
      <c r="K31" s="226"/>
    </row>
    <row r="33" spans="10:11" x14ac:dyDescent="0.2">
      <c r="J33" s="226"/>
      <c r="K33" s="226"/>
    </row>
    <row r="35" spans="10:11" x14ac:dyDescent="0.2">
      <c r="J35" s="226"/>
      <c r="K35" s="226"/>
    </row>
    <row r="37" spans="10:11" x14ac:dyDescent="0.2">
      <c r="J37" s="226"/>
      <c r="K37" s="22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3541"/>
  <sheetViews>
    <sheetView showGridLines="0" topLeftCell="A2" workbookViewId="0">
      <selection activeCell="D2" sqref="D2"/>
    </sheetView>
  </sheetViews>
  <sheetFormatPr defaultColWidth="9.33203125" defaultRowHeight="11.25" outlineLevelRow="1" outlineLevelCol="1" x14ac:dyDescent="0.2"/>
  <cols>
    <col min="1" max="1" width="3.1640625" style="60" customWidth="1"/>
    <col min="2" max="2" width="2.33203125" style="60" customWidth="1"/>
    <col min="3" max="3" width="3.1640625" style="60" customWidth="1"/>
    <col min="4" max="4" width="30.83203125" style="60" customWidth="1"/>
    <col min="5" max="5" width="20.1640625" style="60" bestFit="1" customWidth="1"/>
    <col min="6" max="6" width="11.6640625" style="60" bestFit="1" customWidth="1"/>
    <col min="7" max="7" width="20.1640625" style="60" bestFit="1" customWidth="1"/>
    <col min="8" max="8" width="8.1640625" style="60" bestFit="1" customWidth="1"/>
    <col min="9" max="9" width="11.6640625" style="60" bestFit="1" customWidth="1"/>
    <col min="10" max="11" width="14.1640625" style="60" hidden="1" customWidth="1" outlineLevel="1"/>
    <col min="12" max="12" width="10.5" style="60" bestFit="1" customWidth="1" collapsed="1"/>
    <col min="13" max="13" width="10.5" style="60" bestFit="1" customWidth="1"/>
    <col min="14" max="15" width="10.33203125" style="60" customWidth="1"/>
    <col min="16" max="16" width="12.33203125" style="60" customWidth="1"/>
    <col min="17" max="17" width="9.33203125" style="60" bestFit="1" customWidth="1"/>
    <col min="18" max="18" width="9.33203125" style="60" customWidth="1"/>
    <col min="19" max="19" width="13.6640625" style="60" customWidth="1"/>
    <col min="20" max="20" width="12.6640625" style="60" customWidth="1"/>
    <col min="21" max="21" width="4" style="60" customWidth="1"/>
    <col min="22" max="22" width="20.1640625" style="60" bestFit="1" customWidth="1"/>
    <col min="23" max="23" width="10.5" style="60" bestFit="1" customWidth="1"/>
    <col min="24" max="24" width="9.33203125" style="60" bestFit="1" customWidth="1"/>
    <col min="25" max="25" width="12.83203125" style="60" bestFit="1" customWidth="1"/>
    <col min="26" max="26" width="3.83203125" style="60" customWidth="1"/>
    <col min="27" max="27" width="12.83203125" style="60" customWidth="1"/>
    <col min="28" max="28" width="12.6640625" style="60" customWidth="1"/>
    <col min="29" max="31" width="17.83203125" style="60" bestFit="1" customWidth="1"/>
    <col min="32" max="32" width="14.33203125" style="60" customWidth="1"/>
    <col min="33" max="16384" width="9.33203125" style="60"/>
  </cols>
  <sheetData>
    <row r="1" spans="1:32" hidden="1" outlineLevel="1" x14ac:dyDescent="0.2">
      <c r="E1" s="234" t="s">
        <v>99</v>
      </c>
      <c r="F1" s="234"/>
      <c r="G1" s="250" t="s">
        <v>36</v>
      </c>
      <c r="P1" s="232" t="str">
        <f>_xll.qlInterpolation(,interpolator3M,_xll.ohFilter(E3:E24,N3:N24),_xll.ohFilter(M3:M24,N3:N24))</f>
        <v>obj_005bb#0001</v>
      </c>
    </row>
    <row r="2" spans="1:32" ht="26.45" customHeight="1" collapsed="1" x14ac:dyDescent="0.2">
      <c r="D2" s="87" t="str">
        <f>G1&amp;" Instruments"</f>
        <v>3M Instruments</v>
      </c>
      <c r="E2" s="87" t="s">
        <v>100</v>
      </c>
      <c r="F2" s="87" t="s">
        <v>151</v>
      </c>
      <c r="G2" s="87" t="s">
        <v>101</v>
      </c>
      <c r="H2" s="87" t="s">
        <v>119</v>
      </c>
      <c r="I2" s="87" t="str">
        <f>G1&amp;" Market quote"</f>
        <v>3M Market quote</v>
      </c>
      <c r="J2" s="87" t="s">
        <v>120</v>
      </c>
      <c r="K2" s="87" t="s">
        <v>121</v>
      </c>
      <c r="L2" s="87" t="s">
        <v>122</v>
      </c>
      <c r="M2" s="87" t="s">
        <v>132</v>
      </c>
      <c r="N2" s="87" t="s">
        <v>78</v>
      </c>
      <c r="O2" s="87" t="s">
        <v>159</v>
      </c>
      <c r="P2" s="87" t="s">
        <v>126</v>
      </c>
      <c r="Q2" s="87" t="s">
        <v>135</v>
      </c>
      <c r="R2" s="87" t="s">
        <v>123</v>
      </c>
      <c r="S2" s="87" t="s">
        <v>157</v>
      </c>
      <c r="T2" s="87" t="s">
        <v>158</v>
      </c>
      <c r="V2" s="87" t="s">
        <v>100</v>
      </c>
      <c r="W2" s="87" t="s">
        <v>151</v>
      </c>
      <c r="X2" s="87" t="s">
        <v>126</v>
      </c>
      <c r="Y2" s="87" t="s">
        <v>152</v>
      </c>
      <c r="AA2" s="87" t="s">
        <v>145</v>
      </c>
      <c r="AB2" s="87" t="s">
        <v>146</v>
      </c>
      <c r="AC2" s="87" t="s">
        <v>148</v>
      </c>
      <c r="AD2" s="87" t="s">
        <v>147</v>
      </c>
      <c r="AE2" s="87" t="s">
        <v>149</v>
      </c>
      <c r="AF2" s="87" t="s">
        <v>150</v>
      </c>
    </row>
    <row r="3" spans="1:32" ht="11.25" customHeight="1" x14ac:dyDescent="0.2">
      <c r="D3" s="244" t="str">
        <f>PROPER(Currency&amp;IborType)&amp;G1&amp;"LastFixing"&amp;QuoteSuffix</f>
        <v>Euribor3MLastFixing_Quote</v>
      </c>
      <c r="E3" s="245">
        <f>SettlementDate</f>
        <v>42797</v>
      </c>
      <c r="F3" s="327">
        <f t="shared" ref="F3:F24" si="0">($E3-EvaluationDate)/365</f>
        <v>5.4794520547945206E-3</v>
      </c>
      <c r="G3" s="245">
        <f>_xll.qlCalendarAdvance(Calendar,E3,G1,"mf",,Trigger)</f>
        <v>42891</v>
      </c>
      <c r="H3" s="95">
        <f>_xll.qlDayCounterYearFraction(DayCounter,E3,G3,,,Trigger)</f>
        <v>0.26111111111111113</v>
      </c>
      <c r="I3" s="246">
        <f>_xll.qlQuoteValue(D3,LastFixingsTrigger)</f>
        <v>-3.3E-3</v>
      </c>
      <c r="J3" s="247">
        <f>_xll.qlYieldTSDiscount(Discounting,E3,,AllTriggers)</f>
        <v>1.000020555872458</v>
      </c>
      <c r="K3" s="247">
        <f>_xll.qlYieldTSDiscount(Discounting,G3,,AllTriggers)</f>
        <v>1.0009443099914743</v>
      </c>
      <c r="L3" s="246">
        <f t="shared" ref="L3:L17" si="1">(J3/K3-1)/H3</f>
        <v>-3.534444121504751E-3</v>
      </c>
      <c r="M3" s="246">
        <f>I3-L3</f>
        <v>2.3444412150475102E-4</v>
      </c>
      <c r="N3" s="233" t="b">
        <v>0</v>
      </c>
      <c r="O3" s="233" t="b">
        <v>1</v>
      </c>
      <c r="P3" s="239">
        <f>_xll.qlInterpolationInterpolate(B3Minterpolation,E3,TRUE,Trigger)</f>
        <v>2.0730834858684902E-4</v>
      </c>
      <c r="Q3" s="240">
        <f>(M3-P3)*10000</f>
        <v>0.27135772917902007</v>
      </c>
      <c r="R3" s="241">
        <f>LN((1+I3*H3)/(1+L3*H3))</f>
        <v>6.1270635313468976E-5</v>
      </c>
      <c r="S3" s="239">
        <f>_xll.qlInterpolationInterpolate(AbcdInterpolation3M,F3,TRUE,Trigger)</f>
        <v>1.9011542810499262E-4</v>
      </c>
      <c r="T3" s="240">
        <f>(M3-S3)*10000</f>
        <v>0.44328693399758401</v>
      </c>
      <c r="V3" s="109">
        <f>E3</f>
        <v>42797</v>
      </c>
      <c r="W3" s="110">
        <f t="shared" ref="W3:W66" si="2">($V3-EvaluationDate)/365</f>
        <v>5.4794520547945206E-3</v>
      </c>
      <c r="X3" s="125">
        <f>_xll.qlInterpolationInterpolate(B3Minterpolation,V3,TRUE)</f>
        <v>2.0730834858684902E-4</v>
      </c>
      <c r="Y3" s="125">
        <f>_xll.qlInterpolationInterpolate(AbcdInterpolation3M,$W3,TRUE)</f>
        <v>1.9011542810499262E-4</v>
      </c>
      <c r="AA3" s="331" t="s">
        <v>141</v>
      </c>
      <c r="AB3" s="336">
        <f>M3-M15</f>
        <v>-6.128029423961086E-4</v>
      </c>
      <c r="AC3" s="340" t="str">
        <f>_xll.qlLevenbergMarquardt("Levenberg",0.00000001,0.00000001,0.00000001,,Trigger)</f>
        <v>Levenberg#0002</v>
      </c>
      <c r="AD3" s="343" t="str">
        <f>_xll.qlEndCriteria(,1000,100,0.00000001,0.00003,0.00003,,Trigger)</f>
        <v>obj_00444#0002</v>
      </c>
      <c r="AE3" s="344" t="str">
        <f>_xll.qlAbcdInterpolation(,_xll.ohFilter($F$3:$F$24,$O$3:$O$24),_xll.ohFilter($M$3:$M$24,$O$3:$O$24),$AB$3,$AB$4,$AB$5,$AB$6,,,,,FALSE,EndCriteria,LevenbergMarquardt,,Trigger)</f>
        <v>obj_005bf#0001</v>
      </c>
      <c r="AF3" s="336">
        <f>_xll.qlAbcdInterpolationA(AbcdInterpolation3M,Trigger)</f>
        <v>1.828353354698154E-4</v>
      </c>
    </row>
    <row r="4" spans="1:32" ht="11.25" customHeight="1" x14ac:dyDescent="0.2">
      <c r="A4" s="60">
        <v>1</v>
      </c>
      <c r="B4" s="60" t="s">
        <v>32</v>
      </c>
      <c r="C4" s="60">
        <f>A4+SUBSTITUTE($G$1,"M","")</f>
        <v>4</v>
      </c>
      <c r="D4" s="248" t="str">
        <f t="shared" ref="D4:D15" si="3">Currency&amp;A4&amp;B4&amp;C4&amp;"F"&amp;QuoteSuffix</f>
        <v>EUR1x4F_Quote</v>
      </c>
      <c r="E4" s="114">
        <f>_xll.qlCalendarAdvance("target",$E$3,A4&amp;"M","mf",,Trigger)</f>
        <v>42828</v>
      </c>
      <c r="F4" s="328">
        <f t="shared" si="0"/>
        <v>9.0410958904109592E-2</v>
      </c>
      <c r="G4" s="114">
        <f>_xll.qlCalendarAdvance(Calendar,E4,$G$1,"mf",,Trigger)</f>
        <v>42919</v>
      </c>
      <c r="H4" s="100">
        <f>_xll.qlDayCounterYearFraction(DayCounter,E4,G4,,,Trigger)</f>
        <v>0.25277777777777777</v>
      </c>
      <c r="I4" s="112">
        <f>_xll.qlQuoteValue(D4,AllTriggers)</f>
        <v>-3.2600000000000003E-3</v>
      </c>
      <c r="J4" s="115">
        <f>_xll.qlYieldTSDiscount(Discounting,E4,,AllTriggers)</f>
        <v>1.0003246267722015</v>
      </c>
      <c r="K4" s="115">
        <f>_xll.qlYieldTSDiscount(Discounting,G4,,AllTriggers)</f>
        <v>1.0012198517777355</v>
      </c>
      <c r="L4" s="112">
        <f t="shared" si="1"/>
        <v>-3.5372345705631703E-3</v>
      </c>
      <c r="M4" s="112">
        <f t="shared" ref="M4:M24" si="4">I4-L4</f>
        <v>2.7723457056316996E-4</v>
      </c>
      <c r="N4" s="50" t="b">
        <v>1</v>
      </c>
      <c r="O4" s="50" t="b">
        <v>1</v>
      </c>
      <c r="P4" s="112">
        <f>_xll.qlInterpolationInterpolate(B3Minterpolation,E4,TRUE,Trigger)</f>
        <v>2.7723457056316996E-4</v>
      </c>
      <c r="Q4" s="242">
        <f t="shared" ref="Q4:Q24" si="5">(M4-P4)*10000</f>
        <v>0</v>
      </c>
      <c r="R4" s="236">
        <f t="shared" ref="R4:R24" si="6">LN((1+I4*H4)/(1+L4*H4))</f>
        <v>7.0138994753286414E-5</v>
      </c>
      <c r="S4" s="112">
        <f>_xll.qlInterpolationInterpolate(AbcdInterpolation3M,F4,TRUE,Trigger)</f>
        <v>3.0141451155949833E-4</v>
      </c>
      <c r="T4" s="242">
        <f t="shared" ref="T4:T24" si="7">(M4-S4)*10000</f>
        <v>-0.2417994099632837</v>
      </c>
      <c r="V4" s="114">
        <f>_xll.qlCalendarAdvance(Calendar,V3,"1D","f")</f>
        <v>42800</v>
      </c>
      <c r="W4" s="100">
        <f t="shared" si="2"/>
        <v>1.3698630136986301E-2</v>
      </c>
      <c r="X4" s="112">
        <f>_xll.qlInterpolationInterpolate(B3Minterpolation,V4,TRUE)</f>
        <v>2.1775189617232011E-4</v>
      </c>
      <c r="Y4" s="112">
        <f>_xll.qlInterpolationInterpolate(AbcdInterpolation3M,$W4,TRUE)</f>
        <v>2.0107253715345673E-4</v>
      </c>
      <c r="AA4" s="331" t="s">
        <v>142</v>
      </c>
      <c r="AB4" s="337">
        <v>5.0000000000000001E-4</v>
      </c>
      <c r="AC4" s="340" t="str">
        <f>_xll.qlSimplex("Simplex",0.0001,,Trigger)</f>
        <v>Simplex#0002</v>
      </c>
      <c r="AD4" s="334"/>
      <c r="AE4" s="326"/>
      <c r="AF4" s="342">
        <f>_xll.qlAbcdInterpolationB(AbcdInterpolation3M,Trigger)</f>
        <v>2.8478660116228564E-3</v>
      </c>
    </row>
    <row r="5" spans="1:32" ht="11.25" customHeight="1" x14ac:dyDescent="0.2">
      <c r="A5" s="60">
        <v>2</v>
      </c>
      <c r="B5" s="60" t="s">
        <v>32</v>
      </c>
      <c r="C5" s="60">
        <f t="shared" ref="C5:C15" si="8">A5+SUBSTITUTE($G$1,"M","")</f>
        <v>5</v>
      </c>
      <c r="D5" s="248" t="str">
        <f t="shared" si="3"/>
        <v>EUR2x5F_Quote</v>
      </c>
      <c r="E5" s="114">
        <f>_xll.qlCalendarAdvance("target",$E$3,A5&amp;"M","mf",,Trigger)</f>
        <v>42858</v>
      </c>
      <c r="F5" s="328">
        <f t="shared" si="0"/>
        <v>0.17260273972602741</v>
      </c>
      <c r="G5" s="114">
        <f>_xll.qlCalendarAdvance(Calendar,E5,$G$1,"mf",,Trigger)</f>
        <v>42950</v>
      </c>
      <c r="H5" s="100">
        <f>_xll.qlDayCounterYearFraction(DayCounter,E5,G5,,,Trigger)</f>
        <v>0.25555555555555554</v>
      </c>
      <c r="I5" s="112">
        <f>_xll.qlQuoteValue(D5,AllTriggers)</f>
        <v>-3.1900000000000001E-3</v>
      </c>
      <c r="J5" s="115">
        <f>_xll.qlYieldTSDiscount(Discounting,E5,,AllTriggers)</f>
        <v>1.0006195858250457</v>
      </c>
      <c r="K5" s="115">
        <f>_xll.qlYieldTSDiscount(Discounting,G5,,AllTriggers)</f>
        <v>1.0015239797167339</v>
      </c>
      <c r="L5" s="112">
        <f t="shared" ref="L5:L15" si="9">(J5/K5-1)/H5</f>
        <v>-3.5335475648325186E-3</v>
      </c>
      <c r="M5" s="112">
        <f t="shared" ref="M5:M15" si="10">I5-L5</f>
        <v>3.4354756483251847E-4</v>
      </c>
      <c r="N5" s="50" t="b">
        <v>1</v>
      </c>
      <c r="O5" s="50" t="b">
        <v>1</v>
      </c>
      <c r="P5" s="112">
        <f>_xll.qlInterpolationInterpolate(B3Minterpolation,E5,TRUE,Trigger)</f>
        <v>3.4354756483251847E-4</v>
      </c>
      <c r="Q5" s="242">
        <f t="shared" ref="Q5:Q15" si="11">(M5-P5)*10000</f>
        <v>0</v>
      </c>
      <c r="R5" s="236">
        <f t="shared" ref="R5:R15" si="12">LN((1+I5*H5)/(1+L5*H5))</f>
        <v>8.78709805609665E-5</v>
      </c>
      <c r="S5" s="112">
        <f>_xll.qlInterpolationInterpolate(AbcdInterpolation3M,F5,TRUE,Trigger)</f>
        <v>3.9919739965736716E-4</v>
      </c>
      <c r="T5" s="242">
        <f t="shared" si="7"/>
        <v>-0.55649834824848687</v>
      </c>
      <c r="V5" s="114">
        <f>_xll.qlCalendarAdvance(Calendar,V4,"1D","f")</f>
        <v>42801</v>
      </c>
      <c r="W5" s="100">
        <f t="shared" si="2"/>
        <v>1.643835616438356E-2</v>
      </c>
      <c r="X5" s="112">
        <f>_xll.qlInterpolationInterpolate(B3Minterpolation,V5,TRUE)</f>
        <v>2.2097789026599113E-4</v>
      </c>
      <c r="Y5" s="112">
        <f>_xll.qlInterpolationInterpolate(AbcdInterpolation3M,$W5,TRUE)</f>
        <v>2.0473012103152063E-4</v>
      </c>
      <c r="AA5" s="331" t="s">
        <v>143</v>
      </c>
      <c r="AB5" s="338">
        <v>1.25</v>
      </c>
      <c r="AC5" s="340"/>
      <c r="AD5" s="334"/>
      <c r="AE5" s="326"/>
      <c r="AF5" s="338">
        <f>_xll.qlAbcdInterpolationC(AbcdInterpolation3M,Trigger)</f>
        <v>1.0792859943676909</v>
      </c>
    </row>
    <row r="6" spans="1:32" ht="11.25" customHeight="1" x14ac:dyDescent="0.2">
      <c r="A6" s="60">
        <v>3</v>
      </c>
      <c r="B6" s="60" t="s">
        <v>32</v>
      </c>
      <c r="C6" s="60">
        <f t="shared" si="8"/>
        <v>6</v>
      </c>
      <c r="D6" s="248" t="str">
        <f t="shared" si="3"/>
        <v>EUR3x6F_Quote</v>
      </c>
      <c r="E6" s="114">
        <f>_xll.qlCalendarAdvance("target",$E$3,A6&amp;"M","mf",,Trigger)</f>
        <v>42891</v>
      </c>
      <c r="F6" s="328">
        <f t="shared" si="0"/>
        <v>0.26301369863013696</v>
      </c>
      <c r="G6" s="114">
        <f>_xll.qlCalendarAdvance(Calendar,E6,$G$1,"mf",,Trigger)</f>
        <v>42983</v>
      </c>
      <c r="H6" s="100">
        <f>_xll.qlDayCounterYearFraction(DayCounter,E6,G6,,,Trigger)</f>
        <v>0.25555555555555554</v>
      </c>
      <c r="I6" s="112">
        <f>_xll.qlQuoteValue(D6,AllTriggers)</f>
        <v>-3.0400000000000006E-3</v>
      </c>
      <c r="J6" s="115">
        <f>_xll.qlYieldTSDiscount(Discounting,E6,,AllTriggers)</f>
        <v>1.0009443099914743</v>
      </c>
      <c r="K6" s="115">
        <f>_xll.qlYieldTSDiscount(Discounting,G6,,AllTriggers)</f>
        <v>1.0018483328565735</v>
      </c>
      <c r="L6" s="112">
        <f t="shared" si="9"/>
        <v>-3.5309543974469128E-3</v>
      </c>
      <c r="M6" s="112">
        <f t="shared" si="10"/>
        <v>4.9095439744691223E-4</v>
      </c>
      <c r="N6" s="50" t="b">
        <v>1</v>
      </c>
      <c r="O6" s="50" t="b">
        <v>1</v>
      </c>
      <c r="P6" s="112">
        <f>_xll.qlInterpolationInterpolate(B3Minterpolation,E6,TRUE,Trigger)</f>
        <v>4.9095439744691223E-4</v>
      </c>
      <c r="Q6" s="242">
        <f t="shared" si="11"/>
        <v>0</v>
      </c>
      <c r="R6" s="236">
        <f t="shared" si="12"/>
        <v>1.255715565920477E-4</v>
      </c>
      <c r="S6" s="112">
        <f>_xll.qlInterpolationInterpolate(AbcdInterpolation3M,F6,TRUE,Trigger)</f>
        <v>4.9305070933914935E-4</v>
      </c>
      <c r="T6" s="242">
        <f t="shared" si="7"/>
        <v>-2.0963118922371227E-2</v>
      </c>
      <c r="V6" s="114">
        <f>_xll.qlCalendarAdvance(Calendar,V5,"1D","f")</f>
        <v>42802</v>
      </c>
      <c r="W6" s="100">
        <f t="shared" si="2"/>
        <v>1.9178082191780823E-2</v>
      </c>
      <c r="X6" s="112">
        <f>_xll.qlInterpolationInterpolate(B3Minterpolation,V6,TRUE)</f>
        <v>2.2408370841070659E-4</v>
      </c>
      <c r="Y6" s="112">
        <f>_xll.qlInterpolationInterpolate(AbcdInterpolation3M,$W6,TRUE)</f>
        <v>2.0838830702670169E-4</v>
      </c>
      <c r="AA6" s="332" t="s">
        <v>144</v>
      </c>
      <c r="AB6" s="339">
        <f>M15</f>
        <v>8.4724706390085962E-4</v>
      </c>
      <c r="AC6" s="341"/>
      <c r="AD6" s="335"/>
      <c r="AE6" s="333"/>
      <c r="AF6" s="339">
        <f>_xll.qlAbcdInterpolationD(AbcdInterpolation3M,Trigger)</f>
        <v>2.3133797142925577E-9</v>
      </c>
    </row>
    <row r="7" spans="1:32" ht="11.25" customHeight="1" x14ac:dyDescent="0.2">
      <c r="A7" s="60">
        <v>4</v>
      </c>
      <c r="B7" s="60" t="s">
        <v>32</v>
      </c>
      <c r="C7" s="60">
        <f t="shared" si="8"/>
        <v>7</v>
      </c>
      <c r="D7" s="248" t="str">
        <f t="shared" si="3"/>
        <v>EUR4x7F_Quote</v>
      </c>
      <c r="E7" s="114">
        <f>_xll.qlCalendarAdvance("target",$E$3,A7&amp;"M","mf",,Trigger)</f>
        <v>42919</v>
      </c>
      <c r="F7" s="328">
        <f t="shared" si="0"/>
        <v>0.33972602739726027</v>
      </c>
      <c r="G7" s="114">
        <f>_xll.qlCalendarAdvance(Calendar,E7,$G$1,"mf",,Trigger)</f>
        <v>43011</v>
      </c>
      <c r="H7" s="100">
        <f>_xll.qlDayCounterYearFraction(DayCounter,E7,G7,,,Trigger)</f>
        <v>0.25555555555555554</v>
      </c>
      <c r="I7" s="112">
        <f>_xll.qlQuoteValue(D7,AllTriggers)</f>
        <v>-2.9500000000000004E-3</v>
      </c>
      <c r="J7" s="115">
        <f>_xll.qlYieldTSDiscount(Discounting,E7,,AllTriggers)</f>
        <v>1.0012198517777355</v>
      </c>
      <c r="K7" s="115">
        <f>_xll.qlYieldTSDiscount(Discounting,G7,,AllTriggers)</f>
        <v>1.002122508009355</v>
      </c>
      <c r="L7" s="112">
        <f t="shared" si="9"/>
        <v>-3.5246519781960842E-3</v>
      </c>
      <c r="M7" s="112">
        <f t="shared" si="10"/>
        <v>5.7465197819608384E-4</v>
      </c>
      <c r="N7" s="50" t="b">
        <v>1</v>
      </c>
      <c r="O7" s="50" t="b">
        <v>1</v>
      </c>
      <c r="P7" s="112">
        <f>_xll.qlInterpolationInterpolate(B3Minterpolation,E7,TRUE,Trigger)</f>
        <v>5.7465197819608384E-4</v>
      </c>
      <c r="Q7" s="242">
        <f t="shared" si="11"/>
        <v>0</v>
      </c>
      <c r="R7" s="236">
        <f t="shared" si="12"/>
        <v>1.4697710240613136E-4</v>
      </c>
      <c r="S7" s="112">
        <f>_xll.qlInterpolationInterpolate(AbcdInterpolation3M,F7,TRUE,Trigger)</f>
        <v>5.6194641330410623E-4</v>
      </c>
      <c r="T7" s="242">
        <f t="shared" si="7"/>
        <v>0.12705564891977603</v>
      </c>
      <c r="V7" s="114">
        <f>_xll.qlCalendarAdvance(Calendar,V6,"1D","f")</f>
        <v>42803</v>
      </c>
      <c r="W7" s="100">
        <f t="shared" si="2"/>
        <v>2.1917808219178082E-2</v>
      </c>
      <c r="X7" s="112">
        <f>_xll.qlInterpolationInterpolate(B3Minterpolation,V7,TRUE)</f>
        <v>2.2707380156753885E-4</v>
      </c>
      <c r="Y7" s="112">
        <f>_xll.qlInterpolationInterpolate(AbcdInterpolation3M,$W7,TRUE)</f>
        <v>2.1204603227225466E-4</v>
      </c>
      <c r="AC7" s="86"/>
      <c r="AD7" s="86"/>
    </row>
    <row r="8" spans="1:32" ht="11.25" customHeight="1" x14ac:dyDescent="0.2">
      <c r="A8" s="60">
        <v>5</v>
      </c>
      <c r="B8" s="60" t="s">
        <v>32</v>
      </c>
      <c r="C8" s="60">
        <f t="shared" si="8"/>
        <v>8</v>
      </c>
      <c r="D8" s="248" t="str">
        <f t="shared" si="3"/>
        <v>EUR5x8F_Quote</v>
      </c>
      <c r="E8" s="114">
        <f>_xll.qlCalendarAdvance("target",$E$3,A8&amp;"M","mf",,Trigger)</f>
        <v>42950</v>
      </c>
      <c r="F8" s="328">
        <f t="shared" si="0"/>
        <v>0.42465753424657532</v>
      </c>
      <c r="G8" s="114">
        <f>_xll.qlCalendarAdvance(Calendar,E8,$G$1,"mf",,Trigger)</f>
        <v>43042</v>
      </c>
      <c r="H8" s="100">
        <f>_xll.qlDayCounterYearFraction(DayCounter,E8,G8,,,Trigger)</f>
        <v>0.25555555555555554</v>
      </c>
      <c r="I8" s="112">
        <f>_xll.qlQuoteValue(D8,AllTriggers)</f>
        <v>-2.8900000000000002E-3</v>
      </c>
      <c r="J8" s="115">
        <f>_xll.qlYieldTSDiscount(Discounting,E8,,AllTriggers)</f>
        <v>1.0015239797167339</v>
      </c>
      <c r="K8" s="115">
        <f>_xll.qlYieldTSDiscount(Discounting,G8,,AllTriggers)</f>
        <v>1.0024253022553387</v>
      </c>
      <c r="L8" s="112">
        <f t="shared" si="9"/>
        <v>-3.5183811437739208E-3</v>
      </c>
      <c r="M8" s="112">
        <f t="shared" si="10"/>
        <v>6.2838114377392063E-4</v>
      </c>
      <c r="N8" s="50" t="b">
        <v>1</v>
      </c>
      <c r="O8" s="50" t="b">
        <v>1</v>
      </c>
      <c r="P8" s="112">
        <f>_xll.qlInterpolationInterpolate(B3Minterpolation,E8,TRUE,Trigger)</f>
        <v>6.2838114377392063E-4</v>
      </c>
      <c r="Q8" s="242">
        <f t="shared" si="11"/>
        <v>0</v>
      </c>
      <c r="R8" s="236">
        <f t="shared" si="12"/>
        <v>1.6071789628420278E-4</v>
      </c>
      <c r="S8" s="112">
        <f>_xll.qlInterpolationInterpolate(AbcdInterpolation3M,F8,TRUE,Trigger)</f>
        <v>6.2775790787620461E-4</v>
      </c>
      <c r="T8" s="242">
        <f t="shared" si="7"/>
        <v>6.232358977160176E-3</v>
      </c>
      <c r="V8" s="114">
        <f>_xll.qlCalendarAdvance(Calendar,V7,"1D","f")</f>
        <v>42804</v>
      </c>
      <c r="W8" s="100">
        <f t="shared" si="2"/>
        <v>2.4657534246575342E-2</v>
      </c>
      <c r="X8" s="112">
        <f>_xll.qlInterpolationInterpolate(B3Minterpolation,V8,TRUE)</f>
        <v>2.2995262069756036E-4</v>
      </c>
      <c r="Y8" s="112">
        <f>_xll.qlInterpolationInterpolate(AbcdInterpolation3M,$W8,TRUE)</f>
        <v>2.1570231614332204E-4</v>
      </c>
      <c r="AC8" s="86"/>
      <c r="AD8" s="86"/>
    </row>
    <row r="9" spans="1:32" ht="11.25" customHeight="1" x14ac:dyDescent="0.2">
      <c r="A9" s="60">
        <v>6</v>
      </c>
      <c r="B9" s="60" t="s">
        <v>32</v>
      </c>
      <c r="C9" s="60">
        <f t="shared" si="8"/>
        <v>9</v>
      </c>
      <c r="D9" s="248" t="str">
        <f t="shared" si="3"/>
        <v>EUR6x9F_Quote</v>
      </c>
      <c r="E9" s="114">
        <f>_xll.qlCalendarAdvance("target",$E$3,A9&amp;"M","mf",,Trigger)</f>
        <v>42982</v>
      </c>
      <c r="F9" s="328">
        <f t="shared" si="0"/>
        <v>0.51232876712328768</v>
      </c>
      <c r="G9" s="114">
        <f>_xll.qlCalendarAdvance(Calendar,E9,$G$1,"mf",,Trigger)</f>
        <v>43073</v>
      </c>
      <c r="H9" s="100">
        <f>_xll.qlDayCounterYearFraction(DayCounter,E9,G9,,,Trigger)</f>
        <v>0.25277777777777777</v>
      </c>
      <c r="I9" s="112">
        <f>_xll.qlQuoteValue(D9,AllTriggers)</f>
        <v>-2.8300000000000005E-3</v>
      </c>
      <c r="J9" s="115">
        <f>_xll.qlYieldTSDiscount(Discounting,E9,,AllTriggers)</f>
        <v>1.0018385113188129</v>
      </c>
      <c r="K9" s="115">
        <f>_xll.qlYieldTSDiscount(Discounting,G9,,AllTriggers)</f>
        <v>1.002729387122127</v>
      </c>
      <c r="L9" s="112">
        <f t="shared" si="9"/>
        <v>-3.5147507219288393E-3</v>
      </c>
      <c r="M9" s="112">
        <f t="shared" si="10"/>
        <v>6.8475072192883879E-4</v>
      </c>
      <c r="N9" s="50" t="b">
        <v>1</v>
      </c>
      <c r="O9" s="50" t="b">
        <v>1</v>
      </c>
      <c r="P9" s="112">
        <f>_xll.qlInterpolationInterpolate(B3Minterpolation,E9,TRUE,Trigger)</f>
        <v>6.8475072192883879E-4</v>
      </c>
      <c r="Q9" s="242">
        <f t="shared" si="11"/>
        <v>0</v>
      </c>
      <c r="R9" s="236">
        <f t="shared" si="12"/>
        <v>1.7322867936993641E-4</v>
      </c>
      <c r="S9" s="112">
        <f>_xll.qlInterpolationInterpolate(AbcdInterpolation3M,F9,TRUE,Trigger)</f>
        <v>6.8534216159623176E-4</v>
      </c>
      <c r="T9" s="242">
        <f t="shared" si="7"/>
        <v>-5.9143966739296904E-3</v>
      </c>
      <c r="V9" s="114">
        <f>_xll.qlCalendarAdvance(Calendar,V8,"1D","f")</f>
        <v>42807</v>
      </c>
      <c r="W9" s="100">
        <f t="shared" si="2"/>
        <v>3.287671232876712E-2</v>
      </c>
      <c r="X9" s="112">
        <f>_xll.qlInterpolationInterpolate(B3Minterpolation,V9,TRUE)</f>
        <v>2.3796594353748469E-4</v>
      </c>
      <c r="Y9" s="112">
        <f>_xll.qlInterpolationInterpolate(AbcdInterpolation3M,$W9,TRUE)</f>
        <v>2.2665380478547193E-4</v>
      </c>
      <c r="AC9" s="86"/>
      <c r="AD9" s="86"/>
    </row>
    <row r="10" spans="1:32" ht="11.25" customHeight="1" x14ac:dyDescent="0.2">
      <c r="A10" s="60">
        <v>7</v>
      </c>
      <c r="B10" s="60" t="s">
        <v>32</v>
      </c>
      <c r="C10" s="60">
        <f t="shared" si="8"/>
        <v>10</v>
      </c>
      <c r="D10" s="248" t="str">
        <f t="shared" si="3"/>
        <v>EUR7x10F_Quote</v>
      </c>
      <c r="E10" s="114">
        <f>_xll.qlCalendarAdvance("target",$E$3,A10&amp;"M","mf",,Trigger)</f>
        <v>43011</v>
      </c>
      <c r="F10" s="328">
        <f t="shared" si="0"/>
        <v>0.59178082191780823</v>
      </c>
      <c r="G10" s="114">
        <f>_xll.qlCalendarAdvance(Calendar,E10,$G$1,"mf",,Trigger)</f>
        <v>43103</v>
      </c>
      <c r="H10" s="100">
        <f>_xll.qlDayCounterYearFraction(DayCounter,E10,G10,,,Trigger)</f>
        <v>0.25555555555555554</v>
      </c>
      <c r="I10" s="112">
        <f>_xll.qlQuoteValue(D10,AllTriggers)</f>
        <v>-2.7600000000000003E-3</v>
      </c>
      <c r="J10" s="115">
        <f>_xll.qlYieldTSDiscount(Discounting,E10,,AllTriggers)</f>
        <v>1.002122508009355</v>
      </c>
      <c r="K10" s="115">
        <f>_xll.qlYieldTSDiscount(Discounting,G10,,AllTriggers)</f>
        <v>1.0030228100170737</v>
      </c>
      <c r="L10" s="112">
        <f t="shared" si="9"/>
        <v>-3.5123038724403587E-3</v>
      </c>
      <c r="M10" s="112">
        <f t="shared" si="10"/>
        <v>7.5230387244035841E-4</v>
      </c>
      <c r="N10" s="50" t="b">
        <v>1</v>
      </c>
      <c r="O10" s="50" t="b">
        <v>1</v>
      </c>
      <c r="P10" s="112">
        <f>_xll.qlInterpolationInterpolate(B3Minterpolation,E10,TRUE,Trigger)</f>
        <v>7.5230387244035841E-4</v>
      </c>
      <c r="Q10" s="242">
        <f t="shared" si="11"/>
        <v>0</v>
      </c>
      <c r="R10" s="236">
        <f t="shared" si="12"/>
        <v>1.9240964349613978E-4</v>
      </c>
      <c r="S10" s="112">
        <f>_xll.qlInterpolationInterpolate(AbcdInterpolation3M,F10,TRUE,Trigger)</f>
        <v>7.2944879057477876E-4</v>
      </c>
      <c r="T10" s="242">
        <f t="shared" si="7"/>
        <v>0.22855081865579646</v>
      </c>
      <c r="V10" s="114">
        <f>_xll.qlCalendarAdvance(Calendar,V9,"1D","f")</f>
        <v>42808</v>
      </c>
      <c r="W10" s="100">
        <f t="shared" si="2"/>
        <v>3.5616438356164383E-2</v>
      </c>
      <c r="X10" s="112">
        <f>_xll.qlInterpolationInterpolate(B3Minterpolation,V10,TRUE)</f>
        <v>2.404441761709875E-4</v>
      </c>
      <c r="Y10" s="112">
        <f>_xll.qlInterpolationInterpolate(AbcdInterpolation3M,$W10,TRUE)</f>
        <v>2.3029593068123064E-4</v>
      </c>
      <c r="AC10" s="86"/>
      <c r="AD10" s="86"/>
    </row>
    <row r="11" spans="1:32" ht="11.25" customHeight="1" x14ac:dyDescent="0.2">
      <c r="A11" s="60">
        <v>8</v>
      </c>
      <c r="B11" s="60" t="s">
        <v>32</v>
      </c>
      <c r="C11" s="60">
        <f t="shared" si="8"/>
        <v>11</v>
      </c>
      <c r="D11" s="248" t="str">
        <f t="shared" si="3"/>
        <v>EUR8x11F_Quote</v>
      </c>
      <c r="E11" s="114">
        <f>_xll.qlCalendarAdvance("target",$E$3,A11&amp;"M","mf",,Trigger)</f>
        <v>43042</v>
      </c>
      <c r="F11" s="328">
        <f t="shared" si="0"/>
        <v>0.67671232876712328</v>
      </c>
      <c r="G11" s="114">
        <f>_xll.qlCalendarAdvance(Calendar,E11,$G$1,"mf",,Trigger)</f>
        <v>43136</v>
      </c>
      <c r="H11" s="100">
        <f>_xll.qlDayCounterYearFraction(DayCounter,E11,G11,,,Trigger)</f>
        <v>0.26111111111111113</v>
      </c>
      <c r="I11" s="112">
        <f>_xll.qlQuoteValue(D11,AllTriggers)</f>
        <v>-2.7100000000000002E-3</v>
      </c>
      <c r="J11" s="115">
        <f>_xll.qlYieldTSDiscount(Discounting,E11,,AllTriggers)</f>
        <v>1.0024253022553387</v>
      </c>
      <c r="K11" s="115">
        <f>_xll.qlYieldTSDiscount(Discounting,G11,,AllTriggers)</f>
        <v>1.0033419268415087</v>
      </c>
      <c r="L11" s="112">
        <f t="shared" si="9"/>
        <v>-3.4987844568346968E-3</v>
      </c>
      <c r="M11" s="112">
        <f t="shared" si="10"/>
        <v>7.8878445683469665E-4</v>
      </c>
      <c r="N11" s="50" t="b">
        <v>1</v>
      </c>
      <c r="O11" s="50" t="b">
        <v>1</v>
      </c>
      <c r="P11" s="112">
        <f>_xll.qlInterpolationInterpolate(B3Minterpolation,E11,TRUE,Trigger)</f>
        <v>7.8878445683469665E-4</v>
      </c>
      <c r="Q11" s="242">
        <f t="shared" si="11"/>
        <v>0</v>
      </c>
      <c r="R11" s="236">
        <f t="shared" si="12"/>
        <v>2.0612747181669405E-4</v>
      </c>
      <c r="S11" s="112">
        <f>_xll.qlInterpolationInterpolate(AbcdInterpolation3M,F11,TRUE,Trigger)</f>
        <v>7.6907425756555907E-4</v>
      </c>
      <c r="T11" s="242">
        <f t="shared" si="7"/>
        <v>0.19710199269137579</v>
      </c>
      <c r="V11" s="114">
        <f>_xll.qlCalendarAdvance(Calendar,V10,"1D","f")</f>
        <v>42809</v>
      </c>
      <c r="W11" s="100">
        <f t="shared" si="2"/>
        <v>3.8356164383561646E-2</v>
      </c>
      <c r="X11" s="112">
        <f>_xll.qlInterpolationInterpolate(B3Minterpolation,V11,TRUE)</f>
        <v>2.4283338958304174E-4</v>
      </c>
      <c r="Y11" s="112">
        <f>_xll.qlInterpolationInterpolate(AbcdInterpolation3M,$W11,TRUE)</f>
        <v>2.3393272293631718E-4</v>
      </c>
      <c r="AC11" s="86"/>
      <c r="AD11" s="86"/>
    </row>
    <row r="12" spans="1:32" ht="11.25" customHeight="1" x14ac:dyDescent="0.2">
      <c r="A12" s="60">
        <v>9</v>
      </c>
      <c r="B12" s="60" t="s">
        <v>32</v>
      </c>
      <c r="C12" s="60">
        <f t="shared" si="8"/>
        <v>12</v>
      </c>
      <c r="D12" s="248" t="str">
        <f t="shared" si="3"/>
        <v>EUR9x12F_Quote</v>
      </c>
      <c r="E12" s="114">
        <f>_xll.qlCalendarAdvance("target",$E$3,A12&amp;"M","mf",,Trigger)</f>
        <v>43073</v>
      </c>
      <c r="F12" s="328">
        <f t="shared" si="0"/>
        <v>0.76164383561643834</v>
      </c>
      <c r="G12" s="114">
        <f>_xll.qlCalendarAdvance(Calendar,E12,$G$1,"mf",,Trigger)</f>
        <v>43164</v>
      </c>
      <c r="H12" s="100">
        <f>_xll.qlDayCounterYearFraction(DayCounter,E12,G12,,,Trigger)</f>
        <v>0.25277777777777777</v>
      </c>
      <c r="I12" s="112">
        <f>_xll.qlQuoteValue(D12,AllTriggers)</f>
        <v>-2.65E-3</v>
      </c>
      <c r="J12" s="115">
        <f>_xll.qlYieldTSDiscount(Discounting,E12,,AllTriggers)</f>
        <v>1.002729387122127</v>
      </c>
      <c r="K12" s="115">
        <f>_xll.qlYieldTSDiscount(Discounting,G12,,AllTriggers)</f>
        <v>1.003609142356672</v>
      </c>
      <c r="L12" s="112">
        <f t="shared" si="9"/>
        <v>-3.4678344701477085E-3</v>
      </c>
      <c r="M12" s="112">
        <f t="shared" si="10"/>
        <v>8.1783447014770845E-4</v>
      </c>
      <c r="N12" s="50" t="b">
        <v>1</v>
      </c>
      <c r="O12" s="50" t="b">
        <v>1</v>
      </c>
      <c r="P12" s="112">
        <f>_xll.qlInterpolationInterpolate(B3Minterpolation,E12,TRUE,Trigger)</f>
        <v>8.1783447014770845E-4</v>
      </c>
      <c r="Q12" s="242">
        <f t="shared" si="11"/>
        <v>0</v>
      </c>
      <c r="R12" s="236">
        <f t="shared" si="12"/>
        <v>2.0689035375431671E-4</v>
      </c>
      <c r="S12" s="112">
        <f>_xll.qlInterpolationInterpolate(AbcdInterpolation3M,F12,TRUE,Trigger)</f>
        <v>8.0182769132207355E-4</v>
      </c>
      <c r="T12" s="242">
        <f t="shared" si="7"/>
        <v>0.16006778825634893</v>
      </c>
      <c r="V12" s="114">
        <f>_xll.qlCalendarAdvance(Calendar,V11,"1D","f")</f>
        <v>42810</v>
      </c>
      <c r="W12" s="100">
        <f t="shared" si="2"/>
        <v>4.1095890410958902E-2</v>
      </c>
      <c r="X12" s="112">
        <f>_xll.qlInterpolationInterpolate(B3Minterpolation,V12,TRUE)</f>
        <v>2.4513803473471976E-4</v>
      </c>
      <c r="Y12" s="112">
        <f>_xll.qlInterpolationInterpolate(AbcdInterpolation3M,$W12,TRUE)</f>
        <v>2.3756356853145573E-4</v>
      </c>
      <c r="AC12" s="86"/>
      <c r="AD12" s="86"/>
    </row>
    <row r="13" spans="1:32" ht="11.25" customHeight="1" x14ac:dyDescent="0.2">
      <c r="A13" s="60">
        <v>10</v>
      </c>
      <c r="B13" s="60" t="s">
        <v>32</v>
      </c>
      <c r="C13" s="60">
        <f t="shared" si="8"/>
        <v>13</v>
      </c>
      <c r="D13" s="248" t="str">
        <f t="shared" si="3"/>
        <v>EUR10x13F_Quote</v>
      </c>
      <c r="E13" s="114">
        <f>_xll.qlCalendarAdvance("target",$E$3,A13&amp;"M","mf",,Trigger)</f>
        <v>43103</v>
      </c>
      <c r="F13" s="328">
        <f t="shared" si="0"/>
        <v>0.84383561643835614</v>
      </c>
      <c r="G13" s="114">
        <f>_xll.qlCalendarAdvance(Calendar,E13,$G$1,"mf",,Trigger)</f>
        <v>43193</v>
      </c>
      <c r="H13" s="100">
        <f>_xll.qlDayCounterYearFraction(DayCounter,E13,G13,,,Trigger)</f>
        <v>0.25</v>
      </c>
      <c r="I13" s="112">
        <f>_xll.qlQuoteValue(D13,AllTriggers)</f>
        <v>-2.5999999999999999E-3</v>
      </c>
      <c r="J13" s="115">
        <f>_xll.qlYieldTSDiscount(Discounting,E13,,AllTriggers)</f>
        <v>1.0030228100170737</v>
      </c>
      <c r="K13" s="115">
        <f>_xll.qlYieldTSDiscount(Discounting,G13,,AllTriggers)</f>
        <v>1.0038821069059682</v>
      </c>
      <c r="L13" s="112">
        <f t="shared" si="9"/>
        <v>-3.4238956267200749E-3</v>
      </c>
      <c r="M13" s="112">
        <f t="shared" si="10"/>
        <v>8.2389562672007498E-4</v>
      </c>
      <c r="N13" s="50" t="b">
        <v>1</v>
      </c>
      <c r="O13" s="50" t="b">
        <v>1</v>
      </c>
      <c r="P13" s="112">
        <f>_xll.qlInterpolationInterpolate(B3Minterpolation,E13,TRUE,Trigger)</f>
        <v>8.2389562672007498E-4</v>
      </c>
      <c r="Q13" s="242">
        <f t="shared" si="11"/>
        <v>0</v>
      </c>
      <c r="R13" s="236">
        <f t="shared" si="12"/>
        <v>2.0612911994740389E-4</v>
      </c>
      <c r="S13" s="112">
        <f>_xll.qlInterpolationInterpolate(AbcdInterpolation3M,F13,TRUE,Trigger)</f>
        <v>8.2776500618557717E-4</v>
      </c>
      <c r="T13" s="242">
        <f t="shared" si="7"/>
        <v>-3.8693794655021922E-2</v>
      </c>
      <c r="V13" s="114">
        <f>_xll.qlCalendarAdvance(Calendar,V12,"1D","f")</f>
        <v>42811</v>
      </c>
      <c r="W13" s="100">
        <f t="shared" si="2"/>
        <v>4.3835616438356165E-2</v>
      </c>
      <c r="X13" s="112">
        <f>_xll.qlInterpolationInterpolate(B3Minterpolation,V13,TRUE)</f>
        <v>2.4736256258709409E-4</v>
      </c>
      <c r="Y13" s="112">
        <f>_xll.qlInterpolationInterpolate(AbcdInterpolation3M,$W13,TRUE)</f>
        <v>2.4118789950551323E-4</v>
      </c>
      <c r="AC13" s="86"/>
      <c r="AD13" s="86"/>
    </row>
    <row r="14" spans="1:32" ht="11.25" customHeight="1" x14ac:dyDescent="0.2">
      <c r="A14" s="60">
        <v>11</v>
      </c>
      <c r="B14" s="60" t="s">
        <v>32</v>
      </c>
      <c r="C14" s="60">
        <f t="shared" si="8"/>
        <v>14</v>
      </c>
      <c r="D14" s="248" t="str">
        <f t="shared" si="3"/>
        <v>EUR11x14F_Quote</v>
      </c>
      <c r="E14" s="114">
        <f>_xll.qlCalendarAdvance("target",$E$3,A14&amp;"M","mf",,Trigger)</f>
        <v>43136</v>
      </c>
      <c r="F14" s="328">
        <f t="shared" si="0"/>
        <v>0.9342465753424658</v>
      </c>
      <c r="G14" s="114">
        <f>_xll.qlCalendarAdvance(Calendar,E14,$G$1,"mf",,Trigger)</f>
        <v>43227</v>
      </c>
      <c r="H14" s="100">
        <f>_xll.qlDayCounterYearFraction(DayCounter,E14,G14,,,Trigger)</f>
        <v>0.25277777777777777</v>
      </c>
      <c r="I14" s="112">
        <f>_xll.qlQuoteValue(D14,AllTriggers)</f>
        <v>-2.5300000000000001E-3</v>
      </c>
      <c r="J14" s="115">
        <f>_xll.qlYieldTSDiscount(Discounting,E14,,AllTriggers)</f>
        <v>1.0033419268415087</v>
      </c>
      <c r="K14" s="115">
        <f>_xll.qlYieldTSDiscount(Discounting,G14,,AllTriggers)</f>
        <v>1.0041968718190355</v>
      </c>
      <c r="L14" s="112">
        <f t="shared" si="9"/>
        <v>-3.3680645757923604E-3</v>
      </c>
      <c r="M14" s="112">
        <f t="shared" si="10"/>
        <v>8.3806457579236032E-4</v>
      </c>
      <c r="N14" s="50" t="b">
        <v>1</v>
      </c>
      <c r="O14" s="50" t="b">
        <v>1</v>
      </c>
      <c r="P14" s="112">
        <f>_xll.qlInterpolationInterpolate(B3Minterpolation,E14,TRUE,Trigger)</f>
        <v>8.3806457579236032E-4</v>
      </c>
      <c r="Q14" s="242">
        <f t="shared" si="11"/>
        <v>0</v>
      </c>
      <c r="R14" s="236">
        <f t="shared" si="12"/>
        <v>2.1200213885445157E-4</v>
      </c>
      <c r="S14" s="112">
        <f>_xll.qlInterpolationInterpolate(AbcdInterpolation3M,F14,TRUE,Trigger)</f>
        <v>8.505673486592229E-4</v>
      </c>
      <c r="T14" s="242">
        <f t="shared" si="7"/>
        <v>-0.12502772866862585</v>
      </c>
      <c r="V14" s="114">
        <f>_xll.qlCalendarAdvance(Calendar,V13,"1D","f")</f>
        <v>42814</v>
      </c>
      <c r="W14" s="100">
        <f t="shared" si="2"/>
        <v>5.2054794520547946E-2</v>
      </c>
      <c r="X14" s="112">
        <f>_xll.qlInterpolationInterpolate(B3Minterpolation,V14,TRUE)</f>
        <v>2.5359995195911887E-4</v>
      </c>
      <c r="Y14" s="112">
        <f>_xll.qlInterpolationInterpolate(AbcdInterpolation3M,$W14,TRUE)</f>
        <v>2.5201672845533098E-4</v>
      </c>
      <c r="AC14" s="86"/>
      <c r="AD14" s="86"/>
    </row>
    <row r="15" spans="1:32" ht="11.25" customHeight="1" x14ac:dyDescent="0.2">
      <c r="A15" s="60">
        <v>12</v>
      </c>
      <c r="B15" s="60" t="s">
        <v>32</v>
      </c>
      <c r="C15" s="60">
        <f t="shared" si="8"/>
        <v>15</v>
      </c>
      <c r="D15" s="248" t="str">
        <f t="shared" si="3"/>
        <v>EUR12x15F_Quote</v>
      </c>
      <c r="E15" s="114">
        <f>_xll.qlCalendarAdvance("target",$E$3,A15&amp;"M","mf",,Trigger)</f>
        <v>43164</v>
      </c>
      <c r="F15" s="328">
        <f t="shared" si="0"/>
        <v>1.010958904109589</v>
      </c>
      <c r="G15" s="114">
        <f>_xll.qlCalendarAdvance(Calendar,E15,$G$1,"mf",,Trigger)</f>
        <v>43256</v>
      </c>
      <c r="H15" s="100">
        <f>_xll.qlDayCounterYearFraction(DayCounter,E15,G15,,,Trigger)</f>
        <v>0.25555555555555554</v>
      </c>
      <c r="I15" s="112">
        <f>_xll.qlQuoteValue(D15,AllTriggers)</f>
        <v>-2.47E-3</v>
      </c>
      <c r="J15" s="115">
        <f>_xll.qlYieldTSDiscount(Discounting,E15,,AllTriggers)</f>
        <v>1.003609142356672</v>
      </c>
      <c r="K15" s="115">
        <f>_xll.qlYieldTSDiscount(Discounting,G15,,AllTriggers)</f>
        <v>1.0044606647610341</v>
      </c>
      <c r="L15" s="112">
        <f t="shared" si="9"/>
        <v>-3.3172470639008596E-3</v>
      </c>
      <c r="M15" s="112">
        <f t="shared" si="10"/>
        <v>8.4724706390085962E-4</v>
      </c>
      <c r="N15" s="50" t="b">
        <v>1</v>
      </c>
      <c r="O15" s="50" t="b">
        <v>1</v>
      </c>
      <c r="P15" s="112">
        <f>_xll.qlInterpolationInterpolate(B3Minterpolation,E15,TRUE,Trigger)</f>
        <v>8.4724706390085962E-4</v>
      </c>
      <c r="Q15" s="242">
        <f t="shared" si="11"/>
        <v>0</v>
      </c>
      <c r="R15" s="236">
        <f t="shared" si="12"/>
        <v>2.1667892502656166E-4</v>
      </c>
      <c r="S15" s="112">
        <f>_xll.qlInterpolationInterpolate(AbcdInterpolation3M,F15,TRUE,Trigger)</f>
        <v>8.6578829558989039E-4</v>
      </c>
      <c r="T15" s="242">
        <f t="shared" si="7"/>
        <v>-0.18541231689030765</v>
      </c>
      <c r="V15" s="114">
        <f>_xll.qlCalendarAdvance(Calendar,V14,"1D","f")</f>
        <v>42815</v>
      </c>
      <c r="W15" s="100">
        <f t="shared" si="2"/>
        <v>5.4794520547945202E-2</v>
      </c>
      <c r="X15" s="112">
        <f>_xll.qlInterpolationInterpolate(B3Minterpolation,V15,TRUE)</f>
        <v>2.5554852022500253E-4</v>
      </c>
      <c r="Y15" s="112">
        <f>_xll.qlInterpolationInterpolate(AbcdInterpolation3M,$W15,TRUE)</f>
        <v>2.55610104442208E-4</v>
      </c>
      <c r="AC15" s="86"/>
      <c r="AD15" s="86"/>
    </row>
    <row r="16" spans="1:32" ht="11.25" customHeight="1" x14ac:dyDescent="0.2">
      <c r="C16" s="60" t="str">
        <f>_xll.qlIMMNextCode(SettlementDate,FALSE)</f>
        <v>H7</v>
      </c>
      <c r="D16" s="296" t="str">
        <f t="shared" ref="D16:D24" si="13">Currency&amp;"FUT"&amp;"3M"&amp;C16&amp;QuoteSuffix</f>
        <v>EURFUT3MH7_Quote</v>
      </c>
      <c r="E16" s="109">
        <f>_xll.qlIMMdate(C16,$E$3,Trigger)</f>
        <v>42809</v>
      </c>
      <c r="F16" s="329">
        <f t="shared" si="0"/>
        <v>3.8356164383561646E-2</v>
      </c>
      <c r="G16" s="109">
        <f>_xll.qlCalendarAdvance(Calendar,E16,$G$1,"mf",,Trigger)</f>
        <v>42901</v>
      </c>
      <c r="H16" s="110">
        <f>_xll.qlDayCounterYearFraction(DayCounter,E16,G16,,,Trigger)</f>
        <v>0.25555555555555554</v>
      </c>
      <c r="I16" s="125">
        <f>1-_xll.qlQuoteValue(D16,AllTriggers)/100-_xll.qlQuoteValue(Currency&amp;"FUT"&amp;"3M"&amp;C16&amp;"ConvAdj_Quote")</f>
        <v>-3.2774999999999168E-3</v>
      </c>
      <c r="J16" s="111">
        <f>_xll.qlYieldTSDiscount(Discounting,E16,,AllTriggers)</f>
        <v>1.0001388159090452</v>
      </c>
      <c r="K16" s="111">
        <f>_xll.qlYieldTSDiscount(Discounting,G16,,AllTriggers)</f>
        <v>1.0010428661137651</v>
      </c>
      <c r="L16" s="125">
        <f t="shared" si="1"/>
        <v>-3.5339023705681797E-3</v>
      </c>
      <c r="M16" s="125">
        <f t="shared" si="4"/>
        <v>2.564023705682629E-4</v>
      </c>
      <c r="N16" s="297" t="b">
        <v>0</v>
      </c>
      <c r="O16" s="297" t="b">
        <v>0</v>
      </c>
      <c r="P16" s="125">
        <f>_xll.qlInterpolationInterpolate(B3Minterpolation,E16,TRUE,Trigger)</f>
        <v>2.4283338958304174E-4</v>
      </c>
      <c r="Q16" s="298">
        <f t="shared" si="5"/>
        <v>0.13568980985221157</v>
      </c>
      <c r="R16" s="235">
        <f t="shared" si="6"/>
        <v>6.5582129414637775E-5</v>
      </c>
      <c r="S16" s="125">
        <f>_xll.qlInterpolationInterpolate(AbcdInterpolation3M,F16,TRUE,Trigger)</f>
        <v>2.3393272293631718E-4</v>
      </c>
      <c r="T16" s="298">
        <f t="shared" si="7"/>
        <v>0.22469647631945716</v>
      </c>
      <c r="V16" s="114">
        <f>_xll.qlCalendarAdvance(Calendar,V15,"1D","f")</f>
        <v>42816</v>
      </c>
      <c r="W16" s="100">
        <f t="shared" si="2"/>
        <v>5.7534246575342465E-2</v>
      </c>
      <c r="X16" s="112">
        <f>_xll.qlInterpolationInterpolate(B3Minterpolation,V16,TRUE)</f>
        <v>2.5743922599694461E-4</v>
      </c>
      <c r="Y16" s="112">
        <f>_xll.qlInterpolationInterpolate(AbcdInterpolation3M,$W16,TRUE)</f>
        <v>2.5919468783582099E-4</v>
      </c>
      <c r="AC16" s="86"/>
      <c r="AD16" s="86"/>
    </row>
    <row r="17" spans="3:30" ht="11.25" customHeight="1" x14ac:dyDescent="0.2">
      <c r="C17" s="60" t="str">
        <f>_xll.qlIMMNextCode($E$16,TRUE)</f>
        <v>M7</v>
      </c>
      <c r="D17" s="248" t="str">
        <f t="shared" si="13"/>
        <v>EURFUT3MM7_Quote</v>
      </c>
      <c r="E17" s="114">
        <f>_xll.qlIMMdate(C17,$E$3,Trigger)</f>
        <v>42907</v>
      </c>
      <c r="F17" s="328">
        <f t="shared" si="0"/>
        <v>0.30684931506849317</v>
      </c>
      <c r="G17" s="114">
        <f>_xll.qlCalendarAdvance(Calendar,E17,$G$1,"mf",,Trigger)</f>
        <v>42999</v>
      </c>
      <c r="H17" s="100">
        <f>_xll.qlDayCounterYearFraction(DayCounter,E17,G17,,,Trigger)</f>
        <v>0.25555555555555554</v>
      </c>
      <c r="I17" s="112">
        <f>1-_xll.qlQuoteValue(D17,AllTriggers)/100-_xll.qlQuoteValue(Currency&amp;"FUT"&amp;"3M"&amp;C17&amp;"ConvAdj_Quote")</f>
        <v>-2.9774999999999498E-3</v>
      </c>
      <c r="J17" s="115">
        <f>_xll.qlYieldTSDiscount(Discounting,E17,,AllTriggers)</f>
        <v>1.0011019376812742</v>
      </c>
      <c r="K17" s="115">
        <f>_xll.qlYieldTSDiscount(Discounting,G17,,AllTriggers)</f>
        <v>1.0020051989928271</v>
      </c>
      <c r="L17" s="112">
        <f t="shared" si="1"/>
        <v>-3.5274275900868454E-3</v>
      </c>
      <c r="M17" s="112">
        <f t="shared" si="4"/>
        <v>5.4992759008689555E-4</v>
      </c>
      <c r="N17" s="50" t="b">
        <v>0</v>
      </c>
      <c r="O17" s="50" t="b">
        <v>0</v>
      </c>
      <c r="P17" s="112">
        <f>_xll.qlInterpolationInterpolate(B3Minterpolation,E17,TRUE,Trigger)</f>
        <v>5.4535274772180746E-4</v>
      </c>
      <c r="Q17" s="242">
        <f t="shared" si="5"/>
        <v>4.5748423650880839E-2</v>
      </c>
      <c r="R17" s="236">
        <f t="shared" si="6"/>
        <v>1.4065396052092663E-4</v>
      </c>
      <c r="S17" s="112">
        <f>_xll.qlInterpolationInterpolate(AbcdInterpolation3M,F17,TRUE,Trigger)</f>
        <v>5.3357187804369075E-4</v>
      </c>
      <c r="T17" s="242">
        <f t="shared" si="7"/>
        <v>0.16355712043204795</v>
      </c>
      <c r="V17" s="114">
        <f>_xll.qlCalendarAdvance(Calendar,V16,"1D","f")</f>
        <v>42817</v>
      </c>
      <c r="W17" s="100">
        <f t="shared" si="2"/>
        <v>6.0273972602739728E-2</v>
      </c>
      <c r="X17" s="112">
        <f>_xll.qlInterpolationInterpolate(B3Minterpolation,V17,TRUE)</f>
        <v>2.5927652023601753E-4</v>
      </c>
      <c r="Y17" s="112">
        <f>_xll.qlInterpolationInterpolate(AbcdInterpolation3M,$W17,TRUE)</f>
        <v>2.6277011639118272E-4</v>
      </c>
      <c r="AC17" s="86"/>
      <c r="AD17" s="86"/>
    </row>
    <row r="18" spans="3:30" ht="11.25" customHeight="1" x14ac:dyDescent="0.2">
      <c r="C18" s="60" t="str">
        <f>_xll.qlIMMNextCode($E17,TRUE)</f>
        <v>U7</v>
      </c>
      <c r="D18" s="248" t="str">
        <f t="shared" si="13"/>
        <v>EURFUT3MU7_Quote</v>
      </c>
      <c r="E18" s="114">
        <f>_xll.qlIMMdate(C18,$E$3,Trigger)</f>
        <v>42998</v>
      </c>
      <c r="F18" s="328">
        <f t="shared" si="0"/>
        <v>0.55616438356164388</v>
      </c>
      <c r="G18" s="114">
        <f>_xll.qlCalendarAdvance(Calendar,E18,$G$1,"mf",,Trigger)</f>
        <v>43089</v>
      </c>
      <c r="H18" s="100">
        <f>_xll.qlDayCounterYearFraction(DayCounter,E18,G18,,,Trigger)</f>
        <v>0.25277777777777777</v>
      </c>
      <c r="I18" s="112">
        <f>1-_xll.qlQuoteValue(D18,AllTriggers)/100-_xll.qlQuoteValue(Currency&amp;"FUT"&amp;"3M"&amp;C18&amp;"ConvAdj_Quote")</f>
        <v>-2.775499999999972E-3</v>
      </c>
      <c r="J18" s="115">
        <f>_xll.qlYieldTSDiscount(Discounting,E18,,AllTriggers)</f>
        <v>1.0019954118124241</v>
      </c>
      <c r="K18" s="115">
        <f>_xll.qlYieldTSDiscount(Discounting,G18,,AllTriggers)</f>
        <v>1.0028862045779363</v>
      </c>
      <c r="L18" s="112">
        <f t="shared" ref="L18:L24" si="14">(J18/K18-1)/H18</f>
        <v>-3.5138735780846876E-3</v>
      </c>
      <c r="M18" s="112">
        <f t="shared" si="4"/>
        <v>7.3837357808471558E-4</v>
      </c>
      <c r="N18" s="50" t="b">
        <v>0</v>
      </c>
      <c r="O18" s="50" t="b">
        <v>0</v>
      </c>
      <c r="P18" s="112">
        <f>_xll.qlInterpolationInterpolate(B3Minterpolation,E18,TRUE,Trigger)</f>
        <v>7.236874407990896E-4</v>
      </c>
      <c r="Q18" s="242">
        <f t="shared" si="5"/>
        <v>0.14686137285625983</v>
      </c>
      <c r="R18" s="236">
        <f t="shared" si="6"/>
        <v>1.867929157655683E-4</v>
      </c>
      <c r="S18" s="112">
        <f>_xll.qlInterpolationInterpolate(AbcdInterpolation3M,F18,TRUE,Trigger)</f>
        <v>7.1056824704283743E-4</v>
      </c>
      <c r="T18" s="242">
        <f t="shared" si="7"/>
        <v>0.27805331041878151</v>
      </c>
      <c r="V18" s="114">
        <f>_xll.qlCalendarAdvance(Calendar,V17,"1D","f")</f>
        <v>42818</v>
      </c>
      <c r="W18" s="100">
        <f t="shared" si="2"/>
        <v>6.3013698630136991E-2</v>
      </c>
      <c r="X18" s="112">
        <f>_xll.qlInterpolationInterpolate(B3Minterpolation,V18,TRUE)</f>
        <v>2.610648539032937E-4</v>
      </c>
      <c r="Y18" s="112">
        <f>_xll.qlInterpolationInterpolate(AbcdInterpolation3M,$W18,TRUE)</f>
        <v>2.6633605369471311E-4</v>
      </c>
      <c r="AC18" s="86"/>
      <c r="AD18" s="86"/>
    </row>
    <row r="19" spans="3:30" ht="11.25" customHeight="1" x14ac:dyDescent="0.2">
      <c r="C19" s="60" t="str">
        <f>_xll.qlIMMNextCode($E18,TRUE)</f>
        <v>Z7</v>
      </c>
      <c r="D19" s="248" t="str">
        <f t="shared" si="13"/>
        <v>EURFUT3MZ7_Quote</v>
      </c>
      <c r="E19" s="114">
        <f>_xll.qlIMMdate(C19,$E$3,Trigger)</f>
        <v>43089</v>
      </c>
      <c r="F19" s="328">
        <f t="shared" si="0"/>
        <v>0.80547945205479454</v>
      </c>
      <c r="G19" s="114">
        <f>_xll.qlCalendarAdvance(Calendar,E19,$G$1,"mf",,Trigger)</f>
        <v>43179</v>
      </c>
      <c r="H19" s="100">
        <f>_xll.qlDayCounterYearFraction(DayCounter,E19,G19,,,Trigger)</f>
        <v>0.25</v>
      </c>
      <c r="I19" s="112">
        <f>1-_xll.qlQuoteValue(D19,AllTriggers)/100-_xll.qlQuoteValue(Currency&amp;"FUT"&amp;"3M"&amp;C19&amp;"ConvAdj_Quote")</f>
        <v>-2.6255000000000995E-3</v>
      </c>
      <c r="J19" s="115">
        <f>_xll.qlYieldTSDiscount(Discounting,E19,,AllTriggers)</f>
        <v>1.0028862045779363</v>
      </c>
      <c r="K19" s="115">
        <f>_xll.qlYieldTSDiscount(Discounting,G19,,AllTriggers)</f>
        <v>1.0037508311980836</v>
      </c>
      <c r="L19" s="112">
        <f>(J19/K19-1)/H19</f>
        <v>-3.4455826815715795E-3</v>
      </c>
      <c r="M19" s="112">
        <f t="shared" si="4"/>
        <v>8.2008268157148E-4</v>
      </c>
      <c r="N19" s="50" t="b">
        <v>0</v>
      </c>
      <c r="O19" s="50" t="b">
        <v>0</v>
      </c>
      <c r="P19" s="112">
        <f>_xll.qlInterpolationInterpolate(B3Minterpolation,E19,TRUE,Trigger)</f>
        <v>8.2220485813426329E-4</v>
      </c>
      <c r="Q19" s="242">
        <f t="shared" si="5"/>
        <v>-2.1221765627832921E-2</v>
      </c>
      <c r="R19" s="236">
        <f t="shared" si="6"/>
        <v>2.051763764554064E-4</v>
      </c>
      <c r="S19" s="112">
        <f>_xll.qlInterpolationInterpolate(AbcdInterpolation3M,F19,TRUE,Trigger)</f>
        <v>8.1632019188215008E-4</v>
      </c>
      <c r="T19" s="242">
        <f t="shared" si="7"/>
        <v>3.7624896893299203E-2</v>
      </c>
      <c r="V19" s="114">
        <f>_xll.qlCalendarAdvance(Calendar,V18,"1D","f")</f>
        <v>42821</v>
      </c>
      <c r="W19" s="100">
        <f t="shared" si="2"/>
        <v>7.1232876712328766E-2</v>
      </c>
      <c r="X19" s="112">
        <f>_xll.qlInterpolationInterpolate(B3Minterpolation,V19,TRUE)</f>
        <v>2.6618060108506614E-4</v>
      </c>
      <c r="Y19" s="112">
        <f>_xll.qlInterpolationInterpolate(AbcdInterpolation3M,$W19,TRUE)</f>
        <v>2.7697390285760857E-4</v>
      </c>
      <c r="AC19" s="86"/>
      <c r="AD19" s="86"/>
    </row>
    <row r="20" spans="3:30" ht="11.25" customHeight="1" x14ac:dyDescent="0.2">
      <c r="C20" s="60" t="str">
        <f>_xll.qlIMMNextCode($E19,TRUE)</f>
        <v>H8</v>
      </c>
      <c r="D20" s="248" t="str">
        <f t="shared" si="13"/>
        <v>EURFUT3MH8_Quote</v>
      </c>
      <c r="E20" s="114">
        <f>_xll.qlIMMdate(C20,$E$3,Trigger)</f>
        <v>43180</v>
      </c>
      <c r="F20" s="328">
        <f t="shared" si="0"/>
        <v>1.0547945205479452</v>
      </c>
      <c r="G20" s="114">
        <f>_xll.qlCalendarAdvance(Calendar,E20,$G$1,"mf",,Trigger)</f>
        <v>43272</v>
      </c>
      <c r="H20" s="100">
        <f>_xll.qlDayCounterYearFraction(DayCounter,E20,G20,,,Trigger)</f>
        <v>0.25555555555555554</v>
      </c>
      <c r="I20" s="112">
        <f>1-_xll.qlQuoteValue(D20,AllTriggers)/100-_xll.qlQuoteValue(Currency&amp;"FUT"&amp;"3M"&amp;C20&amp;"ConvAdj_Quote")</f>
        <v>-2.4255000000001216E-3</v>
      </c>
      <c r="J20" s="115">
        <f>_xll.qlYieldTSDiscount(Discounting,E20,,AllTriggers)</f>
        <v>1.0037602393772855</v>
      </c>
      <c r="K20" s="115">
        <f>_xll.qlYieldTSDiscount(Discounting,G20,,AllTriggers)</f>
        <v>1.0046043595116345</v>
      </c>
      <c r="L20" s="112">
        <f>(J20/K20-1)/H20</f>
        <v>-3.2879399290966626E-3</v>
      </c>
      <c r="M20" s="112">
        <f t="shared" si="4"/>
        <v>8.6243992909654102E-4</v>
      </c>
      <c r="N20" s="50" t="b">
        <v>0</v>
      </c>
      <c r="O20" s="50" t="b">
        <v>0</v>
      </c>
      <c r="P20" s="112">
        <f>_xll.qlInterpolationInterpolate(B3Minterpolation,E20,TRUE,Trigger)</f>
        <v>8.5190189151008577E-4</v>
      </c>
      <c r="Q20" s="242">
        <f t="shared" si="5"/>
        <v>0.10538037586455257</v>
      </c>
      <c r="R20" s="236">
        <f t="shared" si="6"/>
        <v>2.2056233778687461E-4</v>
      </c>
      <c r="S20" s="112">
        <f>_xll.qlInterpolationInterpolate(AbcdInterpolation3M,F20,TRUE,Trigger)</f>
        <v>8.7296826110771272E-4</v>
      </c>
      <c r="T20" s="242">
        <f t="shared" si="7"/>
        <v>-0.10528332011171693</v>
      </c>
      <c r="V20" s="114">
        <f>_xll.qlCalendarAdvance(Calendar,V19,"1D","f")</f>
        <v>42822</v>
      </c>
      <c r="W20" s="100">
        <f t="shared" si="2"/>
        <v>7.3972602739726029E-2</v>
      </c>
      <c r="X20" s="112">
        <f>_xll.qlInterpolationInterpolate(B3Minterpolation,V20,TRUE)</f>
        <v>2.6781760207587971E-4</v>
      </c>
      <c r="Y20" s="112">
        <f>_xll.qlInterpolationInterpolate(AbcdInterpolation3M,$W20,TRUE)</f>
        <v>2.8049896474911519E-4</v>
      </c>
      <c r="AC20" s="86"/>
      <c r="AD20" s="86"/>
    </row>
    <row r="21" spans="3:30" ht="11.25" customHeight="1" x14ac:dyDescent="0.2">
      <c r="C21" s="60" t="str">
        <f>_xll.qlIMMNextCode($E20,TRUE)</f>
        <v>M8</v>
      </c>
      <c r="D21" s="248" t="str">
        <f t="shared" si="13"/>
        <v>EURFUT3MM8_Quote</v>
      </c>
      <c r="E21" s="114">
        <f>_xll.qlIMMdate(C21,$E$3,Trigger)</f>
        <v>43271</v>
      </c>
      <c r="F21" s="328">
        <f t="shared" si="0"/>
        <v>1.3041095890410959</v>
      </c>
      <c r="G21" s="114">
        <f>_xll.qlCalendarAdvance(Calendar,E21,$G$1,"mf",,Trigger)</f>
        <v>43363</v>
      </c>
      <c r="H21" s="100">
        <f>_xll.qlDayCounterYearFraction(DayCounter,E21,G21,,,Trigger)</f>
        <v>0.25555555555555554</v>
      </c>
      <c r="I21" s="112">
        <f>1-_xll.qlQuoteValue(D21,AllTriggers)/100-_xll.qlQuoteValue(Currency&amp;"FUT"&amp;"3M"&amp;C21&amp;"ConvAdj_Quote")</f>
        <v>-2.2374999999999214E-3</v>
      </c>
      <c r="J21" s="115">
        <f>_xll.qlYieldTSDiscount(Discounting,E21,,AllTriggers)</f>
        <v>1.0045954143411251</v>
      </c>
      <c r="K21" s="115">
        <f>_xll.qlYieldTSDiscount(Discounting,G21,,AllTriggers)</f>
        <v>1.0054064303770001</v>
      </c>
      <c r="L21" s="112">
        <f>(J21/K21-1)/H21</f>
        <v>-3.1564757436011366E-3</v>
      </c>
      <c r="M21" s="112">
        <f t="shared" si="4"/>
        <v>9.1897574360121515E-4</v>
      </c>
      <c r="N21" s="50" t="b">
        <v>0</v>
      </c>
      <c r="O21" s="50" t="b">
        <v>0</v>
      </c>
      <c r="P21" s="112">
        <f>_xll.qlInterpolationInterpolate(B3Minterpolation,E21,TRUE,Trigger)</f>
        <v>9.6234625322182013E-4</v>
      </c>
      <c r="Q21" s="242">
        <f t="shared" si="5"/>
        <v>-0.4337050962060498</v>
      </c>
      <c r="R21" s="236">
        <f t="shared" si="6"/>
        <v>2.3501133469623265E-4</v>
      </c>
      <c r="S21" s="112">
        <f>_xll.qlInterpolationInterpolate(AbcdInterpolation3M,F21,TRUE,Trigger)</f>
        <v>8.9661144692718033E-4</v>
      </c>
      <c r="T21" s="242">
        <f t="shared" si="7"/>
        <v>0.22364296674034817</v>
      </c>
      <c r="V21" s="114">
        <f>_xll.qlCalendarAdvance(Calendar,V20,"1D","f")</f>
        <v>42823</v>
      </c>
      <c r="W21" s="100">
        <f t="shared" si="2"/>
        <v>7.6712328767123292E-2</v>
      </c>
      <c r="X21" s="112">
        <f>_xll.qlInterpolationInterpolate(B3Minterpolation,V21,TRUE)</f>
        <v>2.6942789730025871E-4</v>
      </c>
      <c r="Y21" s="112">
        <f>_xll.qlInterpolationInterpolate(AbcdInterpolation3M,$W21,TRUE)</f>
        <v>2.8401317989870743E-4</v>
      </c>
      <c r="AC21" s="86"/>
      <c r="AD21" s="86"/>
    </row>
    <row r="22" spans="3:30" ht="11.25" customHeight="1" x14ac:dyDescent="0.2">
      <c r="C22" s="60" t="str">
        <f>_xll.qlIMMNextCode($E21,TRUE)</f>
        <v>U8</v>
      </c>
      <c r="D22" s="248" t="str">
        <f t="shared" si="13"/>
        <v>EURFUT3MU8_Quote</v>
      </c>
      <c r="E22" s="114">
        <f>_xll.qlIMMdate(C22,$E$3,Trigger)</f>
        <v>43362</v>
      </c>
      <c r="F22" s="328">
        <f t="shared" si="0"/>
        <v>1.5534246575342465</v>
      </c>
      <c r="G22" s="114">
        <f>_xll.qlCalendarAdvance(Calendar,E22,$G$1,"mf",,Trigger)</f>
        <v>43453</v>
      </c>
      <c r="H22" s="100">
        <f>_xll.qlDayCounterYearFraction(DayCounter,E22,G22,,,Trigger)</f>
        <v>0.25277777777777777</v>
      </c>
      <c r="I22" s="112">
        <f>1-_xll.qlQuoteValue(D22,AllTriggers)/100-_xll.qlQuoteValue(Currency&amp;"FUT"&amp;"3M"&amp;C22&amp;"ConvAdj_Quote")</f>
        <v>-1.9900000000000599E-3</v>
      </c>
      <c r="J22" s="115">
        <f>_xll.qlYieldTSDiscount(Discounting,E22,,AllTriggers)</f>
        <v>1.0053976767342072</v>
      </c>
      <c r="K22" s="115">
        <f>_xll.qlYieldTSDiscount(Discounting,G22,,AllTriggers)</f>
        <v>1.0061688218044169</v>
      </c>
      <c r="L22" s="112">
        <f>(J22/K22-1)/H22</f>
        <v>-3.0319800495956233E-3</v>
      </c>
      <c r="M22" s="112">
        <f t="shared" si="4"/>
        <v>1.0419800495955634E-3</v>
      </c>
      <c r="N22" s="50" t="b">
        <v>0</v>
      </c>
      <c r="O22" s="50" t="b">
        <v>0</v>
      </c>
      <c r="P22" s="112">
        <f>_xll.qlInterpolationInterpolate(B3Minterpolation,E22,TRUE,Trigger)</f>
        <v>1.4455356247514936E-3</v>
      </c>
      <c r="Q22" s="242">
        <f t="shared" si="5"/>
        <v>-4.0355557515593015</v>
      </c>
      <c r="R22" s="236">
        <f t="shared" si="6"/>
        <v>2.6355668830467332E-4</v>
      </c>
      <c r="S22" s="112">
        <f>_xll.qlInterpolationInterpolate(AbcdInterpolation3M,F22,TRUE,Trigger)</f>
        <v>8.9867025062452803E-4</v>
      </c>
      <c r="T22" s="242">
        <f t="shared" si="7"/>
        <v>1.4330979897103537</v>
      </c>
      <c r="V22" s="114">
        <f>_xll.qlCalendarAdvance(Calendar,V21,"1D","f")</f>
        <v>42824</v>
      </c>
      <c r="W22" s="100">
        <f t="shared" si="2"/>
        <v>7.9452054794520555E-2</v>
      </c>
      <c r="X22" s="112">
        <f>_xll.qlInterpolationInterpolate(B3Minterpolation,V22,TRUE)</f>
        <v>2.7101593771927554E-4</v>
      </c>
      <c r="Y22" s="112">
        <f>_xll.qlInterpolationInterpolate(AbcdInterpolation3M,$W22,TRUE)</f>
        <v>2.8751633224195517E-4</v>
      </c>
      <c r="AC22" s="86"/>
      <c r="AD22" s="86"/>
    </row>
    <row r="23" spans="3:30" ht="11.25" customHeight="1" x14ac:dyDescent="0.2">
      <c r="C23" s="60" t="str">
        <f>_xll.qlIMMNextCode($E22,TRUE)</f>
        <v>Z8</v>
      </c>
      <c r="D23" s="248" t="str">
        <f t="shared" si="13"/>
        <v>EURFUT3MZ8_Quote</v>
      </c>
      <c r="E23" s="114">
        <f>_xll.qlIMMdate(C23,$E$3,Trigger)</f>
        <v>43453</v>
      </c>
      <c r="F23" s="328">
        <f t="shared" si="0"/>
        <v>1.8027397260273972</v>
      </c>
      <c r="G23" s="114">
        <f>_xll.qlCalendarAdvance(Calendar,E23,$G$1,"mf",,Trigger)</f>
        <v>43543</v>
      </c>
      <c r="H23" s="100">
        <f>_xll.qlDayCounterYearFraction(DayCounter,E23,G23,,,Trigger)</f>
        <v>0.25</v>
      </c>
      <c r="I23" s="112">
        <f>1-_xll.qlQuoteValue(D23,AllTriggers)/100-_xll.qlQuoteValue(Currency&amp;"FUT"&amp;"3M"&amp;C23&amp;"ConvAdj_Quote")</f>
        <v>-1.697500000000093E-3</v>
      </c>
      <c r="J23" s="115">
        <f>_xll.qlYieldTSDiscount(Discounting,E23,,AllTriggers)</f>
        <v>1.0061688218044169</v>
      </c>
      <c r="K23" s="115">
        <f>_xll.qlYieldTSDiscount(Discounting,G23,,AllTriggers)</f>
        <v>1.0068426443970842</v>
      </c>
      <c r="L23" s="112">
        <f>(J23/K23-1)/H23</f>
        <v>-2.676972797753141E-3</v>
      </c>
      <c r="M23" s="112">
        <f t="shared" si="4"/>
        <v>9.7947279775304798E-4</v>
      </c>
      <c r="N23" s="50" t="b">
        <v>0</v>
      </c>
      <c r="O23" s="50" t="b">
        <v>0</v>
      </c>
      <c r="P23" s="112">
        <f>_xll.qlInterpolationInterpolate(B3Minterpolation,E23,TRUE,Trigger)</f>
        <v>2.6184774443554848E-3</v>
      </c>
      <c r="Q23" s="242">
        <f t="shared" si="5"/>
        <v>-16.390046466024369</v>
      </c>
      <c r="R23" s="236">
        <f t="shared" si="6"/>
        <v>2.4500217007913624E-4</v>
      </c>
      <c r="S23" s="112">
        <f>_xll.qlInterpolationInterpolate(AbcdInterpolation3M,F23,TRUE,Trigger)</f>
        <v>8.8712250554165125E-4</v>
      </c>
      <c r="T23" s="242">
        <f t="shared" si="7"/>
        <v>0.92350292211396734</v>
      </c>
      <c r="V23" s="114">
        <f>_xll.qlCalendarAdvance(Calendar,V22,"1D","f")</f>
        <v>42825</v>
      </c>
      <c r="W23" s="100">
        <f t="shared" si="2"/>
        <v>8.2191780821917804E-2</v>
      </c>
      <c r="X23" s="112">
        <f>_xll.qlInterpolationInterpolate(B3Minterpolation,V23,TRUE)</f>
        <v>2.7258617429400263E-4</v>
      </c>
      <c r="Y23" s="112">
        <f>_xll.qlInterpolationInterpolate(AbcdInterpolation3M,$W23,TRUE)</f>
        <v>2.9100822116437749E-4</v>
      </c>
      <c r="AC23" s="86"/>
      <c r="AD23" s="86"/>
    </row>
    <row r="24" spans="3:30" ht="11.25" customHeight="1" x14ac:dyDescent="0.2">
      <c r="C24" s="60" t="str">
        <f>_xll.qlIMMNextCode($E23,TRUE)</f>
        <v>H9</v>
      </c>
      <c r="D24" s="249" t="str">
        <f t="shared" si="13"/>
        <v>EURFUT3MH9_Quote</v>
      </c>
      <c r="E24" s="118">
        <f>_xll.qlIMMdate(C24,$E$3,Trigger)</f>
        <v>43544</v>
      </c>
      <c r="F24" s="330">
        <f t="shared" si="0"/>
        <v>2.0520547945205481</v>
      </c>
      <c r="G24" s="118">
        <f>_xll.qlCalendarAdvance(Calendar,E24,$G$1,"mf",,Trigger)</f>
        <v>43636</v>
      </c>
      <c r="H24" s="105">
        <f>_xll.qlDayCounterYearFraction(DayCounter,E24,G24,,,Trigger)</f>
        <v>0.25555555555555554</v>
      </c>
      <c r="I24" s="121">
        <f>1-_xll.qlQuoteValue(D24,AllTriggers)/100-_xll.qlQuoteValue(Currency&amp;"FUT"&amp;"3M"&amp;C24&amp;"ConvAdj_Quote")</f>
        <v>-1.4025000000001261E-3</v>
      </c>
      <c r="J24" s="119">
        <f>_xll.qlYieldTSDiscount(Discounting,E24,,AllTriggers)</f>
        <v>1.0068497193813044</v>
      </c>
      <c r="K24" s="119">
        <f>_xll.qlYieldTSDiscount(Discounting,G24,,AllTriggers)</f>
        <v>1.0074658114222641</v>
      </c>
      <c r="L24" s="121">
        <f t="shared" si="14"/>
        <v>-2.392929780398565E-3</v>
      </c>
      <c r="M24" s="121">
        <f t="shared" si="4"/>
        <v>9.9042978039843893E-4</v>
      </c>
      <c r="N24" s="55" t="b">
        <v>0</v>
      </c>
      <c r="O24" s="55" t="b">
        <v>0</v>
      </c>
      <c r="P24" s="121">
        <f>_xll.qlInterpolationInterpolate(B3Minterpolation,E24,TRUE,Trigger)</f>
        <v>4.7981791502901706E-3</v>
      </c>
      <c r="Q24" s="243">
        <f t="shared" si="5"/>
        <v>-38.077493698917316</v>
      </c>
      <c r="R24" s="238">
        <f t="shared" si="6"/>
        <v>2.5323264475777586E-4</v>
      </c>
      <c r="S24" s="121">
        <f>_xll.qlInterpolationInterpolate(AbcdInterpolation3M,F24,TRUE,Trigger)</f>
        <v>8.674542426626887E-4</v>
      </c>
      <c r="T24" s="243">
        <f t="shared" si="7"/>
        <v>1.2297553773575023</v>
      </c>
      <c r="V24" s="114">
        <f>_xll.qlCalendarAdvance(Calendar,V23,"1D","f")</f>
        <v>42828</v>
      </c>
      <c r="W24" s="100">
        <f t="shared" si="2"/>
        <v>9.0410958904109592E-2</v>
      </c>
      <c r="X24" s="112">
        <f>_xll.qlInterpolationInterpolate(B3Minterpolation,V24,TRUE)</f>
        <v>2.7723457056316996E-4</v>
      </c>
      <c r="Y24" s="112">
        <f>_xll.qlInterpolationInterpolate(AbcdInterpolation3M,$W24,TRUE)</f>
        <v>3.0141451155949833E-4</v>
      </c>
      <c r="AC24" s="86"/>
      <c r="AD24" s="86"/>
    </row>
    <row r="25" spans="3:30" ht="11.25" customHeight="1" x14ac:dyDescent="0.2">
      <c r="E25" s="229"/>
      <c r="F25" s="229"/>
      <c r="G25" s="229"/>
      <c r="H25" s="86"/>
      <c r="L25" s="86"/>
      <c r="M25" s="86"/>
      <c r="V25" s="114">
        <f>_xll.qlCalendarAdvance(Calendar,V24,"1D","f")</f>
        <v>42829</v>
      </c>
      <c r="W25" s="100">
        <f t="shared" si="2"/>
        <v>9.3150684931506855E-2</v>
      </c>
      <c r="X25" s="112">
        <f>_xll.qlInterpolationInterpolate(B3Minterpolation,V25,TRUE)</f>
        <v>2.7877810137146247E-4</v>
      </c>
      <c r="Y25" s="112">
        <f>_xll.qlInterpolationInterpolate(AbcdInterpolation3M,$W25,TRUE)</f>
        <v>3.0485961462097026E-4</v>
      </c>
      <c r="AC25" s="86"/>
      <c r="AD25" s="86"/>
    </row>
    <row r="26" spans="3:30" ht="11.25" customHeight="1" x14ac:dyDescent="0.2">
      <c r="E26" s="229"/>
      <c r="F26" s="229"/>
      <c r="G26" s="229"/>
      <c r="H26" s="86"/>
      <c r="L26" s="86"/>
      <c r="M26" s="86"/>
      <c r="V26" s="114">
        <f>_xll.qlCalendarAdvance(Calendar,V25,"1D","f")</f>
        <v>42830</v>
      </c>
      <c r="W26" s="100">
        <f t="shared" si="2"/>
        <v>9.5890410958904104E-2</v>
      </c>
      <c r="X26" s="112">
        <f>_xll.qlInterpolationInterpolate(B3Minterpolation,V26,TRUE)</f>
        <v>2.8032608314082746E-4</v>
      </c>
      <c r="Y26" s="112">
        <f>_xll.qlInterpolationInterpolate(AbcdInterpolation3M,$W26,TRUE)</f>
        <v>3.0829264894829245E-4</v>
      </c>
      <c r="AC26" s="86"/>
      <c r="AD26" s="86"/>
    </row>
    <row r="27" spans="3:30" ht="11.25" customHeight="1" x14ac:dyDescent="0.2">
      <c r="E27" s="229"/>
      <c r="F27" s="229"/>
      <c r="G27" s="229"/>
      <c r="H27" s="86"/>
      <c r="L27" s="86"/>
      <c r="M27" s="86"/>
      <c r="V27" s="114">
        <f>_xll.qlCalendarAdvance(Calendar,V26,"1D","f")</f>
        <v>42831</v>
      </c>
      <c r="W27" s="100">
        <f t="shared" si="2"/>
        <v>9.8630136986301367E-2</v>
      </c>
      <c r="X27" s="112">
        <f>_xll.qlInterpolationInterpolate(B3Minterpolation,V27,TRUE)</f>
        <v>2.8188296683233729E-4</v>
      </c>
      <c r="Y27" s="112">
        <f>_xll.qlInterpolationInterpolate(AbcdInterpolation3M,$W27,TRUE)</f>
        <v>3.1171348722170854E-4</v>
      </c>
      <c r="AC27" s="86"/>
      <c r="AD27" s="86"/>
    </row>
    <row r="28" spans="3:30" ht="11.25" customHeight="1" x14ac:dyDescent="0.2">
      <c r="E28" s="229"/>
      <c r="F28" s="229"/>
      <c r="G28" s="229"/>
      <c r="H28" s="86"/>
      <c r="L28" s="86"/>
      <c r="M28" s="86"/>
      <c r="V28" s="114">
        <f>_xll.qlCalendarAdvance(Calendar,V27,"1D","f")</f>
        <v>42832</v>
      </c>
      <c r="W28" s="100">
        <f t="shared" si="2"/>
        <v>0.10136986301369863</v>
      </c>
      <c r="X28" s="112">
        <f>_xll.qlInterpolationInterpolate(B3Minterpolation,V28,TRUE)</f>
        <v>2.8345320340706438E-4</v>
      </c>
      <c r="Y28" s="112">
        <f>_xll.qlInterpolationInterpolate(AbcdInterpolation3M,$W28,TRUE)</f>
        <v>3.1512201171351875E-4</v>
      </c>
      <c r="AC28" s="86"/>
      <c r="AD28" s="86"/>
    </row>
    <row r="29" spans="3:30" ht="11.25" customHeight="1" x14ac:dyDescent="0.2">
      <c r="E29" s="229"/>
      <c r="F29" s="229"/>
      <c r="G29" s="229"/>
      <c r="H29" s="86"/>
      <c r="L29" s="86"/>
      <c r="M29" s="86"/>
      <c r="V29" s="114">
        <f>_xll.qlCalendarAdvance(Calendar,V28,"1D","f")</f>
        <v>42835</v>
      </c>
      <c r="W29" s="100">
        <f t="shared" si="2"/>
        <v>0.1095890410958904</v>
      </c>
      <c r="X29" s="112">
        <f>_xll.qlInterpolationInterpolate(B3Minterpolation,V29,TRUE)</f>
        <v>2.8828854004127379E-4</v>
      </c>
      <c r="Y29" s="112">
        <f>_xll.qlInterpolationInterpolate(AbcdInterpolation3M,$W29,TRUE)</f>
        <v>3.2527265666083577E-4</v>
      </c>
      <c r="AC29" s="86"/>
      <c r="AD29" s="86"/>
    </row>
    <row r="30" spans="3:30" ht="11.25" customHeight="1" x14ac:dyDescent="0.2">
      <c r="E30" s="229"/>
      <c r="F30" s="229"/>
      <c r="G30" s="229"/>
      <c r="H30" s="86"/>
      <c r="L30" s="86"/>
      <c r="M30" s="86"/>
      <c r="V30" s="114">
        <f>_xll.qlCalendarAdvance(Calendar,V29,"1D","f")</f>
        <v>42836</v>
      </c>
      <c r="W30" s="100">
        <f t="shared" si="2"/>
        <v>0.11232876712328767</v>
      </c>
      <c r="X30" s="112">
        <f>_xll.qlInterpolationInterpolate(B3Minterpolation,V30,TRUE)</f>
        <v>2.8995669775959431E-4</v>
      </c>
      <c r="Y30" s="112">
        <f>_xll.qlInterpolationInterpolate(AbcdInterpolation3M,$W30,TRUE)</f>
        <v>3.2863092024220064E-4</v>
      </c>
      <c r="AC30" s="86"/>
      <c r="AD30" s="86"/>
    </row>
    <row r="31" spans="3:30" ht="11.25" customHeight="1" x14ac:dyDescent="0.2">
      <c r="E31" s="229"/>
      <c r="F31" s="229"/>
      <c r="G31" s="229"/>
      <c r="H31" s="86"/>
      <c r="L31" s="86"/>
      <c r="M31" s="86"/>
      <c r="V31" s="114">
        <f>_xll.qlCalendarAdvance(Calendar,V30,"1D","f")</f>
        <v>42837</v>
      </c>
      <c r="W31" s="100">
        <f t="shared" si="2"/>
        <v>0.11506849315068493</v>
      </c>
      <c r="X31" s="112">
        <f>_xll.qlInterpolationInterpolate(B3Minterpolation,V31,TRUE)</f>
        <v>2.9166046316649432E-4</v>
      </c>
      <c r="Y31" s="112">
        <f>_xll.qlInterpolationInterpolate(AbcdInterpolation3M,$W31,TRUE)</f>
        <v>3.3197640550023674E-4</v>
      </c>
      <c r="AA31" s="230"/>
      <c r="AC31" s="86"/>
      <c r="AD31" s="86"/>
    </row>
    <row r="32" spans="3:30" ht="11.25" customHeight="1" x14ac:dyDescent="0.2">
      <c r="E32" s="229"/>
      <c r="F32" s="229"/>
      <c r="G32" s="229"/>
      <c r="H32" s="86"/>
      <c r="L32" s="86"/>
      <c r="M32" s="86"/>
      <c r="V32" s="114">
        <f>_xll.qlCalendarAdvance(Calendar,V31,"1D","f")</f>
        <v>42838</v>
      </c>
      <c r="W32" s="100">
        <f t="shared" si="2"/>
        <v>0.11780821917808219</v>
      </c>
      <c r="X32" s="112">
        <f>_xll.qlInterpolationInterpolate(B3Minterpolation,V32,TRUE)</f>
        <v>2.9340428722304622E-4</v>
      </c>
      <c r="Y32" s="112">
        <f>_xll.qlInterpolationInterpolate(AbcdInterpolation3M,$W32,TRUE)</f>
        <v>3.3530904092686021E-4</v>
      </c>
      <c r="AC32" s="86"/>
      <c r="AD32" s="86"/>
    </row>
    <row r="33" spans="5:30" ht="11.25" customHeight="1" x14ac:dyDescent="0.2">
      <c r="E33" s="229"/>
      <c r="F33" s="229"/>
      <c r="G33" s="229"/>
      <c r="H33" s="86"/>
      <c r="L33" s="86"/>
      <c r="M33" s="86"/>
      <c r="V33" s="114">
        <f>_xll.qlCalendarAdvance(Calendar,V32,"1D","f")</f>
        <v>42843</v>
      </c>
      <c r="W33" s="100">
        <f t="shared" si="2"/>
        <v>0.13150684931506848</v>
      </c>
      <c r="X33" s="112">
        <f>_xll.qlInterpolationInterpolate(B3Minterpolation,V33,TRUE)</f>
        <v>3.0288007088811873E-4</v>
      </c>
      <c r="Y33" s="112">
        <f>_xll.qlInterpolationInterpolate(AbcdInterpolation3M,$W33,TRUE)</f>
        <v>3.5177737838630981E-4</v>
      </c>
      <c r="AC33" s="86"/>
      <c r="AD33" s="86"/>
    </row>
    <row r="34" spans="5:30" ht="11.25" customHeight="1" x14ac:dyDescent="0.2">
      <c r="E34" s="229"/>
      <c r="F34" s="229"/>
      <c r="G34" s="229"/>
      <c r="H34" s="86"/>
      <c r="L34" s="86"/>
      <c r="M34" s="86"/>
      <c r="V34" s="114">
        <f>_xll.qlCalendarAdvance(Calendar,V33,"1D","f")</f>
        <v>42844</v>
      </c>
      <c r="W34" s="100">
        <f t="shared" si="2"/>
        <v>0.13424657534246576</v>
      </c>
      <c r="X34" s="112">
        <f>_xll.qlInterpolationInterpolate(B3Minterpolation,V34,TRUE)</f>
        <v>3.0495771702510283E-4</v>
      </c>
      <c r="Y34" s="112">
        <f>_xll.qlInterpolationInterpolate(AbcdInterpolation3M,$W34,TRUE)</f>
        <v>3.550317331997609E-4</v>
      </c>
      <c r="AC34" s="86"/>
      <c r="AD34" s="86"/>
    </row>
    <row r="35" spans="5:30" ht="11.25" customHeight="1" x14ac:dyDescent="0.2">
      <c r="E35" s="229"/>
      <c r="F35" s="229"/>
      <c r="G35" s="229"/>
      <c r="H35" s="86"/>
      <c r="L35" s="86"/>
      <c r="M35" s="86"/>
      <c r="V35" s="114">
        <f>_xll.qlCalendarAdvance(Calendar,V34,"1D","f")</f>
        <v>42845</v>
      </c>
      <c r="W35" s="100">
        <f t="shared" si="2"/>
        <v>0.13698630136986301</v>
      </c>
      <c r="X35" s="112">
        <f>_xll.qlInterpolationInterpolate(B3Minterpolation,V35,TRUE)</f>
        <v>3.0710657853924583E-4</v>
      </c>
      <c r="Y35" s="112">
        <f>_xll.qlInterpolationInterpolate(AbcdInterpolation3M,$W35,TRUE)</f>
        <v>3.5827289093332747E-4</v>
      </c>
      <c r="AC35" s="86"/>
      <c r="AD35" s="86"/>
    </row>
    <row r="36" spans="5:30" ht="11.25" customHeight="1" x14ac:dyDescent="0.2">
      <c r="E36" s="229"/>
      <c r="F36" s="229"/>
      <c r="G36" s="229"/>
      <c r="H36" s="86"/>
      <c r="L36" s="86"/>
      <c r="M36" s="86"/>
      <c r="V36" s="114">
        <f>_xll.qlCalendarAdvance(Calendar,V35,"1D","f")</f>
        <v>42846</v>
      </c>
      <c r="W36" s="100">
        <f t="shared" si="2"/>
        <v>0.13972602739726028</v>
      </c>
      <c r="X36" s="112">
        <f>_xll.qlInterpolationInterpolate(B3Minterpolation,V36,TRUE)</f>
        <v>3.0933110639162016E-4</v>
      </c>
      <c r="Y36" s="112">
        <f>_xll.qlInterpolationInterpolate(AbcdInterpolation3M,$W36,TRUE)</f>
        <v>3.6150082028817729E-4</v>
      </c>
      <c r="AC36" s="86"/>
      <c r="AD36" s="86"/>
    </row>
    <row r="37" spans="5:30" ht="11.25" customHeight="1" x14ac:dyDescent="0.2">
      <c r="E37" s="229"/>
      <c r="F37" s="229"/>
      <c r="G37" s="229"/>
      <c r="H37" s="86"/>
      <c r="L37" s="86"/>
      <c r="M37" s="86"/>
      <c r="V37" s="114">
        <f>_xll.qlCalendarAdvance(Calendar,V36,"1D","f")</f>
        <v>42849</v>
      </c>
      <c r="W37" s="100">
        <f t="shared" si="2"/>
        <v>0.14794520547945206</v>
      </c>
      <c r="X37" s="112">
        <f>_xll.qlInterpolationInterpolate(B3Minterpolation,V37,TRUE)</f>
        <v>3.1650319758885521E-4</v>
      </c>
      <c r="Y37" s="112">
        <f>_xll.qlInterpolationInterpolate(AbcdInterpolation3M,$W37,TRUE)</f>
        <v>3.7110498111046162E-4</v>
      </c>
      <c r="AC37" s="86"/>
      <c r="AD37" s="86"/>
    </row>
    <row r="38" spans="5:30" ht="11.25" customHeight="1" x14ac:dyDescent="0.2">
      <c r="E38" s="229"/>
      <c r="F38" s="229"/>
      <c r="G38" s="229"/>
      <c r="H38" s="86"/>
      <c r="L38" s="86"/>
      <c r="M38" s="86"/>
      <c r="V38" s="114">
        <f>_xll.qlCalendarAdvance(Calendar,V37,"1D","f")</f>
        <v>42850</v>
      </c>
      <c r="W38" s="100">
        <f t="shared" si="2"/>
        <v>0.15068493150684931</v>
      </c>
      <c r="X38" s="112">
        <f>_xll.qlInterpolationInterpolate(B3Minterpolation,V38,TRUE)</f>
        <v>3.1907490040487905E-4</v>
      </c>
      <c r="Y38" s="112">
        <f>_xll.qlInterpolationInterpolate(AbcdInterpolation3M,$W38,TRUE)</f>
        <v>3.7427975722159384E-4</v>
      </c>
      <c r="AC38" s="86"/>
      <c r="AD38" s="86"/>
    </row>
    <row r="39" spans="5:30" ht="11.25" customHeight="1" x14ac:dyDescent="0.2">
      <c r="E39" s="229"/>
      <c r="F39" s="229"/>
      <c r="G39" s="229"/>
      <c r="H39" s="86"/>
      <c r="L39" s="86"/>
      <c r="M39" s="86"/>
      <c r="V39" s="114">
        <f>_xll.qlCalendarAdvance(Calendar,V38,"1D","f")</f>
        <v>42851</v>
      </c>
      <c r="W39" s="100">
        <f t="shared" si="2"/>
        <v>0.15342465753424658</v>
      </c>
      <c r="X39" s="112">
        <f>_xll.qlInterpolationInterpolate(B3Minterpolation,V39,TRUE)</f>
        <v>3.2174452436449638E-4</v>
      </c>
      <c r="Y39" s="112">
        <f>_xll.qlInterpolationInterpolate(AbcdInterpolation3M,$W39,TRUE)</f>
        <v>3.7744120167318933E-4</v>
      </c>
      <c r="AC39" s="86"/>
      <c r="AD39" s="86"/>
    </row>
    <row r="40" spans="5:30" ht="11.25" customHeight="1" x14ac:dyDescent="0.2">
      <c r="E40" s="229"/>
      <c r="F40" s="229"/>
      <c r="G40" s="229"/>
      <c r="H40" s="86"/>
      <c r="L40" s="86"/>
      <c r="M40" s="86"/>
      <c r="V40" s="114">
        <f>_xll.qlCalendarAdvance(Calendar,V39,"1D","f")</f>
        <v>42852</v>
      </c>
      <c r="W40" s="100">
        <f t="shared" si="2"/>
        <v>0.15616438356164383</v>
      </c>
      <c r="X40" s="112">
        <f>_xll.qlInterpolationInterpolate(B3Minterpolation,V40,TRUE)</f>
        <v>3.2451652042877956E-4</v>
      </c>
      <c r="Y40" s="112">
        <f>_xll.qlInterpolationInterpolate(AbcdInterpolation3M,$W40,TRUE)</f>
        <v>3.8058930313363806E-4</v>
      </c>
      <c r="AC40" s="86"/>
      <c r="AD40" s="86"/>
    </row>
    <row r="41" spans="5:30" ht="11.25" customHeight="1" x14ac:dyDescent="0.2">
      <c r="E41" s="229"/>
      <c r="F41" s="229"/>
      <c r="G41" s="229"/>
      <c r="H41" s="86"/>
      <c r="L41" s="86"/>
      <c r="M41" s="86"/>
      <c r="V41" s="114">
        <f>_xll.qlCalendarAdvance(Calendar,V40,"1D","f")</f>
        <v>42853</v>
      </c>
      <c r="W41" s="100">
        <f t="shared" si="2"/>
        <v>0.15890410958904111</v>
      </c>
      <c r="X41" s="112">
        <f>_xll.qlInterpolationInterpolate(B3Minterpolation,V41,TRUE)</f>
        <v>3.2739533955880107E-4</v>
      </c>
      <c r="Y41" s="112">
        <f>_xll.qlInterpolationInterpolate(AbcdInterpolation3M,$W41,TRUE)</f>
        <v>3.8372405299245949E-4</v>
      </c>
      <c r="AC41" s="86"/>
      <c r="AD41" s="86"/>
    </row>
    <row r="42" spans="5:30" ht="11.25" customHeight="1" x14ac:dyDescent="0.2">
      <c r="E42" s="229"/>
      <c r="F42" s="229"/>
      <c r="G42" s="229"/>
      <c r="H42" s="86"/>
      <c r="L42" s="86"/>
      <c r="M42" s="86"/>
      <c r="V42" s="114">
        <f>_xll.qlCalendarAdvance(Calendar,V41,"1D","f")</f>
        <v>42857</v>
      </c>
      <c r="W42" s="100">
        <f t="shared" si="2"/>
        <v>0.16986301369863013</v>
      </c>
      <c r="X42" s="112">
        <f>_xll.qlInterpolationInterpolate(B3Minterpolation,V42,TRUE)</f>
        <v>3.4006786595771894E-4</v>
      </c>
      <c r="Y42" s="112">
        <f>_xll.qlInterpolationInterpolate(AbcdInterpolation3M,$W42,TRUE)</f>
        <v>3.9612945149098967E-4</v>
      </c>
      <c r="AC42" s="86"/>
      <c r="AD42" s="86"/>
    </row>
    <row r="43" spans="5:30" ht="11.25" customHeight="1" x14ac:dyDescent="0.2">
      <c r="E43" s="229"/>
      <c r="F43" s="229"/>
      <c r="G43" s="229"/>
      <c r="H43" s="86"/>
      <c r="L43" s="86"/>
      <c r="M43" s="86"/>
      <c r="V43" s="114">
        <f>_xll.qlCalendarAdvance(Calendar,V42,"1D","f")</f>
        <v>42858</v>
      </c>
      <c r="W43" s="100">
        <f t="shared" si="2"/>
        <v>0.17260273972602741</v>
      </c>
      <c r="X43" s="112">
        <f>_xll.qlInterpolationInterpolate(B3Minterpolation,V43,TRUE)</f>
        <v>3.4354756483251847E-4</v>
      </c>
      <c r="Y43" s="112">
        <f>_xll.qlInterpolationInterpolate(AbcdInterpolation3M,$W43,TRUE)</f>
        <v>3.9919739965736716E-4</v>
      </c>
      <c r="AC43" s="86"/>
      <c r="AD43" s="86"/>
    </row>
    <row r="44" spans="5:30" ht="11.25" customHeight="1" x14ac:dyDescent="0.2">
      <c r="E44" s="229"/>
      <c r="F44" s="229"/>
      <c r="G44" s="229"/>
      <c r="H44" s="86"/>
      <c r="L44" s="86"/>
      <c r="M44" s="86"/>
      <c r="V44" s="114">
        <f>_xll.qlCalendarAdvance(Calendar,V43,"1D","f")</f>
        <v>42859</v>
      </c>
      <c r="W44" s="100">
        <f t="shared" si="2"/>
        <v>0.17534246575342466</v>
      </c>
      <c r="X44" s="112">
        <f>_xll.qlInterpolationInterpolate(B3Minterpolation,V44,TRUE)</f>
        <v>3.4715887341835779E-4</v>
      </c>
      <c r="Y44" s="112">
        <f>_xll.qlInterpolationInterpolate(AbcdInterpolation3M,$W44,TRUE)</f>
        <v>4.0225199408885616E-4</v>
      </c>
      <c r="AC44" s="86"/>
      <c r="AD44" s="86"/>
    </row>
    <row r="45" spans="5:30" ht="11.25" customHeight="1" x14ac:dyDescent="0.2">
      <c r="E45" s="229"/>
      <c r="F45" s="229"/>
      <c r="G45" s="229"/>
      <c r="H45" s="86"/>
      <c r="L45" s="86"/>
      <c r="M45" s="86"/>
      <c r="V45" s="114">
        <f>_xll.qlCalendarAdvance(Calendar,V44,"1D","f")</f>
        <v>42860</v>
      </c>
      <c r="W45" s="100">
        <f t="shared" si="2"/>
        <v>0.17808219178082191</v>
      </c>
      <c r="X45" s="112">
        <f>_xll.qlInterpolationInterpolate(B3Minterpolation,V45,TRUE)</f>
        <v>3.5089664707064388E-4</v>
      </c>
      <c r="Y45" s="112">
        <f>_xll.qlInterpolationInterpolate(AbcdInterpolation3M,$W45,TRUE)</f>
        <v>4.0529324157469301E-4</v>
      </c>
      <c r="AC45" s="86"/>
      <c r="AD45" s="86"/>
    </row>
    <row r="46" spans="5:30" ht="11.25" customHeight="1" x14ac:dyDescent="0.2">
      <c r="E46" s="229"/>
      <c r="F46" s="229"/>
      <c r="G46" s="229"/>
      <c r="H46" s="86"/>
      <c r="L46" s="86"/>
      <c r="M46" s="86"/>
      <c r="V46" s="114">
        <f>_xll.qlCalendarAdvance(Calendar,V45,"1D","f")</f>
        <v>42863</v>
      </c>
      <c r="W46" s="100">
        <f t="shared" si="2"/>
        <v>0.18630136986301371</v>
      </c>
      <c r="X46" s="112">
        <f>_xll.qlInterpolationInterpolate(B3Minterpolation,V46,TRUE)</f>
        <v>3.6279812076892015E-4</v>
      </c>
      <c r="Y46" s="112">
        <f>_xll.qlInterpolationInterpolate(AbcdInterpolation3M,$W46,TRUE)</f>
        <v>4.1433699616544317E-4</v>
      </c>
      <c r="AC46" s="86"/>
      <c r="AD46" s="86"/>
    </row>
    <row r="47" spans="5:30" ht="11.25" customHeight="1" x14ac:dyDescent="0.2">
      <c r="E47" s="229"/>
      <c r="F47" s="229"/>
      <c r="G47" s="229"/>
      <c r="H47" s="86"/>
      <c r="L47" s="86"/>
      <c r="M47" s="86"/>
      <c r="V47" s="114">
        <f>_xll.qlCalendarAdvance(Calendar,V46,"1D","f")</f>
        <v>42864</v>
      </c>
      <c r="W47" s="100">
        <f t="shared" si="2"/>
        <v>0.18904109589041096</v>
      </c>
      <c r="X47" s="112">
        <f>_xll.qlInterpolationInterpolate(B3Minterpolation,V47,TRUE)</f>
        <v>3.6697111702973091E-4</v>
      </c>
      <c r="Y47" s="112">
        <f>_xll.qlInterpolationInterpolate(AbcdInterpolation3M,$W47,TRUE)</f>
        <v>4.1732495769938351E-4</v>
      </c>
      <c r="AC47" s="86"/>
      <c r="AD47" s="86"/>
    </row>
    <row r="48" spans="5:30" ht="11.25" customHeight="1" x14ac:dyDescent="0.2">
      <c r="E48" s="229"/>
      <c r="F48" s="229"/>
      <c r="G48" s="229"/>
      <c r="H48" s="86"/>
      <c r="L48" s="86"/>
      <c r="M48" s="86"/>
      <c r="V48" s="114">
        <f>_xll.qlCalendarAdvance(Calendar,V47,"1D","f")</f>
        <v>42865</v>
      </c>
      <c r="W48" s="100">
        <f t="shared" si="2"/>
        <v>0.19178082191780821</v>
      </c>
      <c r="X48" s="112">
        <f>_xll.qlInterpolationInterpolate(B3Minterpolation,V48,TRUE)</f>
        <v>3.7123525952835739E-4</v>
      </c>
      <c r="Y48" s="112">
        <f>_xll.qlInterpolationInterpolate(AbcdInterpolation3M,$W48,TRUE)</f>
        <v>4.2029963094146466E-4</v>
      </c>
      <c r="AC48" s="86"/>
      <c r="AD48" s="86"/>
    </row>
    <row r="49" spans="5:30" ht="11.25" customHeight="1" x14ac:dyDescent="0.2">
      <c r="E49" s="229"/>
      <c r="F49" s="229"/>
      <c r="G49" s="229"/>
      <c r="H49" s="86"/>
      <c r="L49" s="86"/>
      <c r="M49" s="86"/>
      <c r="V49" s="114">
        <f>_xll.qlCalendarAdvance(Calendar,V48,"1D","f")</f>
        <v>42866</v>
      </c>
      <c r="W49" s="100">
        <f t="shared" si="2"/>
        <v>0.19452054794520549</v>
      </c>
      <c r="X49" s="112">
        <f>_xll.qlInterpolationInterpolate(B3Minterpolation,V49,TRUE)</f>
        <v>3.7558348449907337E-4</v>
      </c>
      <c r="Y49" s="112">
        <f>_xll.qlInterpolationInterpolate(AbcdInterpolation3M,$W49,TRUE)</f>
        <v>4.2326103199271016E-4</v>
      </c>
      <c r="AC49" s="86"/>
      <c r="AD49" s="86"/>
    </row>
    <row r="50" spans="5:30" ht="11.25" customHeight="1" x14ac:dyDescent="0.2">
      <c r="E50" s="229"/>
      <c r="F50" s="229"/>
      <c r="G50" s="229"/>
      <c r="H50" s="86"/>
      <c r="L50" s="86"/>
      <c r="M50" s="86"/>
      <c r="V50" s="114">
        <f>_xll.qlCalendarAdvance(Calendar,V49,"1D","f")</f>
        <v>42867</v>
      </c>
      <c r="W50" s="100">
        <f t="shared" si="2"/>
        <v>0.19726027397260273</v>
      </c>
      <c r="X50" s="112">
        <f>_xll.qlInterpolationInterpolate(B3Minterpolation,V50,TRUE)</f>
        <v>3.8000872817615261E-4</v>
      </c>
      <c r="Y50" s="112">
        <f>_xll.qlInterpolationInterpolate(AbcdInterpolation3M,$W50,TRUE)</f>
        <v>4.2620917824064982E-4</v>
      </c>
      <c r="AC50" s="86"/>
      <c r="AD50" s="86"/>
    </row>
    <row r="51" spans="5:30" ht="11.25" customHeight="1" x14ac:dyDescent="0.2">
      <c r="E51" s="229"/>
      <c r="F51" s="229"/>
      <c r="G51" s="229"/>
      <c r="H51" s="86"/>
      <c r="L51" s="86"/>
      <c r="M51" s="86"/>
      <c r="V51" s="114">
        <f>_xll.qlCalendarAdvance(Calendar,V50,"1D","f")</f>
        <v>42870</v>
      </c>
      <c r="W51" s="100">
        <f t="shared" si="2"/>
        <v>0.20547945205479451</v>
      </c>
      <c r="X51" s="112">
        <f>_xll.qlInterpolationInterpolate(B3Minterpolation,V51,TRUE)</f>
        <v>3.9367593378830803E-4</v>
      </c>
      <c r="Y51" s="112">
        <f>_xll.qlInterpolationInterpolate(AbcdInterpolation3M,$W51,TRUE)</f>
        <v>4.3497427999144032E-4</v>
      </c>
      <c r="AC51" s="86"/>
      <c r="AD51" s="86"/>
    </row>
    <row r="52" spans="5:30" ht="11.25" customHeight="1" x14ac:dyDescent="0.2">
      <c r="E52" s="229"/>
      <c r="F52" s="229"/>
      <c r="G52" s="229"/>
      <c r="H52" s="86"/>
      <c r="L52" s="86"/>
      <c r="M52" s="86"/>
      <c r="V52" s="114">
        <f>_xll.qlCalendarAdvance(Calendar,V51,"1D","f")</f>
        <v>42871</v>
      </c>
      <c r="W52" s="100">
        <f t="shared" si="2"/>
        <v>0.20821917808219179</v>
      </c>
      <c r="X52" s="112">
        <f>_xll.qlInterpolationInterpolate(B3Minterpolation,V52,TRUE)</f>
        <v>3.9833861463357833E-4</v>
      </c>
      <c r="Y52" s="112">
        <f>_xll.qlInterpolationInterpolate(AbcdInterpolation3M,$W52,TRUE)</f>
        <v>4.3786960441905682E-4</v>
      </c>
      <c r="AC52" s="86"/>
      <c r="AD52" s="86"/>
    </row>
    <row r="53" spans="5:30" ht="11.25" customHeight="1" x14ac:dyDescent="0.2">
      <c r="E53" s="229"/>
      <c r="F53" s="229"/>
      <c r="G53" s="229"/>
      <c r="H53" s="86"/>
      <c r="L53" s="86"/>
      <c r="M53" s="86"/>
      <c r="V53" s="114">
        <f>_xll.qlCalendarAdvance(Calendar,V52,"1D","f")</f>
        <v>42872</v>
      </c>
      <c r="W53" s="100">
        <f t="shared" si="2"/>
        <v>0.21095890410958903</v>
      </c>
      <c r="X53" s="112">
        <f>_xll.qlInterpolationInterpolate(B3Minterpolation,V53,TRUE)</f>
        <v>4.0304299535658095E-4</v>
      </c>
      <c r="Y53" s="112">
        <f>_xll.qlInterpolationInterpolate(AbcdInterpolation3M,$W53,TRUE)</f>
        <v>4.4075177811136448E-4</v>
      </c>
      <c r="AC53" s="86"/>
      <c r="AD53" s="86"/>
    </row>
    <row r="54" spans="5:30" ht="11.25" customHeight="1" x14ac:dyDescent="0.2">
      <c r="E54" s="229"/>
      <c r="F54" s="229"/>
      <c r="G54" s="229"/>
      <c r="H54" s="86"/>
      <c r="L54" s="86"/>
      <c r="M54" s="86"/>
      <c r="V54" s="114">
        <f>_xll.qlCalendarAdvance(Calendar,V53,"1D","f")</f>
        <v>42873</v>
      </c>
      <c r="W54" s="100">
        <f t="shared" si="2"/>
        <v>0.21369863013698631</v>
      </c>
      <c r="X54" s="112">
        <f>_xll.qlInterpolationInterpolate(B3Minterpolation,V54,TRUE)</f>
        <v>4.0778201219158962E-4</v>
      </c>
      <c r="Y54" s="112">
        <f>_xll.qlInterpolationInterpolate(AbcdInterpolation3M,$W54,TRUE)</f>
        <v>4.4362082491828097E-4</v>
      </c>
      <c r="AC54" s="86"/>
      <c r="AD54" s="86"/>
    </row>
    <row r="55" spans="5:30" ht="11.25" customHeight="1" x14ac:dyDescent="0.2">
      <c r="E55" s="229"/>
      <c r="F55" s="229"/>
      <c r="G55" s="229"/>
      <c r="H55" s="86"/>
      <c r="L55" s="86"/>
      <c r="M55" s="86"/>
      <c r="V55" s="114">
        <f>_xll.qlCalendarAdvance(Calendar,V54,"1D","f")</f>
        <v>42874</v>
      </c>
      <c r="W55" s="100">
        <f t="shared" si="2"/>
        <v>0.21643835616438356</v>
      </c>
      <c r="X55" s="112">
        <f>_xll.qlInterpolationInterpolate(B3Minterpolation,V55,TRUE)</f>
        <v>4.1254860137287814E-4</v>
      </c>
      <c r="Y55" s="112">
        <f>_xll.qlInterpolationInterpolate(AbcdInterpolation3M,$W55,TRUE)</f>
        <v>4.4647676958501059E-4</v>
      </c>
      <c r="AC55" s="86"/>
      <c r="AD55" s="86"/>
    </row>
    <row r="56" spans="5:30" ht="11.25" customHeight="1" x14ac:dyDescent="0.2">
      <c r="E56" s="229"/>
      <c r="F56" s="229"/>
      <c r="G56" s="229"/>
      <c r="H56" s="86"/>
      <c r="L56" s="86"/>
      <c r="M56" s="86"/>
      <c r="V56" s="114">
        <f>_xll.qlCalendarAdvance(Calendar,V55,"1D","f")</f>
        <v>42877</v>
      </c>
      <c r="W56" s="100">
        <f t="shared" si="2"/>
        <v>0.22465753424657534</v>
      </c>
      <c r="X56" s="112">
        <f>_xll.qlInterpolationInterpolate(B3Minterpolation,V56,TRUE)</f>
        <v>4.269431653371609E-4</v>
      </c>
      <c r="Y56" s="112">
        <f>_xll.qlInterpolationInterpolate(AbcdInterpolation3M,$W56,TRUE)</f>
        <v>4.5496625069455567E-4</v>
      </c>
      <c r="AC56" s="86"/>
      <c r="AD56" s="86"/>
    </row>
    <row r="57" spans="5:30" ht="11.25" customHeight="1" x14ac:dyDescent="0.2">
      <c r="E57" s="229"/>
      <c r="F57" s="229"/>
      <c r="G57" s="229"/>
      <c r="H57" s="86"/>
      <c r="L57" s="86"/>
      <c r="M57" s="86"/>
      <c r="V57" s="114">
        <f>_xll.qlCalendarAdvance(Calendar,V56,"1D","f")</f>
        <v>42878</v>
      </c>
      <c r="W57" s="100">
        <f t="shared" si="2"/>
        <v>0.22739726027397261</v>
      </c>
      <c r="X57" s="112">
        <f>_xll.qlInterpolationInterpolate(B3Minterpolation,V57,TRUE)</f>
        <v>4.3174940624630687E-4</v>
      </c>
      <c r="Y57" s="112">
        <f>_xll.qlInterpolationInterpolate(AbcdInterpolation3M,$W57,TRUE)</f>
        <v>4.5777005062745072E-4</v>
      </c>
      <c r="AC57" s="86"/>
      <c r="AD57" s="86"/>
    </row>
    <row r="58" spans="5:30" ht="11.25" customHeight="1" x14ac:dyDescent="0.2">
      <c r="E58" s="229"/>
      <c r="F58" s="229"/>
      <c r="G58" s="229"/>
      <c r="H58" s="86"/>
      <c r="L58" s="86"/>
      <c r="M58" s="86"/>
      <c r="V58" s="114">
        <f>_xll.qlCalendarAdvance(Calendar,V57,"1D","f")</f>
        <v>42879</v>
      </c>
      <c r="W58" s="100">
        <f t="shared" si="2"/>
        <v>0.23013698630136986</v>
      </c>
      <c r="X58" s="112">
        <f>_xll.qlInterpolationInterpolate(B3Minterpolation,V58,TRUE)</f>
        <v>4.3654790067310166E-4</v>
      </c>
      <c r="Y58" s="112">
        <f>_xll.qlInterpolationInterpolate(AbcdInterpolation3M,$W58,TRUE)</f>
        <v>4.6056088407460415E-4</v>
      </c>
      <c r="AC58" s="86"/>
      <c r="AD58" s="86"/>
    </row>
    <row r="59" spans="5:30" ht="11.25" customHeight="1" x14ac:dyDescent="0.2">
      <c r="E59" s="229"/>
      <c r="F59" s="229"/>
      <c r="G59" s="229"/>
      <c r="H59" s="86"/>
      <c r="L59" s="86"/>
      <c r="M59" s="86"/>
      <c r="V59" s="114">
        <f>_xll.qlCalendarAdvance(Calendar,V58,"1D","f")</f>
        <v>42880</v>
      </c>
      <c r="W59" s="100">
        <f t="shared" si="2"/>
        <v>0.23287671232876711</v>
      </c>
      <c r="X59" s="112">
        <f>_xll.qlInterpolationInterpolate(B3Minterpolation,V59,TRUE)</f>
        <v>4.4133158485181915E-4</v>
      </c>
      <c r="Y59" s="112">
        <f>_xll.qlInterpolationInterpolate(AbcdInterpolation3M,$W59,TRUE)</f>
        <v>4.6333878028132511E-4</v>
      </c>
      <c r="AC59" s="86"/>
      <c r="AD59" s="86"/>
    </row>
    <row r="60" spans="5:30" ht="11.25" customHeight="1" x14ac:dyDescent="0.2">
      <c r="E60" s="229"/>
      <c r="F60" s="229"/>
      <c r="G60" s="229"/>
      <c r="H60" s="86"/>
      <c r="L60" s="86"/>
      <c r="M60" s="86"/>
      <c r="V60" s="114">
        <f>_xll.qlCalendarAdvance(Calendar,V59,"1D","f")</f>
        <v>42881</v>
      </c>
      <c r="W60" s="100">
        <f t="shared" si="2"/>
        <v>0.23561643835616439</v>
      </c>
      <c r="X60" s="112">
        <f>_xll.qlInterpolationInterpolate(B3Minterpolation,V60,TRUE)</f>
        <v>4.4609339501673308E-4</v>
      </c>
      <c r="Y60" s="112">
        <f>_xll.qlInterpolationInterpolate(AbcdInterpolation3M,$W60,TRUE)</f>
        <v>4.6610376911596573E-4</v>
      </c>
      <c r="AC60" s="86"/>
      <c r="AD60" s="86"/>
    </row>
    <row r="61" spans="5:30" ht="11.25" customHeight="1" x14ac:dyDescent="0.2">
      <c r="E61" s="229"/>
      <c r="F61" s="229"/>
      <c r="G61" s="229"/>
      <c r="H61" s="86"/>
      <c r="L61" s="86"/>
      <c r="M61" s="86"/>
      <c r="V61" s="114">
        <f>_xll.qlCalendarAdvance(Calendar,V60,"1D","f")</f>
        <v>42884</v>
      </c>
      <c r="W61" s="100">
        <f t="shared" si="2"/>
        <v>0.24383561643835616</v>
      </c>
      <c r="X61" s="112">
        <f>_xll.qlInterpolationInterpolate(B3Minterpolation,V61,TRUE)</f>
        <v>4.6017694377139146E-4</v>
      </c>
      <c r="Y61" s="112">
        <f>_xll.qlInterpolationInterpolate(AbcdInterpolation3M,$W61,TRUE)</f>
        <v>4.7432159876158208E-4</v>
      </c>
      <c r="AC61" s="86"/>
      <c r="AD61" s="86"/>
    </row>
    <row r="62" spans="5:30" ht="11.25" customHeight="1" x14ac:dyDescent="0.2">
      <c r="E62" s="229"/>
      <c r="F62" s="229"/>
      <c r="G62" s="229"/>
      <c r="H62" s="86"/>
      <c r="L62" s="86"/>
      <c r="M62" s="86"/>
      <c r="V62" s="114">
        <f>_xll.qlCalendarAdvance(Calendar,V61,"1D","f")</f>
        <v>42885</v>
      </c>
      <c r="W62" s="100">
        <f t="shared" si="2"/>
        <v>0.24657534246575341</v>
      </c>
      <c r="X62" s="112">
        <f>_xll.qlInterpolationInterpolate(B3Minterpolation,V62,TRUE)</f>
        <v>4.6478062022382914E-4</v>
      </c>
      <c r="Y62" s="112">
        <f>_xll.qlInterpolationInterpolate(AbcdInterpolation3M,$W62,TRUE)</f>
        <v>4.7703526817429056E-4</v>
      </c>
      <c r="AC62" s="86"/>
      <c r="AD62" s="86"/>
    </row>
    <row r="63" spans="5:30" ht="11.25" customHeight="1" x14ac:dyDescent="0.2">
      <c r="E63" s="229"/>
      <c r="F63" s="229"/>
      <c r="G63" s="229"/>
      <c r="H63" s="86"/>
      <c r="L63" s="86"/>
      <c r="M63" s="86"/>
      <c r="V63" s="114">
        <f>_xll.qlCalendarAdvance(Calendar,V62,"1D","f")</f>
        <v>42886</v>
      </c>
      <c r="W63" s="100">
        <f t="shared" si="2"/>
        <v>0.24931506849315069</v>
      </c>
      <c r="X63" s="112">
        <f>_xll.qlInterpolationInterpolate(B3Minterpolation,V63,TRUE)</f>
        <v>4.6932710383383223E-4</v>
      </c>
      <c r="Y63" s="112">
        <f>_xll.qlInterpolationInterpolate(AbcdInterpolation3M,$W63,TRUE)</f>
        <v>4.7973618784436265E-4</v>
      </c>
      <c r="AC63" s="86"/>
      <c r="AD63" s="86"/>
    </row>
    <row r="64" spans="5:30" ht="11.25" customHeight="1" x14ac:dyDescent="0.2">
      <c r="E64" s="229"/>
      <c r="F64" s="229"/>
      <c r="G64" s="229"/>
      <c r="H64" s="86"/>
      <c r="L64" s="86"/>
      <c r="M64" s="86"/>
      <c r="V64" s="114">
        <f>_xll.qlCalendarAdvance(Calendar,V63,"1D","f")</f>
        <v>42887</v>
      </c>
      <c r="W64" s="100">
        <f t="shared" si="2"/>
        <v>0.25205479452054796</v>
      </c>
      <c r="X64" s="112">
        <f>_xll.qlInterpolationInterpolate(B3Minterpolation,V64,TRUE)</f>
        <v>4.7380933083567456E-4</v>
      </c>
      <c r="Y64" s="112">
        <f>_xll.qlInterpolationInterpolate(AbcdInterpolation3M,$W64,TRUE)</f>
        <v>4.8242439076304899E-4</v>
      </c>
      <c r="AC64" s="86"/>
      <c r="AD64" s="86"/>
    </row>
    <row r="65" spans="5:30" ht="11.25" customHeight="1" x14ac:dyDescent="0.2">
      <c r="E65" s="229"/>
      <c r="F65" s="229"/>
      <c r="G65" s="229"/>
      <c r="H65" s="86"/>
      <c r="L65" s="86"/>
      <c r="M65" s="86"/>
      <c r="V65" s="114">
        <f>_xll.qlCalendarAdvance(Calendar,V64,"1D","f")</f>
        <v>42888</v>
      </c>
      <c r="W65" s="100">
        <f t="shared" si="2"/>
        <v>0.25479452054794521</v>
      </c>
      <c r="X65" s="112">
        <f>_xll.qlInterpolationInterpolate(B3Minterpolation,V65,TRUE)</f>
        <v>4.7822023746362994E-4</v>
      </c>
      <c r="Y65" s="112">
        <f>_xll.qlInterpolationInterpolate(AbcdInterpolation3M,$W65,TRUE)</f>
        <v>4.8509991035184546E-4</v>
      </c>
      <c r="AC65" s="86"/>
      <c r="AD65" s="86"/>
    </row>
    <row r="66" spans="5:30" ht="11.25" customHeight="1" x14ac:dyDescent="0.2">
      <c r="E66" s="229"/>
      <c r="F66" s="229"/>
      <c r="G66" s="229"/>
      <c r="H66" s="86"/>
      <c r="L66" s="86"/>
      <c r="M66" s="86"/>
      <c r="V66" s="114">
        <f>_xll.qlCalendarAdvance(Calendar,V65,"1D","f")</f>
        <v>42891</v>
      </c>
      <c r="W66" s="100">
        <f t="shared" si="2"/>
        <v>0.26301369863013696</v>
      </c>
      <c r="X66" s="112">
        <f>_xll.qlInterpolationInterpolate(B3Minterpolation,V66,TRUE)</f>
        <v>4.9095439744691223E-4</v>
      </c>
      <c r="Y66" s="112">
        <f>_xll.qlInterpolationInterpolate(AbcdInterpolation3M,$W66,TRUE)</f>
        <v>4.9305070933914935E-4</v>
      </c>
      <c r="AC66" s="86"/>
      <c r="AD66" s="86"/>
    </row>
    <row r="67" spans="5:30" ht="11.25" customHeight="1" x14ac:dyDescent="0.2">
      <c r="E67" s="229"/>
      <c r="F67" s="229"/>
      <c r="G67" s="229"/>
      <c r="H67" s="86"/>
      <c r="L67" s="86"/>
      <c r="M67" s="86"/>
      <c r="V67" s="114">
        <f>_xll.qlCalendarAdvance(Calendar,V66,"1D","f")</f>
        <v>42892</v>
      </c>
      <c r="W67" s="100">
        <f t="shared" ref="W67:W130" si="15">($V67-EvaluationDate)/365</f>
        <v>0.26575342465753427</v>
      </c>
      <c r="X67" s="112">
        <f>_xll.qlInterpolationInterpolate(B3Minterpolation,V67,TRUE)</f>
        <v>4.9501091591907468E-4</v>
      </c>
      <c r="Y67" s="112">
        <f>_xll.qlInterpolationInterpolate(AbcdInterpolation3M,$W67,TRUE)</f>
        <v>4.9567583765683474E-4</v>
      </c>
      <c r="AC67" s="86"/>
      <c r="AD67" s="86"/>
    </row>
    <row r="68" spans="5:30" ht="11.25" customHeight="1" x14ac:dyDescent="0.2">
      <c r="E68" s="229"/>
      <c r="F68" s="229"/>
      <c r="G68" s="229"/>
      <c r="H68" s="86"/>
      <c r="L68" s="86"/>
      <c r="M68" s="86"/>
      <c r="V68" s="114">
        <f>_xll.qlCalendarAdvance(Calendar,V67,"1D","f")</f>
        <v>42893</v>
      </c>
      <c r="W68" s="100">
        <f t="shared" si="15"/>
        <v>0.26849315068493151</v>
      </c>
      <c r="X68" s="112">
        <f>_xll.qlInterpolationInterpolate(B3Minterpolation,V68,TRUE)</f>
        <v>4.9896998117082074E-4</v>
      </c>
      <c r="Y68" s="112">
        <f>_xll.qlInterpolationInterpolate(AbcdInterpolation3M,$W68,TRUE)</f>
        <v>4.982884554480128E-4</v>
      </c>
      <c r="AC68" s="86"/>
      <c r="AD68" s="86"/>
    </row>
    <row r="69" spans="5:30" ht="11.25" customHeight="1" x14ac:dyDescent="0.2">
      <c r="E69" s="229"/>
      <c r="F69" s="229"/>
      <c r="G69" s="229"/>
      <c r="H69" s="86"/>
      <c r="L69" s="86"/>
      <c r="M69" s="86"/>
      <c r="V69" s="114">
        <f>_xll.qlCalendarAdvance(Calendar,V68,"1D","f")</f>
        <v>42894</v>
      </c>
      <c r="W69" s="100">
        <f t="shared" si="15"/>
        <v>0.27123287671232876</v>
      </c>
      <c r="X69" s="112">
        <f>_xll.qlInterpolationInterpolate(B3Minterpolation,V69,TRUE)</f>
        <v>5.0283371541852591E-4</v>
      </c>
      <c r="Y69" s="112">
        <f>_xll.qlInterpolationInterpolate(AbcdInterpolation3M,$W69,TRUE)</f>
        <v>5.0088859827426705E-4</v>
      </c>
      <c r="AC69" s="86"/>
      <c r="AD69" s="86"/>
    </row>
    <row r="70" spans="5:30" ht="11.25" customHeight="1" x14ac:dyDescent="0.2">
      <c r="E70" s="229"/>
      <c r="F70" s="229"/>
      <c r="G70" s="229"/>
      <c r="H70" s="86"/>
      <c r="L70" s="86"/>
      <c r="M70" s="86"/>
      <c r="V70" s="114">
        <f>_xll.qlCalendarAdvance(Calendar,V69,"1D","f")</f>
        <v>42895</v>
      </c>
      <c r="W70" s="100">
        <f t="shared" si="15"/>
        <v>0.27397260273972601</v>
      </c>
      <c r="X70" s="112">
        <f>_xll.qlInterpolationInterpolate(B3Minterpolation,V70,TRUE)</f>
        <v>5.0660424087856581E-4</v>
      </c>
      <c r="Y70" s="112">
        <f>_xll.qlInterpolationInterpolate(AbcdInterpolation3M,$W70,TRUE)</f>
        <v>5.0347630198878488E-4</v>
      </c>
      <c r="AC70" s="86"/>
      <c r="AD70" s="86"/>
    </row>
    <row r="71" spans="5:30" ht="11.25" customHeight="1" x14ac:dyDescent="0.2">
      <c r="E71" s="229"/>
      <c r="F71" s="229"/>
      <c r="G71" s="229"/>
      <c r="H71" s="86"/>
      <c r="L71" s="86"/>
      <c r="M71" s="86"/>
      <c r="V71" s="114">
        <f>_xll.qlCalendarAdvance(Calendar,V70,"1D","f")</f>
        <v>42898</v>
      </c>
      <c r="W71" s="100">
        <f t="shared" si="15"/>
        <v>0.28219178082191781</v>
      </c>
      <c r="X71" s="112">
        <f>_xll.qlInterpolationInterpolate(B3Minterpolation,V71,TRUE)</f>
        <v>5.1737778669644731E-4</v>
      </c>
      <c r="Y71" s="112">
        <f>_xll.qlInterpolationInterpolate(AbcdInterpolation3M,$W71,TRUE)</f>
        <v>5.1116514102762507E-4</v>
      </c>
      <c r="AC71" s="86"/>
      <c r="AD71" s="86"/>
    </row>
    <row r="72" spans="5:30" ht="11.25" customHeight="1" x14ac:dyDescent="0.2">
      <c r="E72" s="229"/>
      <c r="F72" s="229"/>
      <c r="G72" s="229"/>
      <c r="H72" s="86"/>
      <c r="L72" s="86"/>
      <c r="M72" s="86"/>
      <c r="V72" s="114">
        <f>_xll.qlCalendarAdvance(Calendar,V71,"1D","f")</f>
        <v>42899</v>
      </c>
      <c r="W72" s="100">
        <f t="shared" si="15"/>
        <v>0.28493150684931506</v>
      </c>
      <c r="X72" s="112">
        <f>_xll.qlInterpolationInterpolate(B3Minterpolation,V72,TRUE)</f>
        <v>5.2079669916958E-4</v>
      </c>
      <c r="Y72" s="112">
        <f>_xll.qlInterpolationInterpolate(AbcdInterpolation3M,$W72,TRUE)</f>
        <v>5.137034520986953E-4</v>
      </c>
      <c r="AC72" s="86"/>
      <c r="AD72" s="86"/>
    </row>
    <row r="73" spans="5:30" ht="11.25" customHeight="1" x14ac:dyDescent="0.2">
      <c r="E73" s="229"/>
      <c r="F73" s="229"/>
      <c r="G73" s="229"/>
      <c r="H73" s="86"/>
      <c r="L73" s="86"/>
      <c r="M73" s="86"/>
      <c r="V73" s="114">
        <f>_xll.qlCalendarAdvance(Calendar,V72,"1D","f")</f>
        <v>42900</v>
      </c>
      <c r="W73" s="100">
        <f t="shared" si="15"/>
        <v>0.28767123287671231</v>
      </c>
      <c r="X73" s="112">
        <f>_xll.qlInterpolationInterpolate(B3Minterpolation,V73,TRUE)</f>
        <v>5.2413301393692462E-4</v>
      </c>
      <c r="Y73" s="112">
        <f>_xll.qlInterpolationInterpolate(AbcdInterpolation3M,$W73,TRUE)</f>
        <v>5.1622950714721625E-4</v>
      </c>
      <c r="AC73" s="86"/>
      <c r="AD73" s="86"/>
    </row>
    <row r="74" spans="5:30" ht="11.25" customHeight="1" x14ac:dyDescent="0.2">
      <c r="E74" s="229"/>
      <c r="F74" s="229"/>
      <c r="G74" s="229"/>
      <c r="H74" s="86"/>
      <c r="L74" s="86"/>
      <c r="M74" s="86"/>
      <c r="V74" s="114">
        <f>_xll.qlCalendarAdvance(Calendar,V73,"1D","f")</f>
        <v>42901</v>
      </c>
      <c r="W74" s="100">
        <f t="shared" si="15"/>
        <v>0.29041095890410956</v>
      </c>
      <c r="X74" s="112">
        <f>_xll.qlInterpolationInterpolate(B3Minterpolation,V74,TRUE)</f>
        <v>5.2738885321485657E-4</v>
      </c>
      <c r="Y74" s="112">
        <f>_xll.qlInterpolationInterpolate(AbcdInterpolation3M,$W74,TRUE)</f>
        <v>5.1874334345486633E-4</v>
      </c>
      <c r="AC74" s="86"/>
      <c r="AD74" s="86"/>
    </row>
    <row r="75" spans="5:30" ht="11.25" customHeight="1" x14ac:dyDescent="0.2">
      <c r="E75" s="229"/>
      <c r="F75" s="229"/>
      <c r="G75" s="229"/>
      <c r="H75" s="86"/>
      <c r="L75" s="86"/>
      <c r="M75" s="86"/>
      <c r="V75" s="114">
        <f>_xll.qlCalendarAdvance(Calendar,V74,"1D","f")</f>
        <v>42902</v>
      </c>
      <c r="W75" s="100">
        <f t="shared" si="15"/>
        <v>0.29315068493150687</v>
      </c>
      <c r="X75" s="112">
        <f>_xll.qlInterpolationInterpolate(B3Minterpolation,V75,TRUE)</f>
        <v>5.3056633921975125E-4</v>
      </c>
      <c r="Y75" s="112">
        <f>_xll.qlInterpolationInterpolate(AbcdInterpolation3M,$W75,TRUE)</f>
        <v>5.2124499849384601E-4</v>
      </c>
      <c r="AC75" s="86"/>
      <c r="AD75" s="86"/>
    </row>
    <row r="76" spans="5:30" ht="11.25" customHeight="1" x14ac:dyDescent="0.2">
      <c r="E76" s="229"/>
      <c r="F76" s="229"/>
      <c r="G76" s="229"/>
      <c r="H76" s="86"/>
      <c r="L76" s="86"/>
      <c r="M76" s="86"/>
      <c r="V76" s="114">
        <f>_xll.qlCalendarAdvance(Calendar,V75,"1D","f")</f>
        <v>42905</v>
      </c>
      <c r="W76" s="100">
        <f t="shared" si="15"/>
        <v>0.30136986301369861</v>
      </c>
      <c r="X76" s="112">
        <f>_xll.qlInterpolationInterpolate(B3Minterpolation,V76,TRUE)</f>
        <v>5.3964989975996663E-4</v>
      </c>
      <c r="Y76" s="112">
        <f>_xll.qlInterpolationInterpolate(AbcdInterpolation3M,$W76,TRUE)</f>
        <v>5.2867725332869273E-4</v>
      </c>
      <c r="AC76" s="86"/>
      <c r="AD76" s="86"/>
    </row>
    <row r="77" spans="5:30" ht="11.25" customHeight="1" x14ac:dyDescent="0.2">
      <c r="E77" s="229"/>
      <c r="F77" s="229"/>
      <c r="G77" s="229"/>
      <c r="H77" s="86"/>
      <c r="L77" s="86"/>
      <c r="M77" s="86"/>
      <c r="V77" s="114">
        <f>_xll.qlCalendarAdvance(Calendar,V76,"1D","f")</f>
        <v>42906</v>
      </c>
      <c r="W77" s="100">
        <f t="shared" si="15"/>
        <v>0.30410958904109592</v>
      </c>
      <c r="X77" s="112">
        <f>_xll.qlInterpolationInterpolate(B3Minterpolation,V77,TRUE)</f>
        <v>5.4253519483646708E-4</v>
      </c>
      <c r="Y77" s="112">
        <f>_xll.qlInterpolationInterpolate(AbcdInterpolation3M,$W77,TRUE)</f>
        <v>5.3113056141360386E-4</v>
      </c>
      <c r="AC77" s="86"/>
      <c r="AD77" s="86"/>
    </row>
    <row r="78" spans="5:30" ht="11.25" customHeight="1" x14ac:dyDescent="0.2">
      <c r="E78" s="229"/>
      <c r="F78" s="229"/>
      <c r="G78" s="229"/>
      <c r="H78" s="86"/>
      <c r="L78" s="86"/>
      <c r="M78" s="86"/>
      <c r="V78" s="114">
        <f>_xll.qlCalendarAdvance(Calendar,V77,"1D","f")</f>
        <v>42907</v>
      </c>
      <c r="W78" s="100">
        <f t="shared" si="15"/>
        <v>0.30684931506849317</v>
      </c>
      <c r="X78" s="112">
        <f>_xll.qlInterpolationInterpolate(B3Minterpolation,V78,TRUE)</f>
        <v>5.4535274772180746E-4</v>
      </c>
      <c r="Y78" s="112">
        <f>_xll.qlInterpolationInterpolate(AbcdInterpolation3M,$W78,TRUE)</f>
        <v>5.3357187804369075E-4</v>
      </c>
      <c r="AC78" s="86"/>
      <c r="AD78" s="86"/>
    </row>
    <row r="79" spans="5:30" ht="11.25" customHeight="1" x14ac:dyDescent="0.2">
      <c r="E79" s="229"/>
      <c r="F79" s="229"/>
      <c r="G79" s="229"/>
      <c r="H79" s="86"/>
      <c r="L79" s="86"/>
      <c r="M79" s="86"/>
      <c r="V79" s="114">
        <f>_xll.qlCalendarAdvance(Calendar,V78,"1D","f")</f>
        <v>42908</v>
      </c>
      <c r="W79" s="100">
        <f t="shared" si="15"/>
        <v>0.30958904109589042</v>
      </c>
      <c r="X79" s="112">
        <f>_xll.qlInterpolationInterpolate(B3Minterpolation,V79,TRUE)</f>
        <v>5.4810468063236351E-4</v>
      </c>
      <c r="Y79" s="112">
        <f>_xll.qlInterpolationInterpolate(AbcdInterpolation3M,$W79,TRUE)</f>
        <v>5.3600124159793538E-4</v>
      </c>
      <c r="AC79" s="86"/>
      <c r="AD79" s="86"/>
    </row>
    <row r="80" spans="5:30" ht="11.25" customHeight="1" x14ac:dyDescent="0.2">
      <c r="E80" s="229"/>
      <c r="F80" s="229"/>
      <c r="G80" s="229"/>
      <c r="H80" s="86"/>
      <c r="L80" s="86"/>
      <c r="M80" s="86"/>
      <c r="V80" s="114">
        <f>_xll.qlCalendarAdvance(Calendar,V79,"1D","f")</f>
        <v>42909</v>
      </c>
      <c r="W80" s="100">
        <f t="shared" si="15"/>
        <v>0.31232876712328766</v>
      </c>
      <c r="X80" s="112">
        <f>_xll.qlInterpolationInterpolate(B3Minterpolation,V80,TRUE)</f>
        <v>5.5079311578451039E-4</v>
      </c>
      <c r="Y80" s="112">
        <f>_xll.qlInterpolationInterpolate(AbcdInterpolation3M,$W80,TRUE)</f>
        <v>5.3841869057130601E-4</v>
      </c>
      <c r="AC80" s="86"/>
      <c r="AD80" s="86"/>
    </row>
    <row r="81" spans="5:30" ht="11.25" customHeight="1" x14ac:dyDescent="0.2">
      <c r="E81" s="229"/>
      <c r="F81" s="229"/>
      <c r="G81" s="229"/>
      <c r="H81" s="86"/>
      <c r="L81" s="86"/>
      <c r="M81" s="86"/>
      <c r="V81" s="114">
        <f>_xll.qlCalendarAdvance(Calendar,V80,"1D","f")</f>
        <v>42912</v>
      </c>
      <c r="W81" s="100">
        <f t="shared" si="15"/>
        <v>0.32054794520547947</v>
      </c>
      <c r="X81" s="112">
        <f>_xll.qlInterpolationInterpolate(B3Minterpolation,V81,TRUE)</f>
        <v>5.584986568542517E-4</v>
      </c>
      <c r="Y81" s="112">
        <f>_xll.qlInterpolationInterpolate(AbcdInterpolation3M,$W81,TRUE)</f>
        <v>5.4559993651014907E-4</v>
      </c>
      <c r="AC81" s="86"/>
      <c r="AD81" s="86"/>
    </row>
    <row r="82" spans="5:30" ht="11.25" customHeight="1" x14ac:dyDescent="0.2">
      <c r="E82" s="229"/>
      <c r="F82" s="229"/>
      <c r="G82" s="229"/>
      <c r="H82" s="86"/>
      <c r="L82" s="86"/>
      <c r="M82" s="86"/>
      <c r="V82" s="114">
        <f>_xll.qlCalendarAdvance(Calendar,V81,"1D","f")</f>
        <v>42913</v>
      </c>
      <c r="W82" s="100">
        <f t="shared" si="15"/>
        <v>0.32328767123287672</v>
      </c>
      <c r="X82" s="112">
        <f>_xll.qlInterpolationInterpolate(B3Minterpolation,V82,TRUE)</f>
        <v>5.6095432313651712E-4</v>
      </c>
      <c r="Y82" s="112">
        <f>_xll.qlInterpolationInterpolate(AbcdInterpolation3M,$W82,TRUE)</f>
        <v>5.4797011412362651E-4</v>
      </c>
      <c r="AC82" s="86"/>
      <c r="AD82" s="86"/>
    </row>
    <row r="83" spans="5:30" ht="11.25" customHeight="1" x14ac:dyDescent="0.2">
      <c r="E83" s="229"/>
      <c r="F83" s="229"/>
      <c r="G83" s="229"/>
      <c r="H83" s="86"/>
      <c r="L83" s="86"/>
      <c r="M83" s="86"/>
      <c r="V83" s="114">
        <f>_xll.qlCalendarAdvance(Calendar,V82,"1D","f")</f>
        <v>42914</v>
      </c>
      <c r="W83" s="100">
        <f t="shared" si="15"/>
        <v>0.32602739726027397</v>
      </c>
      <c r="X83" s="112">
        <f>_xll.qlInterpolationInterpolate(B3Minterpolation,V83,TRUE)</f>
        <v>5.633571027422508E-4</v>
      </c>
      <c r="Y83" s="112">
        <f>_xll.qlInterpolationInterpolate(AbcdInterpolation3M,$W83,TRUE)</f>
        <v>5.5032857106999749E-4</v>
      </c>
      <c r="AC83" s="86"/>
      <c r="AD83" s="86"/>
    </row>
    <row r="84" spans="5:30" ht="11.25" customHeight="1" x14ac:dyDescent="0.2">
      <c r="E84" s="229"/>
      <c r="F84" s="229"/>
      <c r="G84" s="229"/>
      <c r="H84" s="86"/>
      <c r="L84" s="86"/>
      <c r="M84" s="86"/>
      <c r="V84" s="114">
        <f>_xll.qlCalendarAdvance(Calendar,V83,"1D","f")</f>
        <v>42915</v>
      </c>
      <c r="W84" s="100">
        <f t="shared" si="15"/>
        <v>0.32876712328767121</v>
      </c>
      <c r="X84" s="112">
        <f>_xll.qlInterpolationInterpolate(B3Minterpolation,V84,TRUE)</f>
        <v>5.6570911788782815E-4</v>
      </c>
      <c r="Y84" s="112">
        <f>_xll.qlInterpolationInterpolate(AbcdInterpolation3M,$W84,TRUE)</f>
        <v>5.5267534636442789E-4</v>
      </c>
      <c r="AC84" s="86"/>
      <c r="AD84" s="86"/>
    </row>
    <row r="85" spans="5:30" ht="11.25" customHeight="1" x14ac:dyDescent="0.2">
      <c r="E85" s="229"/>
      <c r="F85" s="229"/>
      <c r="G85" s="229"/>
      <c r="H85" s="86"/>
      <c r="L85" s="86"/>
      <c r="M85" s="86"/>
      <c r="V85" s="114">
        <f>_xll.qlCalendarAdvance(Calendar,V84,"1D","f")</f>
        <v>42916</v>
      </c>
      <c r="W85" s="100">
        <f t="shared" si="15"/>
        <v>0.33150684931506852</v>
      </c>
      <c r="X85" s="112">
        <f>_xll.qlInterpolationInterpolate(B3Minterpolation,V85,TRUE)</f>
        <v>5.6801249078962466E-4</v>
      </c>
      <c r="Y85" s="112">
        <f>_xll.qlInterpolationInterpolate(AbcdInterpolation3M,$W85,TRUE)</f>
        <v>5.5501047908256419E-4</v>
      </c>
      <c r="AC85" s="86"/>
      <c r="AD85" s="86"/>
    </row>
    <row r="86" spans="5:30" ht="11.25" customHeight="1" x14ac:dyDescent="0.2">
      <c r="E86" s="229"/>
      <c r="F86" s="229"/>
      <c r="G86" s="229"/>
      <c r="H86" s="86"/>
      <c r="L86" s="86"/>
      <c r="M86" s="86"/>
      <c r="V86" s="114">
        <f>_xll.qlCalendarAdvance(Calendar,V85,"1D","f")</f>
        <v>42919</v>
      </c>
      <c r="W86" s="100">
        <f t="shared" si="15"/>
        <v>0.33972602739726027</v>
      </c>
      <c r="X86" s="112">
        <f>_xll.qlInterpolationInterpolate(B3Minterpolation,V86,TRUE)</f>
        <v>5.7465197819608384E-4</v>
      </c>
      <c r="Y86" s="112">
        <f>_xll.qlInterpolationInterpolate(AbcdInterpolation3M,$W86,TRUE)</f>
        <v>5.6194641330410623E-4</v>
      </c>
      <c r="AC86" s="86"/>
      <c r="AD86" s="86"/>
    </row>
    <row r="87" spans="5:30" ht="11.25" customHeight="1" x14ac:dyDescent="0.2">
      <c r="E87" s="229"/>
      <c r="F87" s="229"/>
      <c r="G87" s="229"/>
      <c r="H87" s="86"/>
      <c r="L87" s="86"/>
      <c r="M87" s="86"/>
      <c r="V87" s="114">
        <f>_xll.qlCalendarAdvance(Calendar,V86,"1D","f")</f>
        <v>42920</v>
      </c>
      <c r="W87" s="100">
        <f t="shared" si="15"/>
        <v>0.34246575342465752</v>
      </c>
      <c r="X87" s="112">
        <f>_xll.qlInterpolationInterpolate(B3Minterpolation,V87,TRUE)</f>
        <v>5.7678186476398639E-4</v>
      </c>
      <c r="Y87" s="112">
        <f>_xll.qlInterpolationInterpolate(AbcdInterpolation3M,$W87,TRUE)</f>
        <v>5.6423536745426608E-4</v>
      </c>
      <c r="AC87" s="86"/>
      <c r="AD87" s="86"/>
    </row>
    <row r="88" spans="5:30" ht="11.25" customHeight="1" x14ac:dyDescent="0.2">
      <c r="E88" s="229"/>
      <c r="F88" s="229"/>
      <c r="G88" s="229"/>
      <c r="H88" s="86"/>
      <c r="L88" s="86"/>
      <c r="M88" s="86"/>
      <c r="V88" s="114">
        <f>_xll.qlCalendarAdvance(Calendar,V87,"1D","f")</f>
        <v>42921</v>
      </c>
      <c r="W88" s="100">
        <f t="shared" si="15"/>
        <v>0.34520547945205482</v>
      </c>
      <c r="X88" s="112">
        <f>_xll.qlInterpolationInterpolate(B3Minterpolation,V88,TRUE)</f>
        <v>5.788728830348343E-4</v>
      </c>
      <c r="Y88" s="112">
        <f>_xll.qlInterpolationInterpolate(AbcdInterpolation3M,$W88,TRUE)</f>
        <v>5.6651287508827281E-4</v>
      </c>
      <c r="AC88" s="86"/>
      <c r="AD88" s="86"/>
    </row>
    <row r="89" spans="5:30" ht="11.25" customHeight="1" x14ac:dyDescent="0.2">
      <c r="E89" s="229"/>
      <c r="F89" s="229"/>
      <c r="G89" s="229"/>
      <c r="H89" s="86"/>
      <c r="L89" s="86"/>
      <c r="M89" s="86"/>
      <c r="V89" s="114">
        <f>_xll.qlCalendarAdvance(Calendar,V88,"1D","f")</f>
        <v>42922</v>
      </c>
      <c r="W89" s="100">
        <f t="shared" si="15"/>
        <v>0.34794520547945207</v>
      </c>
      <c r="X89" s="112">
        <f>_xll.qlInterpolationInterpolate(B3Minterpolation,V89,TRUE)</f>
        <v>5.8092631808985182E-4</v>
      </c>
      <c r="Y89" s="112">
        <f>_xll.qlInterpolationInterpolate(AbcdInterpolation3M,$W89,TRUE)</f>
        <v>5.6877897551297111E-4</v>
      </c>
      <c r="AC89" s="86"/>
      <c r="AD89" s="86"/>
    </row>
    <row r="90" spans="5:30" ht="11.25" customHeight="1" x14ac:dyDescent="0.2">
      <c r="E90" s="229"/>
      <c r="F90" s="229"/>
      <c r="G90" s="229"/>
      <c r="H90" s="86"/>
      <c r="L90" s="86"/>
      <c r="M90" s="86"/>
      <c r="V90" s="114">
        <f>_xll.qlCalendarAdvance(Calendar,V89,"1D","f")</f>
        <v>42923</v>
      </c>
      <c r="W90" s="100">
        <f t="shared" si="15"/>
        <v>0.35068493150684932</v>
      </c>
      <c r="X90" s="112">
        <f>_xll.qlInterpolationInterpolate(B3Minterpolation,V90,TRUE)</f>
        <v>5.8294345501026324E-4</v>
      </c>
      <c r="Y90" s="112">
        <f>_xll.qlInterpolationInterpolate(AbcdInterpolation3M,$W90,TRUE)</f>
        <v>5.7103370805403346E-4</v>
      </c>
      <c r="AC90" s="86"/>
      <c r="AD90" s="86"/>
    </row>
    <row r="91" spans="5:30" ht="11.25" customHeight="1" x14ac:dyDescent="0.2">
      <c r="E91" s="229"/>
      <c r="F91" s="229"/>
      <c r="G91" s="229"/>
      <c r="H91" s="86"/>
      <c r="L91" s="86"/>
      <c r="M91" s="86"/>
      <c r="V91" s="114">
        <f>_xll.qlCalendarAdvance(Calendar,V90,"1D","f")</f>
        <v>42926</v>
      </c>
      <c r="W91" s="100">
        <f t="shared" si="15"/>
        <v>0.35890410958904112</v>
      </c>
      <c r="X91" s="112">
        <f>_xll.qlInterpolationInterpolate(B3Minterpolation,V91,TRUE)</f>
        <v>5.8878992777610425E-4</v>
      </c>
      <c r="Y91" s="112">
        <f>_xll.qlInterpolationInterpolate(AbcdInterpolation3M,$W91,TRUE)</f>
        <v>5.7773009180995692E-4</v>
      </c>
      <c r="AC91" s="86"/>
      <c r="AD91" s="86"/>
    </row>
    <row r="92" spans="5:30" ht="11.25" customHeight="1" x14ac:dyDescent="0.2">
      <c r="E92" s="229"/>
      <c r="F92" s="229"/>
      <c r="G92" s="229"/>
      <c r="H92" s="86"/>
      <c r="L92" s="86"/>
      <c r="M92" s="86"/>
      <c r="V92" s="114">
        <f>_xll.qlCalendarAdvance(Calendar,V91,"1D","f")</f>
        <v>42927</v>
      </c>
      <c r="W92" s="100">
        <f t="shared" si="15"/>
        <v>0.36164383561643837</v>
      </c>
      <c r="X92" s="112">
        <f>_xll.qlInterpolationInterpolate(B3Minterpolation,V92,TRUE)</f>
        <v>5.9067472297033455E-4</v>
      </c>
      <c r="Y92" s="112">
        <f>_xll.qlInterpolationInterpolate(AbcdInterpolation3M,$W92,TRUE)</f>
        <v>5.7993974627723599E-4</v>
      </c>
      <c r="AC92" s="86"/>
      <c r="AD92" s="86"/>
    </row>
    <row r="93" spans="5:30" ht="11.25" customHeight="1" x14ac:dyDescent="0.2">
      <c r="E93" s="229"/>
      <c r="F93" s="229"/>
      <c r="G93" s="229"/>
      <c r="H93" s="86"/>
      <c r="L93" s="86"/>
      <c r="M93" s="86"/>
      <c r="V93" s="114">
        <f>_xll.qlCalendarAdvance(Calendar,V92,"1D","f")</f>
        <v>42928</v>
      </c>
      <c r="W93" s="100">
        <f t="shared" si="15"/>
        <v>0.36438356164383562</v>
      </c>
      <c r="X93" s="112">
        <f>_xll.qlInterpolationInterpolate(B3Minterpolation,V93,TRUE)</f>
        <v>5.9252964543608029E-4</v>
      </c>
      <c r="Y93" s="112">
        <f>_xll.qlInterpolationInterpolate(AbcdInterpolation3M,$W93,TRUE)</f>
        <v>5.821382296017874E-4</v>
      </c>
      <c r="AC93" s="86"/>
      <c r="AD93" s="86"/>
    </row>
    <row r="94" spans="5:30" ht="11.25" customHeight="1" x14ac:dyDescent="0.2">
      <c r="E94" s="229"/>
      <c r="F94" s="229"/>
      <c r="G94" s="229"/>
      <c r="H94" s="86"/>
      <c r="L94" s="86"/>
      <c r="M94" s="86"/>
      <c r="V94" s="114">
        <f>_xll.qlCalendarAdvance(Calendar,V93,"1D","f")</f>
        <v>42929</v>
      </c>
      <c r="W94" s="100">
        <f t="shared" si="15"/>
        <v>0.36712328767123287</v>
      </c>
      <c r="X94" s="112">
        <f>_xll.qlInterpolationInterpolate(B3Minterpolation,V94,TRUE)</f>
        <v>5.9435598025456586E-4</v>
      </c>
      <c r="Y94" s="112">
        <f>_xll.qlInterpolationInterpolate(AbcdInterpolation3M,$W94,TRUE)</f>
        <v>5.8432558112290925E-4</v>
      </c>
      <c r="AC94" s="86"/>
      <c r="AD94" s="86"/>
    </row>
    <row r="95" spans="5:30" ht="11.25" customHeight="1" x14ac:dyDescent="0.2">
      <c r="E95" s="229"/>
      <c r="F95" s="229"/>
      <c r="G95" s="229"/>
      <c r="H95" s="86"/>
      <c r="L95" s="86"/>
      <c r="M95" s="86"/>
      <c r="V95" s="114">
        <f>_xll.qlCalendarAdvance(Calendar,V94,"1D","f")</f>
        <v>42930</v>
      </c>
      <c r="W95" s="100">
        <f t="shared" si="15"/>
        <v>0.36986301369863012</v>
      </c>
      <c r="X95" s="112">
        <f>_xll.qlInterpolationInterpolate(B3Minterpolation,V95,TRUE)</f>
        <v>5.9615501250701562E-4</v>
      </c>
      <c r="Y95" s="112">
        <f>_xll.qlInterpolationInterpolate(AbcdInterpolation3M,$W95,TRUE)</f>
        <v>5.8650184016728623E-4</v>
      </c>
      <c r="AC95" s="86"/>
      <c r="AD95" s="86"/>
    </row>
    <row r="96" spans="5:30" ht="11.25" customHeight="1" x14ac:dyDescent="0.2">
      <c r="E96" s="229"/>
      <c r="F96" s="229"/>
      <c r="G96" s="229"/>
      <c r="H96" s="86"/>
      <c r="L96" s="86"/>
      <c r="M96" s="86"/>
      <c r="V96" s="114">
        <f>_xll.qlCalendarAdvance(Calendar,V95,"1D","f")</f>
        <v>42933</v>
      </c>
      <c r="W96" s="100">
        <f t="shared" si="15"/>
        <v>0.37808219178082192</v>
      </c>
      <c r="X96" s="112">
        <f>_xll.qlInterpolationInterpolate(B3Minterpolation,V96,TRUE)</f>
        <v>6.0140114468039277E-4</v>
      </c>
      <c r="Y96" s="112">
        <f>_xll.qlInterpolationInterpolate(AbcdInterpolation3M,$W96,TRUE)</f>
        <v>5.9296445543823007E-4</v>
      </c>
      <c r="AC96" s="86"/>
      <c r="AD96" s="86"/>
    </row>
    <row r="97" spans="5:30" ht="11.25" customHeight="1" x14ac:dyDescent="0.2">
      <c r="E97" s="229"/>
      <c r="F97" s="229"/>
      <c r="G97" s="229"/>
      <c r="H97" s="86"/>
      <c r="L97" s="86"/>
      <c r="M97" s="86"/>
      <c r="V97" s="114">
        <f>_xll.qlCalendarAdvance(Calendar,V96,"1D","f")</f>
        <v>42934</v>
      </c>
      <c r="W97" s="100">
        <f t="shared" si="15"/>
        <v>0.38082191780821917</v>
      </c>
      <c r="X97" s="112">
        <f>_xll.qlInterpolationInterpolate(B3Minterpolation,V97,TRUE)</f>
        <v>6.0310381748094211E-4</v>
      </c>
      <c r="Y97" s="112">
        <f>_xll.qlInterpolationInterpolate(AbcdInterpolation3M,$W97,TRUE)</f>
        <v>5.9509673745934016E-4</v>
      </c>
      <c r="AC97" s="86"/>
      <c r="AD97" s="86"/>
    </row>
    <row r="98" spans="5:30" ht="11.25" customHeight="1" x14ac:dyDescent="0.2">
      <c r="E98" s="229"/>
      <c r="F98" s="229"/>
      <c r="G98" s="229"/>
      <c r="H98" s="86"/>
      <c r="L98" s="86"/>
      <c r="M98" s="86"/>
      <c r="V98" s="114">
        <f>_xll.qlCalendarAdvance(Calendar,V97,"1D","f")</f>
        <v>42935</v>
      </c>
      <c r="W98" s="100">
        <f t="shared" si="15"/>
        <v>0.38356164383561642</v>
      </c>
      <c r="X98" s="112">
        <f>_xll.qlInterpolationInterpolate(B3Minterpolation,V98,TRUE)</f>
        <v>6.0478561312157721E-4</v>
      </c>
      <c r="Y98" s="112">
        <f>_xll.qlInterpolationInterpolate(AbcdInterpolation3M,$W98,TRUE)</f>
        <v>5.9721812331910433E-4</v>
      </c>
      <c r="AC98" s="86"/>
      <c r="AD98" s="86"/>
    </row>
    <row r="99" spans="5:30" ht="11.25" customHeight="1" x14ac:dyDescent="0.2">
      <c r="E99" s="229"/>
      <c r="F99" s="229"/>
      <c r="G99" s="229"/>
      <c r="H99" s="86"/>
      <c r="L99" s="86"/>
      <c r="M99" s="86"/>
      <c r="V99" s="114">
        <f>_xll.qlCalendarAdvance(Calendar,V98,"1D","f")</f>
        <v>42936</v>
      </c>
      <c r="W99" s="100">
        <f t="shared" si="15"/>
        <v>0.38630136986301372</v>
      </c>
      <c r="X99" s="112">
        <f>_xll.qlInterpolationInterpolate(B3Minterpolation,V99,TRUE)</f>
        <v>6.0644781668352233E-4</v>
      </c>
      <c r="Y99" s="112">
        <f>_xll.qlInterpolationInterpolate(AbcdInterpolation3M,$W99,TRUE)</f>
        <v>5.99328652193202E-4</v>
      </c>
      <c r="AC99" s="86"/>
      <c r="AD99" s="86"/>
    </row>
    <row r="100" spans="5:30" ht="11.25" customHeight="1" x14ac:dyDescent="0.2">
      <c r="E100" s="229"/>
      <c r="F100" s="229"/>
      <c r="G100" s="229"/>
      <c r="H100" s="86"/>
      <c r="L100" s="86"/>
      <c r="M100" s="86"/>
      <c r="V100" s="114">
        <f>_xll.qlCalendarAdvance(Calendar,V99,"1D","f")</f>
        <v>42937</v>
      </c>
      <c r="W100" s="100">
        <f t="shared" si="15"/>
        <v>0.38904109589041097</v>
      </c>
      <c r="X100" s="112">
        <f>_xll.qlInterpolationInterpolate(B3Minterpolation,V100,TRUE)</f>
        <v>6.0809171324800173E-4</v>
      </c>
      <c r="Y100" s="112">
        <f>_xll.qlInterpolationInterpolate(AbcdInterpolation3M,$W100,TRUE)</f>
        <v>6.0142836322084532E-4</v>
      </c>
      <c r="AC100" s="86"/>
      <c r="AD100" s="86"/>
    </row>
    <row r="101" spans="5:30" ht="11.25" customHeight="1" x14ac:dyDescent="0.2">
      <c r="E101" s="229"/>
      <c r="F101" s="229"/>
      <c r="G101" s="229"/>
      <c r="H101" s="86"/>
      <c r="L101" s="86"/>
      <c r="M101" s="86"/>
      <c r="V101" s="114">
        <f>_xll.qlCalendarAdvance(Calendar,V100,"1D","f")</f>
        <v>42940</v>
      </c>
      <c r="W101" s="100">
        <f t="shared" si="15"/>
        <v>0.39726027397260272</v>
      </c>
      <c r="X101" s="112">
        <f>_xll.qlInterpolationInterpolate(B3Minterpolation,V101,TRUE)</f>
        <v>6.1292641176888913E-4</v>
      </c>
      <c r="Y101" s="112">
        <f>_xll.qlInterpolationInterpolate(AbcdInterpolation3M,$W101,TRUE)</f>
        <v>6.0766298001008667E-4</v>
      </c>
      <c r="AC101" s="86"/>
      <c r="AD101" s="86"/>
    </row>
    <row r="102" spans="5:30" ht="11.25" customHeight="1" x14ac:dyDescent="0.2">
      <c r="E102" s="229"/>
      <c r="F102" s="229"/>
      <c r="G102" s="229"/>
      <c r="H102" s="86"/>
      <c r="L102" s="86"/>
      <c r="M102" s="86"/>
      <c r="V102" s="114">
        <f>_xll.qlCalendarAdvance(Calendar,V101,"1D","f")</f>
        <v>42941</v>
      </c>
      <c r="W102" s="100">
        <f t="shared" si="15"/>
        <v>0.4</v>
      </c>
      <c r="X102" s="112">
        <f>_xll.qlInterpolationInterpolate(B3Minterpolation,V102,TRUE)</f>
        <v>6.1450993115574903E-4</v>
      </c>
      <c r="Y102" s="112">
        <f>_xll.qlInterpolationInterpolate(AbcdInterpolation3M,$W102,TRUE)</f>
        <v>6.0971981021553409E-4</v>
      </c>
      <c r="AC102" s="86"/>
      <c r="AD102" s="86"/>
    </row>
    <row r="103" spans="5:30" ht="11.25" customHeight="1" x14ac:dyDescent="0.2">
      <c r="E103" s="229"/>
      <c r="F103" s="229"/>
      <c r="G103" s="229"/>
      <c r="H103" s="86"/>
      <c r="L103" s="86"/>
      <c r="M103" s="86"/>
      <c r="V103" s="114">
        <f>_xll.qlCalendarAdvance(Calendar,V102,"1D","f")</f>
        <v>42942</v>
      </c>
      <c r="W103" s="100">
        <f t="shared" si="15"/>
        <v>0.40273972602739727</v>
      </c>
      <c r="X103" s="112">
        <f>_xll.qlInterpolationInterpolate(B3Minterpolation,V103,TRUE)</f>
        <v>6.1608156895126478E-4</v>
      </c>
      <c r="Y103" s="112">
        <f>_xll.qlInterpolationInterpolate(AbcdInterpolation3M,$W103,TRUE)</f>
        <v>6.1176601762589252E-4</v>
      </c>
      <c r="AC103" s="86"/>
      <c r="AD103" s="86"/>
    </row>
    <row r="104" spans="5:30" ht="11.25" customHeight="1" x14ac:dyDescent="0.2">
      <c r="E104" s="229"/>
      <c r="F104" s="229"/>
      <c r="G104" s="229"/>
      <c r="H104" s="86"/>
      <c r="L104" s="86"/>
      <c r="M104" s="86"/>
      <c r="V104" s="114">
        <f>_xll.qlCalendarAdvance(Calendar,V103,"1D","f")</f>
        <v>42943</v>
      </c>
      <c r="W104" s="100">
        <f t="shared" si="15"/>
        <v>0.40547945205479452</v>
      </c>
      <c r="X104" s="112">
        <f>_xll.qlInterpolationInterpolate(B3Minterpolation,V104,TRUE)</f>
        <v>6.1764261023666074E-4</v>
      </c>
      <c r="Y104" s="112">
        <f>_xll.qlInterpolationInterpolate(AbcdInterpolation3M,$W104,TRUE)</f>
        <v>6.1380164110441172E-4</v>
      </c>
      <c r="AC104" s="86"/>
      <c r="AD104" s="86"/>
    </row>
    <row r="105" spans="5:30" ht="11.25" customHeight="1" x14ac:dyDescent="0.2">
      <c r="E105" s="229"/>
      <c r="F105" s="229"/>
      <c r="G105" s="229"/>
      <c r="H105" s="86"/>
      <c r="L105" s="86"/>
      <c r="M105" s="86"/>
      <c r="V105" s="114">
        <f>_xll.qlCalendarAdvance(Calendar,V104,"1D","f")</f>
        <v>42944</v>
      </c>
      <c r="W105" s="100">
        <f t="shared" si="15"/>
        <v>0.40821917808219177</v>
      </c>
      <c r="X105" s="112">
        <f>_xll.qlInterpolationInterpolate(B3Minterpolation,V105,TRUE)</f>
        <v>6.191943400931612E-4</v>
      </c>
      <c r="Y105" s="112">
        <f>_xll.qlInterpolationInterpolate(AbcdInterpolation3M,$W105,TRUE)</f>
        <v>6.1582671945976529E-4</v>
      </c>
      <c r="AC105" s="86"/>
      <c r="AD105" s="86"/>
    </row>
    <row r="106" spans="5:30" ht="11.25" customHeight="1" x14ac:dyDescent="0.2">
      <c r="E106" s="229"/>
      <c r="F106" s="229"/>
      <c r="G106" s="229"/>
      <c r="H106" s="86"/>
      <c r="L106" s="86"/>
      <c r="M106" s="86"/>
      <c r="V106" s="114">
        <f>_xll.qlCalendarAdvance(Calendar,V105,"1D","f")</f>
        <v>42947</v>
      </c>
      <c r="W106" s="100">
        <f t="shared" si="15"/>
        <v>0.41643835616438357</v>
      </c>
      <c r="X106" s="112">
        <f>_xll.qlInterpolationInterpolate(B3Minterpolation,V106,TRUE)</f>
        <v>6.2380651190153296E-4</v>
      </c>
      <c r="Y106" s="112">
        <f>_xll.qlInterpolationInterpolate(AbcdInterpolation3M,$W106,TRUE)</f>
        <v>6.2183907100918812E-4</v>
      </c>
      <c r="AC106" s="86"/>
      <c r="AD106" s="86"/>
    </row>
    <row r="107" spans="5:30" ht="11.25" customHeight="1" x14ac:dyDescent="0.2">
      <c r="E107" s="229"/>
      <c r="F107" s="229"/>
      <c r="G107" s="229"/>
      <c r="H107" s="86"/>
      <c r="L107" s="86"/>
      <c r="M107" s="86"/>
      <c r="V107" s="114">
        <f>_xll.qlCalendarAdvance(Calendar,V106,"1D","f")</f>
        <v>42948</v>
      </c>
      <c r="W107" s="100">
        <f t="shared" si="15"/>
        <v>0.41917808219178082</v>
      </c>
      <c r="X107" s="112">
        <f>_xll.qlInterpolationInterpolate(B3Minterpolation,V107,TRUE)</f>
        <v>6.253338468546946E-4</v>
      </c>
      <c r="Y107" s="112">
        <f>_xll.qlInterpolationInterpolate(AbcdInterpolation3M,$W107,TRUE)</f>
        <v>6.2382235579165374E-4</v>
      </c>
      <c r="AC107" s="86"/>
      <c r="AD107" s="86"/>
    </row>
    <row r="108" spans="5:30" ht="11.25" customHeight="1" x14ac:dyDescent="0.2">
      <c r="E108" s="229"/>
      <c r="F108" s="229"/>
      <c r="G108" s="229"/>
      <c r="H108" s="86"/>
      <c r="L108" s="86"/>
      <c r="M108" s="86"/>
      <c r="V108" s="114">
        <f>_xll.qlCalendarAdvance(Calendar,V107,"1D","f")</f>
        <v>42949</v>
      </c>
      <c r="W108" s="100">
        <f t="shared" si="15"/>
        <v>0.42191780821917807</v>
      </c>
      <c r="X108" s="112">
        <f>_xll.qlInterpolationInterpolate(B3Minterpolation,V108,TRUE)</f>
        <v>6.268582957850824E-4</v>
      </c>
      <c r="Y108" s="112">
        <f>_xll.qlInterpolationInterpolate(AbcdInterpolation3M,$W108,TRUE)</f>
        <v>6.2579528860140033E-4</v>
      </c>
      <c r="AC108" s="86"/>
      <c r="AD108" s="86"/>
    </row>
    <row r="109" spans="5:30" ht="11.25" customHeight="1" x14ac:dyDescent="0.2">
      <c r="E109" s="229"/>
      <c r="F109" s="229"/>
      <c r="G109" s="229"/>
      <c r="H109" s="86"/>
      <c r="L109" s="86"/>
      <c r="M109" s="86"/>
      <c r="V109" s="114">
        <f>_xll.qlCalendarAdvance(Calendar,V108,"1D","f")</f>
        <v>42950</v>
      </c>
      <c r="W109" s="100">
        <f t="shared" si="15"/>
        <v>0.42465753424657532</v>
      </c>
      <c r="X109" s="112">
        <f>_xll.qlInterpolationInterpolate(B3Minterpolation,V109,TRUE)</f>
        <v>6.2838114377392063E-4</v>
      </c>
      <c r="Y109" s="112">
        <f>_xll.qlInterpolationInterpolate(AbcdInterpolation3M,$W109,TRUE)</f>
        <v>6.2775790787620461E-4</v>
      </c>
      <c r="AC109" s="86"/>
      <c r="AD109" s="86"/>
    </row>
    <row r="110" spans="5:30" ht="11.25" customHeight="1" x14ac:dyDescent="0.2">
      <c r="E110" s="229"/>
      <c r="F110" s="229"/>
      <c r="G110" s="229"/>
      <c r="H110" s="86"/>
      <c r="L110" s="86"/>
      <c r="M110" s="86"/>
      <c r="V110" s="114">
        <f>_xll.qlCalendarAdvance(Calendar,V109,"1D","f")</f>
        <v>42951</v>
      </c>
      <c r="W110" s="100">
        <f t="shared" si="15"/>
        <v>0.42739726027397262</v>
      </c>
      <c r="X110" s="112">
        <f>_xll.qlInterpolationInterpolate(B3Minterpolation,V110,TRUE)</f>
        <v>6.2990370012770225E-4</v>
      </c>
      <c r="Y110" s="112">
        <f>_xll.qlInterpolationInterpolate(AbcdInterpolation3M,$W110,TRUE)</f>
        <v>6.2971025198551244E-4</v>
      </c>
      <c r="AC110" s="86"/>
      <c r="AD110" s="86"/>
    </row>
    <row r="111" spans="5:30" ht="11.25" customHeight="1" x14ac:dyDescent="0.2">
      <c r="E111" s="229"/>
      <c r="F111" s="229"/>
      <c r="G111" s="229"/>
      <c r="H111" s="86"/>
      <c r="L111" s="86"/>
      <c r="M111" s="86"/>
      <c r="V111" s="114">
        <f>_xll.qlCalendarAdvance(Calendar,V110,"1D","f")</f>
        <v>42954</v>
      </c>
      <c r="W111" s="100">
        <f t="shared" si="15"/>
        <v>0.43561643835616437</v>
      </c>
      <c r="X111" s="112">
        <f>_xll.qlInterpolationInterpolate(B3Minterpolation,V111,TRUE)</f>
        <v>6.3448377835545911E-4</v>
      </c>
      <c r="Y111" s="112">
        <f>_xll.qlInterpolationInterpolate(AbcdInterpolation3M,$W111,TRUE)</f>
        <v>6.3550601595530542E-4</v>
      </c>
      <c r="AC111" s="86"/>
      <c r="AD111" s="86"/>
    </row>
    <row r="112" spans="5:30" ht="11.25" customHeight="1" x14ac:dyDescent="0.2">
      <c r="E112" s="229"/>
      <c r="F112" s="229"/>
      <c r="G112" s="229"/>
      <c r="H112" s="86"/>
      <c r="L112" s="86"/>
      <c r="M112" s="86"/>
      <c r="V112" s="114">
        <f>_xll.qlCalendarAdvance(Calendar,V111,"1D","f")</f>
        <v>42955</v>
      </c>
      <c r="W112" s="100">
        <f t="shared" si="15"/>
        <v>0.43835616438356162</v>
      </c>
      <c r="X112" s="112">
        <f>_xll.qlInterpolationInterpolate(B3Minterpolation,V112,TRUE)</f>
        <v>6.3601937559630323E-4</v>
      </c>
      <c r="Y112" s="112">
        <f>_xll.qlInterpolationInterpolate(AbcdInterpolation3M,$W112,TRUE)</f>
        <v>6.3741764167331945E-4</v>
      </c>
      <c r="AC112" s="86"/>
      <c r="AD112" s="86"/>
    </row>
    <row r="113" spans="5:30" ht="11.25" customHeight="1" x14ac:dyDescent="0.2">
      <c r="E113" s="229"/>
      <c r="F113" s="229"/>
      <c r="G113" s="229"/>
      <c r="H113" s="86"/>
      <c r="L113" s="86"/>
      <c r="M113" s="86"/>
      <c r="V113" s="114">
        <f>_xll.qlCalendarAdvance(Calendar,V112,"1D","f")</f>
        <v>42956</v>
      </c>
      <c r="W113" s="100">
        <f t="shared" si="15"/>
        <v>0.44109589041095892</v>
      </c>
      <c r="X113" s="112">
        <f>_xll.qlInterpolationInterpolate(B3Minterpolation,V113,TRUE)</f>
        <v>6.3756180914100401E-4</v>
      </c>
      <c r="Y113" s="112">
        <f>_xll.qlInterpolationInterpolate(AbcdInterpolation3M,$W113,TRUE)</f>
        <v>6.3931918299183594E-4</v>
      </c>
      <c r="AC113" s="86"/>
      <c r="AD113" s="86"/>
    </row>
    <row r="114" spans="5:30" ht="11.25" customHeight="1" x14ac:dyDescent="0.2">
      <c r="E114" s="229"/>
      <c r="F114" s="229"/>
      <c r="G114" s="229"/>
      <c r="H114" s="86"/>
      <c r="L114" s="86"/>
      <c r="M114" s="86"/>
      <c r="V114" s="114">
        <f>_xll.qlCalendarAdvance(Calendar,V113,"1D","f")</f>
        <v>42957</v>
      </c>
      <c r="W114" s="100">
        <f t="shared" si="15"/>
        <v>0.44383561643835617</v>
      </c>
      <c r="X114" s="112">
        <f>_xll.qlInterpolationInterpolate(B3Minterpolation,V114,TRUE)</f>
        <v>6.3911250942239777E-4</v>
      </c>
      <c r="Y114" s="112">
        <f>_xll.qlInterpolationInterpolate(AbcdInterpolation3M,$W114,TRUE)</f>
        <v>6.4121067783741881E-4</v>
      </c>
      <c r="AC114" s="86"/>
      <c r="AD114" s="86"/>
    </row>
    <row r="115" spans="5:30" ht="11.25" customHeight="1" x14ac:dyDescent="0.2">
      <c r="E115" s="229"/>
      <c r="F115" s="229"/>
      <c r="G115" s="229"/>
      <c r="H115" s="86"/>
      <c r="L115" s="86"/>
      <c r="M115" s="86"/>
      <c r="V115" s="114">
        <f>_xll.qlCalendarAdvance(Calendar,V114,"1D","f")</f>
        <v>42958</v>
      </c>
      <c r="W115" s="100">
        <f t="shared" si="15"/>
        <v>0.44657534246575342</v>
      </c>
      <c r="X115" s="112">
        <f>_xll.qlInterpolationInterpolate(B3Minterpolation,V115,TRUE)</f>
        <v>6.406729068733208E-4</v>
      </c>
      <c r="Y115" s="112">
        <f>_xll.qlInterpolationInterpolate(AbcdInterpolation3M,$W115,TRUE)</f>
        <v>6.4309216405789601E-4</v>
      </c>
      <c r="AC115" s="86"/>
      <c r="AD115" s="86"/>
    </row>
    <row r="116" spans="5:30" ht="11.25" customHeight="1" x14ac:dyDescent="0.2">
      <c r="E116" s="229"/>
      <c r="F116" s="229"/>
      <c r="G116" s="229"/>
      <c r="H116" s="86"/>
      <c r="L116" s="86"/>
      <c r="M116" s="86"/>
      <c r="V116" s="114">
        <f>_xll.qlCalendarAdvance(Calendar,V115,"1D","f")</f>
        <v>42961</v>
      </c>
      <c r="W116" s="100">
        <f t="shared" si="15"/>
        <v>0.45479452054794522</v>
      </c>
      <c r="X116" s="112">
        <f>_xll.qlInterpolationInterpolate(B3Minterpolation,V116,TRUE)</f>
        <v>6.4542658657162964E-4</v>
      </c>
      <c r="Y116" s="112">
        <f>_xll.qlInterpolationInterpolate(AbcdInterpolation3M,$W116,TRUE)</f>
        <v>6.4867694823974665E-4</v>
      </c>
      <c r="AC116" s="86"/>
      <c r="AD116" s="86"/>
    </row>
    <row r="117" spans="5:30" ht="11.25" customHeight="1" x14ac:dyDescent="0.2">
      <c r="E117" s="229"/>
      <c r="F117" s="229"/>
      <c r="G117" s="229"/>
      <c r="H117" s="86"/>
      <c r="L117" s="86"/>
      <c r="M117" s="86"/>
      <c r="V117" s="114">
        <f>_xll.qlCalendarAdvance(Calendar,V116,"1D","f")</f>
        <v>42962</v>
      </c>
      <c r="W117" s="100">
        <f t="shared" si="15"/>
        <v>0.45753424657534247</v>
      </c>
      <c r="X117" s="112">
        <f>_xll.qlInterpolationInterpolate(B3Minterpolation,V117,TRUE)</f>
        <v>6.4704007702903374E-4</v>
      </c>
      <c r="Y117" s="112">
        <f>_xll.qlInterpolationInterpolate(AbcdInterpolation3M,$W117,TRUE)</f>
        <v>6.5051877682021871E-4</v>
      </c>
      <c r="AC117" s="86"/>
      <c r="AD117" s="86"/>
    </row>
    <row r="118" spans="5:30" ht="11.25" customHeight="1" x14ac:dyDescent="0.2">
      <c r="E118" s="229"/>
      <c r="F118" s="229"/>
      <c r="G118" s="229"/>
      <c r="H118" s="86"/>
      <c r="L118" s="86"/>
      <c r="M118" s="86"/>
      <c r="V118" s="114">
        <f>_xll.qlCalendarAdvance(Calendar,V117,"1D","f")</f>
        <v>42963</v>
      </c>
      <c r="W118" s="100">
        <f t="shared" si="15"/>
        <v>0.46027397260273972</v>
      </c>
      <c r="X118" s="112">
        <f>_xll.qlInterpolationInterpolate(B3Minterpolation,V118,TRUE)</f>
        <v>6.4867041682014899E-4</v>
      </c>
      <c r="Y118" s="112">
        <f>_xll.qlInterpolationInterpolate(AbcdInterpolation3M,$W118,TRUE)</f>
        <v>6.5235078479125629E-4</v>
      </c>
      <c r="AC118" s="86"/>
      <c r="AD118" s="86"/>
    </row>
    <row r="119" spans="5:30" ht="11.25" customHeight="1" x14ac:dyDescent="0.2">
      <c r="E119" s="229"/>
      <c r="F119" s="229"/>
      <c r="G119" s="229"/>
      <c r="H119" s="86"/>
      <c r="L119" s="86"/>
      <c r="M119" s="86"/>
      <c r="V119" s="114">
        <f>_xll.qlCalendarAdvance(Calendar,V118,"1D","f")</f>
        <v>42964</v>
      </c>
      <c r="W119" s="100">
        <f t="shared" si="15"/>
        <v>0.46301369863013697</v>
      </c>
      <c r="X119" s="112">
        <f>_xll.qlInterpolationInterpolate(B3Minterpolation,V119,TRUE)</f>
        <v>6.5031903637781179E-4</v>
      </c>
      <c r="Y119" s="112">
        <f>_xll.qlInterpolationInterpolate(AbcdInterpolation3M,$W119,TRUE)</f>
        <v>6.5417300950349573E-4</v>
      </c>
      <c r="AC119" s="86"/>
      <c r="AD119" s="86"/>
    </row>
    <row r="120" spans="5:30" ht="11.25" customHeight="1" x14ac:dyDescent="0.2">
      <c r="E120" s="229"/>
      <c r="F120" s="229"/>
      <c r="G120" s="229"/>
      <c r="H120" s="86"/>
      <c r="L120" s="86"/>
      <c r="M120" s="86"/>
      <c r="V120" s="114">
        <f>_xll.qlCalendarAdvance(Calendar,V119,"1D","f")</f>
        <v>42965</v>
      </c>
      <c r="W120" s="100">
        <f t="shared" si="15"/>
        <v>0.46575342465753422</v>
      </c>
      <c r="X120" s="112">
        <f>_xll.qlInterpolationInterpolate(B3Minterpolation,V120,TRUE)</f>
        <v>6.5198736613485847E-4</v>
      </c>
      <c r="Y120" s="112">
        <f>_xll.qlInterpolationInterpolate(AbcdInterpolation3M,$W120,TRUE)</f>
        <v>6.5598548822101753E-4</v>
      </c>
      <c r="AC120" s="86"/>
      <c r="AD120" s="86"/>
    </row>
    <row r="121" spans="5:30" ht="11.25" customHeight="1" x14ac:dyDescent="0.2">
      <c r="E121" s="229"/>
      <c r="F121" s="229"/>
      <c r="G121" s="229"/>
      <c r="H121" s="86"/>
      <c r="L121" s="86"/>
      <c r="M121" s="86"/>
      <c r="V121" s="114">
        <f>_xll.qlCalendarAdvance(Calendar,V120,"1D","f")</f>
        <v>42968</v>
      </c>
      <c r="W121" s="100">
        <f t="shared" si="15"/>
        <v>0.47397260273972602</v>
      </c>
      <c r="X121" s="112">
        <f>_xll.qlInterpolationInterpolate(B3Minterpolation,V121,TRUE)</f>
        <v>6.5712492093066596E-4</v>
      </c>
      <c r="Y121" s="112">
        <f>_xll.qlInterpolationInterpolate(AbcdInterpolation3M,$W121,TRUE)</f>
        <v>6.6136481972822335E-4</v>
      </c>
      <c r="AC121" s="86"/>
      <c r="AD121" s="86"/>
    </row>
    <row r="122" spans="5:30" ht="11.25" customHeight="1" x14ac:dyDescent="0.2">
      <c r="E122" s="229"/>
      <c r="F122" s="229"/>
      <c r="G122" s="229"/>
      <c r="H122" s="86"/>
      <c r="L122" s="86"/>
      <c r="M122" s="86"/>
      <c r="V122" s="114">
        <f>_xll.qlCalendarAdvance(Calendar,V121,"1D","f")</f>
        <v>42969</v>
      </c>
      <c r="W122" s="100">
        <f t="shared" si="15"/>
        <v>0.47671232876712327</v>
      </c>
      <c r="X122" s="112">
        <f>_xll.qlInterpolationInterpolate(B3Minterpolation,V122,TRUE)</f>
        <v>6.5888639581361216E-4</v>
      </c>
      <c r="Y122" s="112">
        <f>_xll.qlInterpolationInterpolate(AbcdInterpolation3M,$W122,TRUE)</f>
        <v>6.6313868534440229E-4</v>
      </c>
      <c r="AC122" s="86"/>
      <c r="AD122" s="86"/>
    </row>
    <row r="123" spans="5:30" ht="11.25" customHeight="1" x14ac:dyDescent="0.2">
      <c r="E123" s="229"/>
      <c r="F123" s="229"/>
      <c r="G123" s="229"/>
      <c r="H123" s="86"/>
      <c r="L123" s="86"/>
      <c r="M123" s="86"/>
      <c r="V123" s="114">
        <f>_xll.qlCalendarAdvance(Calendar,V122,"1D","f")</f>
        <v>42970</v>
      </c>
      <c r="W123" s="100">
        <f t="shared" si="15"/>
        <v>0.47945205479452052</v>
      </c>
      <c r="X123" s="112">
        <f>_xll.qlInterpolationInterpolate(B3Minterpolation,V123,TRUE)</f>
        <v>6.6067473306012409E-4</v>
      </c>
      <c r="Y123" s="112">
        <f>_xll.qlInterpolationInterpolate(AbcdInterpolation3M,$W123,TRUE)</f>
        <v>6.6490298995631634E-4</v>
      </c>
      <c r="AC123" s="86"/>
      <c r="AD123" s="86"/>
    </row>
    <row r="124" spans="5:30" ht="11.25" customHeight="1" x14ac:dyDescent="0.2">
      <c r="E124" s="229"/>
      <c r="F124" s="229"/>
      <c r="G124" s="229"/>
      <c r="H124" s="86"/>
      <c r="L124" s="86"/>
      <c r="M124" s="86"/>
      <c r="V124" s="114">
        <f>_xll.qlCalendarAdvance(Calendar,V123,"1D","f")</f>
        <v>42971</v>
      </c>
      <c r="W124" s="100">
        <f t="shared" si="15"/>
        <v>0.48219178082191783</v>
      </c>
      <c r="X124" s="112">
        <f>_xll.qlInterpolationInterpolate(B3Minterpolation,V124,TRUE)</f>
        <v>6.6249136310303827E-4</v>
      </c>
      <c r="Y124" s="112">
        <f>_xll.qlInterpolationInterpolate(AbcdInterpolation3M,$W124,TRUE)</f>
        <v>6.6665777029027479E-4</v>
      </c>
      <c r="AC124" s="86"/>
      <c r="AD124" s="86"/>
    </row>
    <row r="125" spans="5:30" ht="11.25" customHeight="1" x14ac:dyDescent="0.2">
      <c r="E125" s="229"/>
      <c r="F125" s="229"/>
      <c r="G125" s="229"/>
      <c r="H125" s="86"/>
      <c r="L125" s="86"/>
      <c r="M125" s="86"/>
      <c r="V125" s="114">
        <f>_xll.qlCalendarAdvance(Calendar,V124,"1D","f")</f>
        <v>42972</v>
      </c>
      <c r="W125" s="100">
        <f t="shared" si="15"/>
        <v>0.48493150684931507</v>
      </c>
      <c r="X125" s="112">
        <f>_xll.qlInterpolationInterpolate(B3Minterpolation,V125,TRUE)</f>
        <v>6.6433771637519092E-4</v>
      </c>
      <c r="Y125" s="112">
        <f>_xll.qlInterpolationInterpolate(AbcdInterpolation3M,$W125,TRUE)</f>
        <v>6.6840306298022502E-4</v>
      </c>
      <c r="AC125" s="86"/>
      <c r="AD125" s="86"/>
    </row>
    <row r="126" spans="5:30" ht="11.25" customHeight="1" x14ac:dyDescent="0.2">
      <c r="E126" s="229"/>
      <c r="F126" s="229"/>
      <c r="G126" s="229"/>
      <c r="H126" s="86"/>
      <c r="L126" s="86"/>
      <c r="M126" s="86"/>
      <c r="V126" s="114">
        <f>_xll.qlCalendarAdvance(Calendar,V125,"1D","f")</f>
        <v>42975</v>
      </c>
      <c r="W126" s="100">
        <f t="shared" si="15"/>
        <v>0.49315068493150682</v>
      </c>
      <c r="X126" s="112">
        <f>_xll.qlInterpolationInterpolate(B3Minterpolation,V126,TRUE)</f>
        <v>6.7006941989544385E-4</v>
      </c>
      <c r="Y126" s="112">
        <f>_xll.qlInterpolationInterpolate(AbcdInterpolation3M,$W126,TRUE)</f>
        <v>6.735823801258101E-4</v>
      </c>
      <c r="AC126" s="86"/>
      <c r="AD126" s="86"/>
    </row>
    <row r="127" spans="5:30" ht="11.25" customHeight="1" x14ac:dyDescent="0.2">
      <c r="E127" s="229"/>
      <c r="F127" s="229"/>
      <c r="G127" s="229"/>
      <c r="H127" s="86"/>
      <c r="L127" s="86"/>
      <c r="M127" s="86"/>
      <c r="V127" s="114">
        <f>_xll.qlCalendarAdvance(Calendar,V126,"1D","f")</f>
        <v>42976</v>
      </c>
      <c r="W127" s="100">
        <f t="shared" si="15"/>
        <v>0.49589041095890413</v>
      </c>
      <c r="X127" s="112">
        <f>_xll.qlInterpolationInterpolate(B3Minterpolation,V127,TRUE)</f>
        <v>6.7204897041291437E-4</v>
      </c>
      <c r="Y127" s="112">
        <f>_xll.qlInterpolationInterpolate(AbcdInterpolation3M,$W127,TRUE)</f>
        <v>6.7529008670845947E-4</v>
      </c>
      <c r="AC127" s="86"/>
      <c r="AD127" s="86"/>
    </row>
    <row r="128" spans="5:30" ht="11.25" customHeight="1" x14ac:dyDescent="0.2">
      <c r="E128" s="229"/>
      <c r="F128" s="229"/>
      <c r="G128" s="229"/>
      <c r="H128" s="86"/>
      <c r="L128" s="86"/>
      <c r="M128" s="86"/>
      <c r="V128" s="114">
        <f>_xll.qlCalendarAdvance(Calendar,V127,"1D","f")</f>
        <v>42977</v>
      </c>
      <c r="W128" s="100">
        <f t="shared" si="15"/>
        <v>0.49863013698630138</v>
      </c>
      <c r="X128" s="112">
        <f>_xll.qlInterpolationInterpolate(B3Minterpolation,V128,TRUE)</f>
        <v>6.7406539632380521E-4</v>
      </c>
      <c r="Y128" s="112">
        <f>_xll.qlInterpolationInterpolate(AbcdInterpolation3M,$W128,TRUE)</f>
        <v>6.7698848740830935E-4</v>
      </c>
      <c r="AC128" s="86"/>
      <c r="AD128" s="86"/>
    </row>
    <row r="129" spans="5:30" ht="11.25" customHeight="1" x14ac:dyDescent="0.2">
      <c r="E129" s="229"/>
      <c r="F129" s="229"/>
      <c r="G129" s="229"/>
      <c r="H129" s="86"/>
      <c r="L129" s="86"/>
      <c r="M129" s="86"/>
      <c r="V129" s="114">
        <f>_xll.qlCalendarAdvance(Calendar,V128,"1D","f")</f>
        <v>42978</v>
      </c>
      <c r="W129" s="100">
        <f t="shared" si="15"/>
        <v>0.50136986301369868</v>
      </c>
      <c r="X129" s="112">
        <f>_xll.qlInterpolationInterpolate(B3Minterpolation,V129,TRUE)</f>
        <v>6.761201280609529E-4</v>
      </c>
      <c r="Y129" s="112">
        <f>_xll.qlInterpolationInterpolate(AbcdInterpolation3M,$W129,TRUE)</f>
        <v>6.7867761829168178E-4</v>
      </c>
      <c r="AC129" s="86"/>
      <c r="AD129" s="86"/>
    </row>
    <row r="130" spans="5:30" ht="11.25" customHeight="1" x14ac:dyDescent="0.2">
      <c r="E130" s="229"/>
      <c r="F130" s="229"/>
      <c r="G130" s="229"/>
      <c r="H130" s="86"/>
      <c r="L130" s="86"/>
      <c r="M130" s="86"/>
      <c r="V130" s="114">
        <f>_xll.qlCalendarAdvance(Calendar,V129,"1D","f")</f>
        <v>42979</v>
      </c>
      <c r="W130" s="100">
        <f t="shared" si="15"/>
        <v>0.50410958904109593</v>
      </c>
      <c r="X130" s="112">
        <f>_xll.qlInterpolationInterpolate(B3Minterpolation,V130,TRUE)</f>
        <v>6.7821459605719374E-4</v>
      </c>
      <c r="Y130" s="112">
        <f>_xll.qlInterpolationInterpolate(AbcdInterpolation3M,$W130,TRUE)</f>
        <v>6.8035751532831608E-4</v>
      </c>
      <c r="AC130" s="86"/>
      <c r="AD130" s="86"/>
    </row>
    <row r="131" spans="5:30" ht="11.25" customHeight="1" x14ac:dyDescent="0.2">
      <c r="E131" s="229"/>
      <c r="F131" s="229"/>
      <c r="G131" s="229"/>
      <c r="H131" s="86"/>
      <c r="L131" s="86"/>
      <c r="M131" s="86"/>
      <c r="V131" s="114">
        <f>_xll.qlCalendarAdvance(Calendar,V130,"1D","f")</f>
        <v>42982</v>
      </c>
      <c r="W131" s="100">
        <f t="shared" ref="W131:W194" si="16">($V131-EvaluationDate)/365</f>
        <v>0.51232876712328768</v>
      </c>
      <c r="X131" s="112">
        <f>_xll.qlInterpolationInterpolate(B3Minterpolation,V131,TRUE)</f>
        <v>6.8475072192883879E-4</v>
      </c>
      <c r="Y131" s="112">
        <f>_xll.qlInterpolationInterpolate(AbcdInterpolation3M,$W131,TRUE)</f>
        <v>6.8534216159623176E-4</v>
      </c>
      <c r="AC131" s="86"/>
      <c r="AD131" s="86"/>
    </row>
    <row r="132" spans="5:30" ht="11.25" customHeight="1" x14ac:dyDescent="0.2">
      <c r="E132" s="229"/>
      <c r="F132" s="229"/>
      <c r="G132" s="229"/>
      <c r="H132" s="86"/>
      <c r="L132" s="86"/>
      <c r="M132" s="86"/>
      <c r="V132" s="114">
        <f>_xll.qlCalendarAdvance(Calendar,V131,"1D","f")</f>
        <v>42983</v>
      </c>
      <c r="W132" s="100">
        <f t="shared" si="16"/>
        <v>0.51506849315068493</v>
      </c>
      <c r="X132" s="112">
        <f>_xll.qlInterpolationInterpolate(B3Minterpolation,V132,TRUE)</f>
        <v>6.8701751780249007E-4</v>
      </c>
      <c r="Y132" s="112">
        <f>_xll.qlInterpolationInterpolate(AbcdInterpolation3M,$W132,TRUE)</f>
        <v>6.8698548099485742E-4</v>
      </c>
      <c r="AC132" s="86"/>
      <c r="AD132" s="86"/>
    </row>
    <row r="133" spans="5:30" ht="11.25" customHeight="1" x14ac:dyDescent="0.2">
      <c r="E133" s="229"/>
      <c r="F133" s="229"/>
      <c r="G133" s="229"/>
      <c r="H133" s="86"/>
      <c r="L133" s="86"/>
      <c r="M133" s="86"/>
      <c r="V133" s="114">
        <f>_xll.qlCalendarAdvance(Calendar,V132,"1D","f")</f>
        <v>42984</v>
      </c>
      <c r="W133" s="100">
        <f t="shared" si="16"/>
        <v>0.51780821917808217</v>
      </c>
      <c r="X133" s="112">
        <f>_xll.qlInterpolationInterpolate(B3Minterpolation,V133,TRUE)</f>
        <v>6.8932567317546108E-4</v>
      </c>
      <c r="Y133" s="112">
        <f>_xll.qlInterpolationInterpolate(AbcdInterpolation3M,$W133,TRUE)</f>
        <v>6.8861974493023698E-4</v>
      </c>
      <c r="AC133" s="86"/>
      <c r="AD133" s="86"/>
    </row>
    <row r="134" spans="5:30" ht="11.25" customHeight="1" x14ac:dyDescent="0.2">
      <c r="E134" s="229"/>
      <c r="F134" s="229"/>
      <c r="G134" s="229"/>
      <c r="H134" s="86"/>
      <c r="L134" s="86"/>
      <c r="M134" s="86"/>
      <c r="V134" s="114">
        <f>_xll.qlCalendarAdvance(Calendar,V133,"1D","f")</f>
        <v>42985</v>
      </c>
      <c r="W134" s="100">
        <f t="shared" si="16"/>
        <v>0.52054794520547942</v>
      </c>
      <c r="X134" s="112">
        <f>_xll.qlInterpolationInterpolate(B3Minterpolation,V134,TRUE)</f>
        <v>6.9167108955663309E-4</v>
      </c>
      <c r="Y134" s="112">
        <f>_xll.qlInterpolationInterpolate(AbcdInterpolation3M,$W134,TRUE)</f>
        <v>6.9024498878305913E-4</v>
      </c>
      <c r="AC134" s="86"/>
      <c r="AD134" s="86"/>
    </row>
    <row r="135" spans="5:30" ht="11.25" customHeight="1" x14ac:dyDescent="0.2">
      <c r="E135" s="229"/>
      <c r="F135" s="229"/>
      <c r="G135" s="229"/>
      <c r="H135" s="86"/>
      <c r="L135" s="86"/>
      <c r="M135" s="86"/>
      <c r="V135" s="114">
        <f>_xll.qlCalendarAdvance(Calendar,V134,"1D","f")</f>
        <v>42986</v>
      </c>
      <c r="W135" s="100">
        <f t="shared" si="16"/>
        <v>0.52328767123287667</v>
      </c>
      <c r="X135" s="112">
        <f>_xll.qlInterpolationInterpolate(B3Minterpolation,V135,TRUE)</f>
        <v>6.9404966845488722E-4</v>
      </c>
      <c r="Y135" s="112">
        <f>_xll.qlInterpolationInterpolate(AbcdInterpolation3M,$W135,TRUE)</f>
        <v>6.918612478344551E-4</v>
      </c>
      <c r="AC135" s="86"/>
      <c r="AD135" s="86"/>
    </row>
    <row r="136" spans="5:30" ht="11.25" customHeight="1" x14ac:dyDescent="0.2">
      <c r="E136" s="229"/>
      <c r="F136" s="229"/>
      <c r="G136" s="229"/>
      <c r="H136" s="86"/>
      <c r="L136" s="86"/>
      <c r="M136" s="86"/>
      <c r="V136" s="114">
        <f>_xll.qlCalendarAdvance(Calendar,V135,"1D","f")</f>
        <v>42989</v>
      </c>
      <c r="W136" s="100">
        <f t="shared" si="16"/>
        <v>0.53150684931506853</v>
      </c>
      <c r="X136" s="112">
        <f>_xll.qlInterpolationInterpolate(B3Minterpolation,V136,TRUE)</f>
        <v>7.0134339534095409E-4</v>
      </c>
      <c r="Y136" s="112">
        <f>_xll.qlInterpolationInterpolate(AbcdInterpolation3M,$W136,TRUE)</f>
        <v>6.9665646749104634E-4</v>
      </c>
      <c r="AC136" s="86"/>
      <c r="AD136" s="86"/>
    </row>
    <row r="137" spans="5:30" ht="11.25" customHeight="1" x14ac:dyDescent="0.2">
      <c r="E137" s="229"/>
      <c r="F137" s="229"/>
      <c r="G137" s="229"/>
      <c r="H137" s="86"/>
      <c r="L137" s="86"/>
      <c r="M137" s="86"/>
      <c r="V137" s="114">
        <f>_xll.qlCalendarAdvance(Calendar,V136,"1D","f")</f>
        <v>42990</v>
      </c>
      <c r="W137" s="100">
        <f t="shared" si="16"/>
        <v>0.53424657534246578</v>
      </c>
      <c r="X137" s="112">
        <f>_xll.qlInterpolationInterpolate(B3Minterpolation,V137,TRUE)</f>
        <v>7.0381363939634855E-4</v>
      </c>
      <c r="Y137" s="112">
        <f>_xll.qlInterpolationInterpolate(AbcdInterpolation3M,$W137,TRUE)</f>
        <v>6.9823713814543172E-4</v>
      </c>
      <c r="AC137" s="86"/>
      <c r="AD137" s="86"/>
    </row>
    <row r="138" spans="5:30" ht="11.25" customHeight="1" x14ac:dyDescent="0.2">
      <c r="E138" s="229"/>
      <c r="F138" s="229"/>
      <c r="G138" s="229"/>
      <c r="H138" s="86"/>
      <c r="L138" s="86"/>
      <c r="M138" s="86"/>
      <c r="V138" s="114">
        <f>_xll.qlCalendarAdvance(Calendar,V137,"1D","f")</f>
        <v>42991</v>
      </c>
      <c r="W138" s="100">
        <f t="shared" si="16"/>
        <v>0.53698630136986303</v>
      </c>
      <c r="X138" s="112">
        <f>_xll.qlInterpolationInterpolate(B3Minterpolation,V138,TRUE)</f>
        <v>7.0629655351323094E-4</v>
      </c>
      <c r="Y138" s="112">
        <f>_xll.qlInterpolationInterpolate(AbcdInterpolation3M,$W138,TRUE)</f>
        <v>6.998089988994805E-4</v>
      </c>
      <c r="AC138" s="86"/>
      <c r="AD138" s="86"/>
    </row>
    <row r="139" spans="5:30" ht="11.25" customHeight="1" x14ac:dyDescent="0.2">
      <c r="E139" s="229"/>
      <c r="F139" s="229"/>
      <c r="G139" s="229"/>
      <c r="H139" s="86"/>
      <c r="L139" s="86"/>
      <c r="M139" s="86"/>
      <c r="V139" s="114">
        <f>_xll.qlCalendarAdvance(Calendar,V138,"1D","f")</f>
        <v>42992</v>
      </c>
      <c r="W139" s="100">
        <f t="shared" si="16"/>
        <v>0.53972602739726028</v>
      </c>
      <c r="X139" s="112">
        <f>_xll.qlInterpolationInterpolate(B3Minterpolation,V139,TRUE)</f>
        <v>7.087880392004825E-4</v>
      </c>
      <c r="Y139" s="112">
        <f>_xll.qlInterpolationInterpolate(AbcdInterpolation3M,$W139,TRUE)</f>
        <v>7.013720844305149E-4</v>
      </c>
      <c r="AC139" s="86"/>
      <c r="AD139" s="86"/>
    </row>
    <row r="140" spans="5:30" ht="11.25" customHeight="1" x14ac:dyDescent="0.2">
      <c r="E140" s="229"/>
      <c r="F140" s="229"/>
      <c r="G140" s="229"/>
      <c r="H140" s="86"/>
      <c r="L140" s="86"/>
      <c r="M140" s="86"/>
      <c r="V140" s="114">
        <f>_xll.qlCalendarAdvance(Calendar,V139,"1D","f")</f>
        <v>42993</v>
      </c>
      <c r="W140" s="100">
        <f t="shared" si="16"/>
        <v>0.54246575342465753</v>
      </c>
      <c r="X140" s="112">
        <f>_xll.qlInterpolationInterpolate(B3Minterpolation,V140,TRUE)</f>
        <v>7.1128399796698439E-4</v>
      </c>
      <c r="Y140" s="112">
        <f>_xll.qlInterpolationInterpolate(AbcdInterpolation3M,$W140,TRUE)</f>
        <v>7.0292642931431076E-4</v>
      </c>
      <c r="AC140" s="86"/>
      <c r="AD140" s="86"/>
    </row>
    <row r="141" spans="5:30" ht="11.25" customHeight="1" x14ac:dyDescent="0.2">
      <c r="E141" s="229"/>
      <c r="F141" s="229"/>
      <c r="G141" s="229"/>
      <c r="H141" s="86"/>
      <c r="L141" s="86"/>
      <c r="M141" s="86"/>
      <c r="V141" s="114">
        <f>_xll.qlCalendarAdvance(Calendar,V140,"1D","f")</f>
        <v>42996</v>
      </c>
      <c r="W141" s="100">
        <f t="shared" si="16"/>
        <v>0.55068493150684927</v>
      </c>
      <c r="X141" s="112">
        <f>_xll.qlInterpolationInterpolate(B3Minterpolation,V141,TRUE)</f>
        <v>7.1875772783080365E-4</v>
      </c>
      <c r="Y141" s="112">
        <f>_xll.qlInterpolationInterpolate(AbcdInterpolation3M,$W141,TRUE)</f>
        <v>7.0753736431243693E-4</v>
      </c>
      <c r="AC141" s="86"/>
      <c r="AD141" s="86"/>
    </row>
    <row r="142" spans="5:30" ht="11.25" customHeight="1" x14ac:dyDescent="0.2">
      <c r="E142" s="229"/>
      <c r="F142" s="229"/>
      <c r="G142" s="229"/>
      <c r="H142" s="86"/>
      <c r="L142" s="86"/>
      <c r="M142" s="86"/>
      <c r="V142" s="114">
        <f>_xll.qlCalendarAdvance(Calendar,V141,"1D","f")</f>
        <v>42997</v>
      </c>
      <c r="W142" s="100">
        <f t="shared" si="16"/>
        <v>0.55342465753424652</v>
      </c>
      <c r="X142" s="112">
        <f>_xll.qlInterpolationInterpolate(B3Minterpolation,V142,TRUE)</f>
        <v>7.2123059400311851E-4</v>
      </c>
      <c r="Y142" s="112">
        <f>_xll.qlInterpolationInterpolate(AbcdInterpolation3M,$W142,TRUE)</f>
        <v>7.0905709032691373E-4</v>
      </c>
      <c r="AC142" s="86"/>
      <c r="AD142" s="86"/>
    </row>
    <row r="143" spans="5:30" ht="11.25" customHeight="1" x14ac:dyDescent="0.2">
      <c r="E143" s="229"/>
      <c r="F143" s="229"/>
      <c r="G143" s="229"/>
      <c r="H143" s="86"/>
      <c r="L143" s="86"/>
      <c r="M143" s="86"/>
      <c r="V143" s="114">
        <f>_xll.qlCalendarAdvance(Calendar,V142,"1D","f")</f>
        <v>42998</v>
      </c>
      <c r="W143" s="100">
        <f t="shared" si="16"/>
        <v>0.55616438356164388</v>
      </c>
      <c r="X143" s="112">
        <f>_xll.qlInterpolationInterpolate(B3Minterpolation,V143,TRUE)</f>
        <v>7.236874407990896E-4</v>
      </c>
      <c r="Y143" s="112">
        <f>_xll.qlInterpolationInterpolate(AbcdInterpolation3M,$W143,TRUE)</f>
        <v>7.1056824704283743E-4</v>
      </c>
      <c r="AC143" s="86"/>
      <c r="AD143" s="86"/>
    </row>
    <row r="144" spans="5:30" ht="11.25" customHeight="1" x14ac:dyDescent="0.2">
      <c r="E144" s="229"/>
      <c r="F144" s="229"/>
      <c r="G144" s="229"/>
      <c r="H144" s="86"/>
      <c r="L144" s="86"/>
      <c r="M144" s="86"/>
      <c r="V144" s="114">
        <f>_xll.qlCalendarAdvance(Calendar,V143,"1D","f")</f>
        <v>42999</v>
      </c>
      <c r="W144" s="100">
        <f t="shared" si="16"/>
        <v>0.55890410958904113</v>
      </c>
      <c r="X144" s="112">
        <f>_xll.qlInterpolationInterpolate(B3Minterpolation,V144,TRUE)</f>
        <v>7.2612416972759805E-4</v>
      </c>
      <c r="Y144" s="112">
        <f>_xll.qlInterpolationInterpolate(AbcdInterpolation3M,$W144,TRUE)</f>
        <v>7.1207086842270623E-4</v>
      </c>
      <c r="AC144" s="86"/>
      <c r="AD144" s="86"/>
    </row>
    <row r="145" spans="5:30" ht="11.25" customHeight="1" x14ac:dyDescent="0.2">
      <c r="E145" s="229"/>
      <c r="F145" s="229"/>
      <c r="G145" s="229"/>
      <c r="H145" s="86"/>
      <c r="L145" s="86"/>
      <c r="M145" s="86"/>
      <c r="V145" s="114">
        <f>_xll.qlCalendarAdvance(Calendar,V144,"1D","f")</f>
        <v>43000</v>
      </c>
      <c r="W145" s="100">
        <f t="shared" si="16"/>
        <v>0.56164383561643838</v>
      </c>
      <c r="X145" s="112">
        <f>_xll.qlInterpolationInterpolate(B3Minterpolation,V145,TRUE)</f>
        <v>7.2853668229752502E-4</v>
      </c>
      <c r="Y145" s="112">
        <f>_xll.qlInterpolationInterpolate(AbcdInterpolation3M,$W145,TRUE)</f>
        <v>7.1356498832627203E-4</v>
      </c>
      <c r="AC145" s="86"/>
      <c r="AD145" s="86"/>
    </row>
    <row r="146" spans="5:30" ht="11.25" customHeight="1" x14ac:dyDescent="0.2">
      <c r="E146" s="229"/>
      <c r="F146" s="229"/>
      <c r="G146" s="229"/>
      <c r="H146" s="86"/>
      <c r="L146" s="86"/>
      <c r="M146" s="86"/>
      <c r="V146" s="114">
        <f>_xll.qlCalendarAdvance(Calendar,V145,"1D","f")</f>
        <v>43003</v>
      </c>
      <c r="W146" s="100">
        <f t="shared" si="16"/>
        <v>0.56986301369863013</v>
      </c>
      <c r="X146" s="112">
        <f>_xll.qlInterpolationInterpolate(B3Minterpolation,V146,TRUE)</f>
        <v>7.3558793694462866E-4</v>
      </c>
      <c r="Y146" s="112">
        <f>_xll.qlInterpolationInterpolate(AbcdInterpolation3M,$W146,TRUE)</f>
        <v>7.1799667623306752E-4</v>
      </c>
      <c r="AC146" s="86"/>
      <c r="AD146" s="86"/>
    </row>
    <row r="147" spans="5:30" ht="11.25" customHeight="1" x14ac:dyDescent="0.2">
      <c r="E147" s="229"/>
      <c r="F147" s="229"/>
      <c r="G147" s="229"/>
      <c r="H147" s="86"/>
      <c r="L147" s="86"/>
      <c r="M147" s="86"/>
      <c r="V147" s="114">
        <f>_xll.qlCalendarAdvance(Calendar,V146,"1D","f")</f>
        <v>43004</v>
      </c>
      <c r="W147" s="100">
        <f t="shared" si="16"/>
        <v>0.57260273972602738</v>
      </c>
      <c r="X147" s="112">
        <f>_xll.qlInterpolationInterpolate(B3Minterpolation,V147,TRUE)</f>
        <v>7.3786259916904136E-4</v>
      </c>
      <c r="Y147" s="112">
        <f>_xll.qlInterpolationInterpolate(AbcdInterpolation3M,$W147,TRUE)</f>
        <v>7.1945712677012658E-4</v>
      </c>
      <c r="AC147" s="86"/>
      <c r="AD147" s="86"/>
    </row>
    <row r="148" spans="5:30" ht="11.25" customHeight="1" x14ac:dyDescent="0.2">
      <c r="E148" s="229"/>
      <c r="F148" s="229"/>
      <c r="G148" s="229"/>
      <c r="H148" s="86"/>
      <c r="L148" s="86"/>
      <c r="M148" s="86"/>
      <c r="V148" s="114">
        <f>_xll.qlCalendarAdvance(Calendar,V147,"1D","f")</f>
        <v>43005</v>
      </c>
      <c r="W148" s="100">
        <f t="shared" si="16"/>
        <v>0.57534246575342463</v>
      </c>
      <c r="X148" s="112">
        <f>_xll.qlInterpolationInterpolate(B3Minterpolation,V148,TRUE)</f>
        <v>7.4009255257927848E-4</v>
      </c>
      <c r="Y148" s="112">
        <f>_xll.qlInterpolationInterpolate(AbcdInterpolation3M,$W148,TRUE)</f>
        <v>7.2090924358473999E-4</v>
      </c>
      <c r="AC148" s="86"/>
      <c r="AD148" s="86"/>
    </row>
    <row r="149" spans="5:30" ht="11.25" customHeight="1" x14ac:dyDescent="0.2">
      <c r="E149" s="229"/>
      <c r="F149" s="229"/>
      <c r="G149" s="229"/>
      <c r="H149" s="86"/>
      <c r="L149" s="86"/>
      <c r="M149" s="86"/>
      <c r="V149" s="114">
        <f>_xll.qlCalendarAdvance(Calendar,V148,"1D","f")</f>
        <v>43006</v>
      </c>
      <c r="W149" s="100">
        <f t="shared" si="16"/>
        <v>0.57808219178082187</v>
      </c>
      <c r="X149" s="112">
        <f>_xll.qlInterpolationInterpolate(B3Minterpolation,V149,TRUE)</f>
        <v>7.4227369868422116E-4</v>
      </c>
      <c r="Y149" s="112">
        <f>_xll.qlInterpolationInterpolate(AbcdInterpolation3M,$W149,TRUE)</f>
        <v>7.2235305991812614E-4</v>
      </c>
      <c r="AC149" s="86"/>
      <c r="AD149" s="86"/>
    </row>
    <row r="150" spans="5:30" ht="11.25" customHeight="1" x14ac:dyDescent="0.2">
      <c r="E150" s="229"/>
      <c r="F150" s="229"/>
      <c r="G150" s="229"/>
      <c r="H150" s="86"/>
      <c r="L150" s="86"/>
      <c r="M150" s="86"/>
      <c r="V150" s="114">
        <f>_xll.qlCalendarAdvance(Calendar,V149,"1D","f")</f>
        <v>43007</v>
      </c>
      <c r="W150" s="100">
        <f t="shared" si="16"/>
        <v>0.58082191780821912</v>
      </c>
      <c r="X150" s="112">
        <f>_xll.qlInterpolationInterpolate(B3Minterpolation,V150,TRUE)</f>
        <v>7.4440193899275053E-4</v>
      </c>
      <c r="Y150" s="112">
        <f>_xll.qlInterpolationInterpolate(AbcdInterpolation3M,$W150,TRUE)</f>
        <v>7.2378860890818034E-4</v>
      </c>
      <c r="AC150" s="86"/>
      <c r="AD150" s="86"/>
    </row>
    <row r="151" spans="5:30" ht="11.25" customHeight="1" x14ac:dyDescent="0.2">
      <c r="E151" s="229"/>
      <c r="F151" s="229"/>
      <c r="G151" s="229"/>
      <c r="H151" s="86"/>
      <c r="L151" s="86"/>
      <c r="M151" s="86"/>
      <c r="V151" s="114">
        <f>_xll.qlCalendarAdvance(Calendar,V150,"1D","f")</f>
        <v>43010</v>
      </c>
      <c r="W151" s="100">
        <f t="shared" si="16"/>
        <v>0.58904109589041098</v>
      </c>
      <c r="X151" s="112">
        <f>_xll.qlInterpolationInterpolate(B3Minterpolation,V151,TRUE)</f>
        <v>7.5042824022867054E-4</v>
      </c>
      <c r="Y151" s="112">
        <f>_xll.qlInterpolationInterpolate(AbcdInterpolation3M,$W151,TRUE)</f>
        <v>7.2804598164671408E-4</v>
      </c>
      <c r="AC151" s="86"/>
      <c r="AD151" s="86"/>
    </row>
    <row r="152" spans="5:30" ht="11.25" customHeight="1" x14ac:dyDescent="0.2">
      <c r="E152" s="229"/>
      <c r="F152" s="229"/>
      <c r="G152" s="229"/>
      <c r="H152" s="86"/>
      <c r="L152" s="86"/>
      <c r="M152" s="86"/>
      <c r="V152" s="114">
        <f>_xll.qlCalendarAdvance(Calendar,V151,"1D","f")</f>
        <v>43011</v>
      </c>
      <c r="W152" s="100">
        <f t="shared" si="16"/>
        <v>0.59178082191780823</v>
      </c>
      <c r="X152" s="112">
        <f>_xll.qlInterpolationInterpolate(B3Minterpolation,V152,TRUE)</f>
        <v>7.5230387244035841E-4</v>
      </c>
      <c r="Y152" s="112">
        <f>_xll.qlInterpolationInterpolate(AbcdInterpolation3M,$W152,TRUE)</f>
        <v>7.2944879057477876E-4</v>
      </c>
      <c r="AC152" s="86"/>
      <c r="AD152" s="86"/>
    </row>
    <row r="153" spans="5:30" ht="11.25" customHeight="1" x14ac:dyDescent="0.2">
      <c r="E153" s="229"/>
      <c r="F153" s="229"/>
      <c r="G153" s="229"/>
      <c r="H153" s="86"/>
      <c r="L153" s="86"/>
      <c r="M153" s="86"/>
      <c r="V153" s="114">
        <f>_xll.qlCalendarAdvance(Calendar,V152,"1D","f")</f>
        <v>43012</v>
      </c>
      <c r="W153" s="100">
        <f t="shared" si="16"/>
        <v>0.59452054794520548</v>
      </c>
      <c r="X153" s="112">
        <f>_xll.qlInterpolationInterpolate(B3Minterpolation,V153,TRUE)</f>
        <v>7.5410728360237439E-4</v>
      </c>
      <c r="Y153" s="112">
        <f>_xll.qlInterpolationInterpolate(AbcdInterpolation3M,$W153,TRUE)</f>
        <v>7.3084349629812272E-4</v>
      </c>
      <c r="AC153" s="86"/>
      <c r="AD153" s="86"/>
    </row>
    <row r="154" spans="5:30" ht="11.25" customHeight="1" x14ac:dyDescent="0.2">
      <c r="E154" s="229"/>
      <c r="F154" s="229"/>
      <c r="G154" s="229"/>
      <c r="H154" s="86"/>
      <c r="L154" s="86"/>
      <c r="M154" s="86"/>
      <c r="V154" s="114">
        <f>_xll.qlCalendarAdvance(Calendar,V153,"1D","f")</f>
        <v>43013</v>
      </c>
      <c r="W154" s="100">
        <f t="shared" si="16"/>
        <v>0.59726027397260273</v>
      </c>
      <c r="X154" s="112">
        <f>_xll.qlInterpolationInterpolate(B3Minterpolation,V154,TRUE)</f>
        <v>7.5584026123527714E-4</v>
      </c>
      <c r="Y154" s="112">
        <f>_xll.qlInterpolationInterpolate(AbcdInterpolation3M,$W154,TRUE)</f>
        <v>7.3223013133422101E-4</v>
      </c>
      <c r="AC154" s="86"/>
      <c r="AD154" s="86"/>
    </row>
    <row r="155" spans="5:30" ht="11.25" customHeight="1" x14ac:dyDescent="0.2">
      <c r="E155" s="229"/>
      <c r="F155" s="229"/>
      <c r="G155" s="229"/>
      <c r="H155" s="86"/>
      <c r="L155" s="86"/>
      <c r="M155" s="86"/>
      <c r="V155" s="114">
        <f>_xll.qlCalendarAdvance(Calendar,V154,"1D","f")</f>
        <v>43014</v>
      </c>
      <c r="W155" s="100">
        <f t="shared" si="16"/>
        <v>0.6</v>
      </c>
      <c r="X155" s="112">
        <f>_xll.qlInterpolationInterpolate(B3Minterpolation,V155,TRUE)</f>
        <v>7.5750577006196093E-4</v>
      </c>
      <c r="Y155" s="112">
        <f>_xll.qlInterpolationInterpolate(AbcdInterpolation3M,$W155,TRUE)</f>
        <v>7.3360872809715067E-4</v>
      </c>
      <c r="AC155" s="86"/>
      <c r="AD155" s="86"/>
    </row>
    <row r="156" spans="5:30" ht="11.25" customHeight="1" x14ac:dyDescent="0.2">
      <c r="E156" s="229"/>
      <c r="F156" s="229"/>
      <c r="G156" s="229"/>
      <c r="H156" s="86"/>
      <c r="L156" s="86"/>
      <c r="M156" s="86"/>
      <c r="V156" s="114">
        <f>_xll.qlCalendarAdvance(Calendar,V155,"1D","f")</f>
        <v>43017</v>
      </c>
      <c r="W156" s="100">
        <f t="shared" si="16"/>
        <v>0.60821917808219184</v>
      </c>
      <c r="X156" s="112">
        <f>_xll.qlInterpolationInterpolate(B3Minterpolation,V156,TRUE)</f>
        <v>7.6212713093364015E-4</v>
      </c>
      <c r="Y156" s="112">
        <f>_xll.qlInterpolationInterpolate(AbcdInterpolation3M,$W156,TRUE)</f>
        <v>7.3769661133731229E-4</v>
      </c>
      <c r="AC156" s="86"/>
      <c r="AD156" s="86"/>
    </row>
    <row r="157" spans="5:30" ht="11.25" customHeight="1" x14ac:dyDescent="0.2">
      <c r="E157" s="229"/>
      <c r="F157" s="229"/>
      <c r="G157" s="229"/>
      <c r="H157" s="86"/>
      <c r="L157" s="86"/>
      <c r="M157" s="86"/>
      <c r="V157" s="114">
        <f>_xll.qlCalendarAdvance(Calendar,V156,"1D","f")</f>
        <v>43018</v>
      </c>
      <c r="W157" s="100">
        <f t="shared" si="16"/>
        <v>0.61095890410958908</v>
      </c>
      <c r="X157" s="112">
        <f>_xll.qlInterpolationInterpolate(B3Minterpolation,V157,TRUE)</f>
        <v>7.6355241176439008E-4</v>
      </c>
      <c r="Y157" s="112">
        <f>_xll.qlInterpolationInterpolate(AbcdInterpolation3M,$W157,TRUE)</f>
        <v>7.3904337708140548E-4</v>
      </c>
      <c r="AC157" s="86"/>
      <c r="AD157" s="86"/>
    </row>
    <row r="158" spans="5:30" ht="11.25" customHeight="1" x14ac:dyDescent="0.2">
      <c r="E158" s="229"/>
      <c r="F158" s="229"/>
      <c r="G158" s="229"/>
      <c r="H158" s="86"/>
      <c r="L158" s="86"/>
      <c r="M158" s="86"/>
      <c r="V158" s="114">
        <f>_xll.qlCalendarAdvance(Calendar,V157,"1D","f")</f>
        <v>43019</v>
      </c>
      <c r="W158" s="100">
        <f t="shared" si="16"/>
        <v>0.61369863013698633</v>
      </c>
      <c r="X158" s="112">
        <f>_xll.qlInterpolationInterpolate(B3Minterpolation,V158,TRUE)</f>
        <v>7.6492504740339193E-4</v>
      </c>
      <c r="Y158" s="112">
        <f>_xll.qlInterpolationInterpolate(AbcdInterpolation3M,$W158,TRUE)</f>
        <v>7.4038226507286919E-4</v>
      </c>
      <c r="AC158" s="86"/>
      <c r="AD158" s="86"/>
    </row>
    <row r="159" spans="5:30" ht="11.25" customHeight="1" x14ac:dyDescent="0.2">
      <c r="E159" s="229"/>
      <c r="F159" s="229"/>
      <c r="G159" s="229"/>
      <c r="H159" s="86"/>
      <c r="L159" s="86"/>
      <c r="M159" s="86"/>
      <c r="V159" s="114">
        <f>_xll.qlCalendarAdvance(Calendar,V158,"1D","f")</f>
        <v>43020</v>
      </c>
      <c r="W159" s="100">
        <f t="shared" si="16"/>
        <v>0.61643835616438358</v>
      </c>
      <c r="X159" s="112">
        <f>_xll.qlInterpolationInterpolate(B3Minterpolation,V159,TRUE)</f>
        <v>7.6624800257354009E-4</v>
      </c>
      <c r="Y159" s="112">
        <f>_xll.qlInterpolationInterpolate(AbcdInterpolation3M,$W159,TRUE)</f>
        <v>7.4171330710616967E-4</v>
      </c>
      <c r="AC159" s="86"/>
      <c r="AD159" s="86"/>
    </row>
    <row r="160" spans="5:30" ht="11.25" customHeight="1" x14ac:dyDescent="0.2">
      <c r="E160" s="229"/>
      <c r="F160" s="229"/>
      <c r="G160" s="229"/>
      <c r="H160" s="86"/>
      <c r="L160" s="86"/>
      <c r="M160" s="86"/>
      <c r="V160" s="114">
        <f>_xll.qlCalendarAdvance(Calendar,V159,"1D","f")</f>
        <v>43021</v>
      </c>
      <c r="W160" s="100">
        <f t="shared" si="16"/>
        <v>0.61917808219178083</v>
      </c>
      <c r="X160" s="112">
        <f>_xll.qlInterpolationInterpolate(B3Minterpolation,V160,TRUE)</f>
        <v>7.6752424199772883E-4</v>
      </c>
      <c r="Y160" s="112">
        <f>_xll.qlInterpolationInterpolate(AbcdInterpolation3M,$W160,TRUE)</f>
        <v>7.430365348727021E-4</v>
      </c>
      <c r="AC160" s="86"/>
      <c r="AD160" s="86"/>
    </row>
    <row r="161" spans="5:30" ht="11.25" customHeight="1" x14ac:dyDescent="0.2">
      <c r="E161" s="229"/>
      <c r="F161" s="229"/>
      <c r="G161" s="229"/>
      <c r="H161" s="86"/>
      <c r="L161" s="86"/>
      <c r="M161" s="86"/>
      <c r="V161" s="114">
        <f>_xll.qlCalendarAdvance(Calendar,V160,"1D","f")</f>
        <v>43024</v>
      </c>
      <c r="W161" s="100">
        <f t="shared" si="16"/>
        <v>0.62739726027397258</v>
      </c>
      <c r="X161" s="112">
        <f>_xll.qlInterpolationInterpolate(B3Minterpolation,V161,TRUE)</f>
        <v>7.7110231302347982E-4</v>
      </c>
      <c r="Y161" s="112">
        <f>_xll.qlInterpolationInterpolate(AbcdInterpolation3M,$W161,TRUE)</f>
        <v>7.4695964794117614E-4</v>
      </c>
      <c r="AC161" s="86"/>
      <c r="AD161" s="86"/>
    </row>
    <row r="162" spans="5:30" ht="11.25" customHeight="1" x14ac:dyDescent="0.2">
      <c r="E162" s="229"/>
      <c r="F162" s="229"/>
      <c r="G162" s="229"/>
      <c r="H162" s="86"/>
      <c r="L162" s="86"/>
      <c r="M162" s="86"/>
      <c r="V162" s="114">
        <f>_xll.qlCalendarAdvance(Calendar,V161,"1D","f")</f>
        <v>43025</v>
      </c>
      <c r="W162" s="100">
        <f t="shared" si="16"/>
        <v>0.63013698630136983</v>
      </c>
      <c r="X162" s="112">
        <f>_xll.qlInterpolationInterpolate(B3Minterpolation,V162,TRUE)</f>
        <v>7.7222133669277264E-4</v>
      </c>
      <c r="Y162" s="112">
        <f>_xll.qlInterpolationInterpolate(AbcdInterpolation3M,$W162,TRUE)</f>
        <v>7.4825193349589746E-4</v>
      </c>
      <c r="AC162" s="86"/>
      <c r="AD162" s="86"/>
    </row>
    <row r="163" spans="5:30" ht="11.25" customHeight="1" x14ac:dyDescent="0.2">
      <c r="E163" s="229"/>
      <c r="F163" s="229"/>
      <c r="G163" s="229"/>
      <c r="H163" s="86"/>
      <c r="L163" s="86"/>
      <c r="M163" s="86"/>
      <c r="V163" s="114">
        <f>_xll.qlCalendarAdvance(Calendar,V162,"1D","f")</f>
        <v>43026</v>
      </c>
      <c r="W163" s="100">
        <f t="shared" si="16"/>
        <v>0.63287671232876708</v>
      </c>
      <c r="X163" s="112">
        <f>_xll.qlInterpolationInterpolate(B3Minterpolation,V163,TRUE)</f>
        <v>7.7330846823057693E-4</v>
      </c>
      <c r="Y163" s="112">
        <f>_xll.qlInterpolationInterpolate(AbcdInterpolation3M,$W163,TRUE)</f>
        <v>7.495365616975823E-4</v>
      </c>
      <c r="AC163" s="86"/>
      <c r="AD163" s="86"/>
    </row>
    <row r="164" spans="5:30" ht="11.25" customHeight="1" x14ac:dyDescent="0.2">
      <c r="E164" s="229"/>
      <c r="F164" s="229"/>
      <c r="G164" s="229"/>
      <c r="H164" s="86"/>
      <c r="L164" s="86"/>
      <c r="M164" s="86"/>
      <c r="V164" s="114">
        <f>_xll.qlCalendarAdvance(Calendar,V163,"1D","f")</f>
        <v>43027</v>
      </c>
      <c r="W164" s="100">
        <f t="shared" si="16"/>
        <v>0.63561643835616444</v>
      </c>
      <c r="X164" s="112">
        <f>_xll.qlInterpolationInterpolate(B3Minterpolation,V164,TRUE)</f>
        <v>7.7436667235978706E-4</v>
      </c>
      <c r="Y164" s="112">
        <f>_xll.qlInterpolationInterpolate(AbcdInterpolation3M,$W164,TRUE)</f>
        <v>7.5081356362097858E-4</v>
      </c>
      <c r="AC164" s="86"/>
      <c r="AD164" s="86"/>
    </row>
    <row r="165" spans="5:30" ht="11.25" customHeight="1" x14ac:dyDescent="0.2">
      <c r="E165" s="229"/>
      <c r="F165" s="229"/>
      <c r="G165" s="229"/>
      <c r="H165" s="86"/>
      <c r="L165" s="86"/>
      <c r="M165" s="86"/>
      <c r="V165" s="114">
        <f>_xll.qlCalendarAdvance(Calendar,V164,"1D","f")</f>
        <v>43028</v>
      </c>
      <c r="W165" s="100">
        <f t="shared" si="16"/>
        <v>0.63835616438356169</v>
      </c>
      <c r="X165" s="112">
        <f>_xll.qlInterpolationInterpolate(B3Minterpolation,V165,TRUE)</f>
        <v>7.7539891380329709E-4</v>
      </c>
      <c r="Y165" s="112">
        <f>_xll.qlInterpolationInterpolate(AbcdInterpolation3M,$W165,TRUE)</f>
        <v>7.5208297023841148E-4</v>
      </c>
      <c r="AC165" s="86"/>
      <c r="AD165" s="86"/>
    </row>
    <row r="166" spans="5:30" ht="11.25" customHeight="1" x14ac:dyDescent="0.2">
      <c r="E166" s="229"/>
      <c r="F166" s="229"/>
      <c r="G166" s="229"/>
      <c r="H166" s="86"/>
      <c r="L166" s="86"/>
      <c r="M166" s="86"/>
      <c r="V166" s="114">
        <f>_xll.qlCalendarAdvance(Calendar,V165,"1D","f")</f>
        <v>43031</v>
      </c>
      <c r="W166" s="100">
        <f t="shared" si="16"/>
        <v>0.64657534246575343</v>
      </c>
      <c r="X166" s="112">
        <f>_xll.qlInterpolationInterpolate(B3Minterpolation,V166,TRUE)</f>
        <v>7.7836950924856942E-4</v>
      </c>
      <c r="Y166" s="112">
        <f>_xll.qlInterpolationInterpolate(AbcdInterpolation3M,$W166,TRUE)</f>
        <v>7.5584592644428229E-4</v>
      </c>
      <c r="AC166" s="86"/>
      <c r="AD166" s="86"/>
    </row>
    <row r="167" spans="5:30" ht="11.25" customHeight="1" x14ac:dyDescent="0.2">
      <c r="E167" s="229"/>
      <c r="F167" s="229"/>
      <c r="G167" s="229"/>
      <c r="H167" s="86"/>
      <c r="L167" s="86"/>
      <c r="M167" s="86"/>
      <c r="V167" s="114">
        <f>_xll.qlCalendarAdvance(Calendar,V166,"1D","f")</f>
        <v>43032</v>
      </c>
      <c r="W167" s="100">
        <f t="shared" si="16"/>
        <v>0.64931506849315068</v>
      </c>
      <c r="X167" s="112">
        <f>_xll.qlInterpolationInterpolate(B3Minterpolation,V167,TRUE)</f>
        <v>7.7932754717822158E-4</v>
      </c>
      <c r="Y167" s="112">
        <f>_xll.qlInterpolationInterpolate(AbcdInterpolation3M,$W167,TRUE)</f>
        <v>7.5708525951677895E-4</v>
      </c>
      <c r="AC167" s="86"/>
      <c r="AD167" s="86"/>
    </row>
    <row r="168" spans="5:30" ht="11.25" customHeight="1" x14ac:dyDescent="0.2">
      <c r="E168" s="229"/>
      <c r="F168" s="229"/>
      <c r="G168" s="229"/>
      <c r="H168" s="86"/>
      <c r="L168" s="86"/>
      <c r="M168" s="86"/>
      <c r="V168" s="114">
        <f>_xll.qlCalendarAdvance(Calendar,V167,"1D","f")</f>
        <v>43033</v>
      </c>
      <c r="W168" s="100">
        <f t="shared" si="16"/>
        <v>0.65205479452054793</v>
      </c>
      <c r="X168" s="112">
        <f>_xll.qlInterpolationInterpolate(B3Minterpolation,V168,TRUE)</f>
        <v>7.8027444603664476E-4</v>
      </c>
      <c r="Y168" s="112">
        <f>_xll.qlInterpolationInterpolate(AbcdInterpolation3M,$W168,TRUE)</f>
        <v>7.5831715061278938E-4</v>
      </c>
      <c r="AC168" s="86"/>
      <c r="AD168" s="86"/>
    </row>
    <row r="169" spans="5:30" ht="11.25" customHeight="1" x14ac:dyDescent="0.2">
      <c r="E169" s="229"/>
      <c r="F169" s="229"/>
      <c r="G169" s="229"/>
      <c r="H169" s="86"/>
      <c r="L169" s="86"/>
      <c r="M169" s="86"/>
      <c r="V169" s="114">
        <f>_xll.qlCalendarAdvance(Calendar,V168,"1D","f")</f>
        <v>43034</v>
      </c>
      <c r="W169" s="100">
        <f t="shared" si="16"/>
        <v>0.65479452054794518</v>
      </c>
      <c r="X169" s="112">
        <f>_xll.qlInterpolationInterpolate(B3Minterpolation,V169,TRUE)</f>
        <v>7.8121317054673331E-4</v>
      </c>
      <c r="Y169" s="112">
        <f>_xll.qlInterpolationInterpolate(AbcdInterpolation3M,$W169,TRUE)</f>
        <v>7.5954163009268568E-4</v>
      </c>
      <c r="AC169" s="86"/>
      <c r="AD169" s="86"/>
    </row>
    <row r="170" spans="5:30" ht="11.25" customHeight="1" x14ac:dyDescent="0.2">
      <c r="E170" s="229"/>
      <c r="F170" s="229"/>
      <c r="G170" s="229"/>
      <c r="H170" s="86"/>
      <c r="L170" s="86"/>
      <c r="M170" s="86"/>
      <c r="V170" s="114">
        <f>_xll.qlCalendarAdvance(Calendar,V169,"1D","f")</f>
        <v>43035</v>
      </c>
      <c r="W170" s="100">
        <f t="shared" si="16"/>
        <v>0.65753424657534243</v>
      </c>
      <c r="X170" s="112">
        <f>_xll.qlInterpolationInterpolate(B3Minterpolation,V170,TRUE)</f>
        <v>7.8214668543138131E-4</v>
      </c>
      <c r="Y170" s="112">
        <f>_xll.qlInterpolationInterpolate(AbcdInterpolation3M,$W170,TRUE)</f>
        <v>7.6075872821532349E-4</v>
      </c>
      <c r="AC170" s="86"/>
      <c r="AD170" s="86"/>
    </row>
    <row r="171" spans="5:30" ht="11.25" customHeight="1" x14ac:dyDescent="0.2">
      <c r="E171" s="229"/>
      <c r="F171" s="229"/>
      <c r="G171" s="229"/>
      <c r="H171" s="86"/>
      <c r="L171" s="86"/>
      <c r="M171" s="86"/>
      <c r="V171" s="114">
        <f>_xll.qlCalendarAdvance(Calendar,V170,"1D","f")</f>
        <v>43038</v>
      </c>
      <c r="W171" s="100">
        <f t="shared" si="16"/>
        <v>0.66575342465753429</v>
      </c>
      <c r="X171" s="112">
        <f>_xll.qlInterpolationInterpolate(B3Minterpolation,V171,TRUE)</f>
        <v>7.8494561956162423E-4</v>
      </c>
      <c r="Y171" s="112">
        <f>_xll.qlInterpolationInterpolate(AbcdInterpolation3M,$W171,TRUE)</f>
        <v>7.6436603550859362E-4</v>
      </c>
      <c r="AC171" s="86"/>
      <c r="AD171" s="86"/>
    </row>
    <row r="172" spans="5:30" ht="11.25" customHeight="1" x14ac:dyDescent="0.2">
      <c r="E172" s="229"/>
      <c r="F172" s="229"/>
      <c r="G172" s="229"/>
      <c r="H172" s="86"/>
      <c r="L172" s="86"/>
      <c r="M172" s="86"/>
      <c r="V172" s="114">
        <f>_xll.qlCalendarAdvance(Calendar,V171,"1D","f")</f>
        <v>43039</v>
      </c>
      <c r="W172" s="100">
        <f t="shared" si="16"/>
        <v>0.66849315068493154</v>
      </c>
      <c r="X172" s="112">
        <f>_xll.qlInterpolationInterpolate(B3Minterpolation,V172,TRUE)</f>
        <v>7.858879431734523E-4</v>
      </c>
      <c r="Y172" s="112">
        <f>_xll.qlInterpolationInterpolate(AbcdInterpolation3M,$W172,TRUE)</f>
        <v>7.6555390876563618E-4</v>
      </c>
      <c r="AC172" s="86"/>
      <c r="AD172" s="86"/>
    </row>
    <row r="173" spans="5:30" ht="11.25" customHeight="1" x14ac:dyDescent="0.2">
      <c r="E173" s="229"/>
      <c r="F173" s="229"/>
      <c r="G173" s="229"/>
      <c r="H173" s="86"/>
      <c r="L173" s="86"/>
      <c r="M173" s="86"/>
      <c r="V173" s="114">
        <f>_xll.qlCalendarAdvance(Calendar,V172,"1D","f")</f>
        <v>43040</v>
      </c>
      <c r="W173" s="100">
        <f t="shared" si="16"/>
        <v>0.67123287671232879</v>
      </c>
      <c r="X173" s="112">
        <f>_xll.qlInterpolationInterpolate(B3Minterpolation,V173,TRUE)</f>
        <v>7.8683988077431091E-4</v>
      </c>
      <c r="Y173" s="112">
        <f>_xll.qlInterpolationInterpolate(AbcdInterpolation3M,$W173,TRUE)</f>
        <v>7.6673455044222569E-4</v>
      </c>
      <c r="AC173" s="86"/>
      <c r="AD173" s="86"/>
    </row>
    <row r="174" spans="5:30" ht="11.25" customHeight="1" x14ac:dyDescent="0.2">
      <c r="E174" s="229"/>
      <c r="F174" s="229"/>
      <c r="G174" s="229"/>
      <c r="H174" s="86"/>
      <c r="L174" s="86"/>
      <c r="M174" s="86"/>
      <c r="V174" s="114">
        <f>_xll.qlCalendarAdvance(Calendar,V173,"1D","f")</f>
        <v>43041</v>
      </c>
      <c r="W174" s="100">
        <f t="shared" si="16"/>
        <v>0.67397260273972603</v>
      </c>
      <c r="X174" s="112">
        <f>_xll.qlInterpolationInterpolate(B3Minterpolation,V174,TRUE)</f>
        <v>7.8780439708709424E-4</v>
      </c>
      <c r="Y174" s="112">
        <f>_xll.qlInterpolationInterpolate(AbcdInterpolation3M,$W174,TRUE)</f>
        <v>7.6790799019134284E-4</v>
      </c>
      <c r="AC174" s="86"/>
      <c r="AD174" s="86"/>
    </row>
    <row r="175" spans="5:30" ht="11.25" customHeight="1" x14ac:dyDescent="0.2">
      <c r="E175" s="229"/>
      <c r="F175" s="229"/>
      <c r="G175" s="229"/>
      <c r="H175" s="86"/>
      <c r="L175" s="86"/>
      <c r="M175" s="86"/>
      <c r="V175" s="114">
        <f>_xll.qlCalendarAdvance(Calendar,V174,"1D","f")</f>
        <v>43042</v>
      </c>
      <c r="W175" s="100">
        <f t="shared" si="16"/>
        <v>0.67671232876712328</v>
      </c>
      <c r="X175" s="112">
        <f>_xll.qlInterpolationInterpolate(B3Minterpolation,V175,TRUE)</f>
        <v>7.8878445683469665E-4</v>
      </c>
      <c r="Y175" s="112">
        <f>_xll.qlInterpolationInterpolate(AbcdInterpolation3M,$W175,TRUE)</f>
        <v>7.6907425756555907E-4</v>
      </c>
      <c r="AC175" s="86"/>
      <c r="AD175" s="86"/>
    </row>
    <row r="176" spans="5:30" ht="11.25" customHeight="1" x14ac:dyDescent="0.2">
      <c r="E176" s="229"/>
      <c r="F176" s="229"/>
      <c r="G176" s="229"/>
      <c r="H176" s="86"/>
      <c r="L176" s="86"/>
      <c r="M176" s="86"/>
      <c r="V176" s="114">
        <f>_xll.qlCalendarAdvance(Calendar,V175,"1D","f")</f>
        <v>43045</v>
      </c>
      <c r="W176" s="100">
        <f t="shared" si="16"/>
        <v>0.68493150684931503</v>
      </c>
      <c r="X176" s="112">
        <f>_xll.qlInterpolationInterpolate(B3Minterpolation,V176,TRUE)</f>
        <v>7.9182468947652318E-4</v>
      </c>
      <c r="Y176" s="112">
        <f>_xll.qlInterpolationInterpolate(AbcdInterpolation3M,$W176,TRUE)</f>
        <v>7.7253031946209242E-4</v>
      </c>
      <c r="AC176" s="86"/>
      <c r="AD176" s="86"/>
    </row>
    <row r="177" spans="5:30" ht="11.25" customHeight="1" x14ac:dyDescent="0.2">
      <c r="E177" s="229"/>
      <c r="F177" s="229"/>
      <c r="G177" s="229"/>
      <c r="H177" s="86"/>
      <c r="L177" s="86"/>
      <c r="M177" s="86"/>
      <c r="V177" s="114">
        <f>_xll.qlCalendarAdvance(Calendar,V176,"1D","f")</f>
        <v>43046</v>
      </c>
      <c r="W177" s="100">
        <f t="shared" si="16"/>
        <v>0.68767123287671228</v>
      </c>
      <c r="X177" s="112">
        <f>_xll.qlInterpolationInterpolate(B3Minterpolation,V177,TRUE)</f>
        <v>7.9286525114653057E-4</v>
      </c>
      <c r="Y177" s="112">
        <f>_xll.qlInterpolationInterpolate(AbcdInterpolation3M,$W177,TRUE)</f>
        <v>7.7366819086042808E-4</v>
      </c>
      <c r="AC177" s="86"/>
      <c r="AD177" s="86"/>
    </row>
    <row r="178" spans="5:30" ht="11.25" customHeight="1" x14ac:dyDescent="0.2">
      <c r="E178" s="229"/>
      <c r="F178" s="229"/>
      <c r="G178" s="229"/>
      <c r="H178" s="86"/>
      <c r="L178" s="86"/>
      <c r="M178" s="86"/>
      <c r="V178" s="114">
        <f>_xll.qlCalendarAdvance(Calendar,V177,"1D","f")</f>
        <v>43047</v>
      </c>
      <c r="W178" s="100">
        <f t="shared" si="16"/>
        <v>0.69041095890410964</v>
      </c>
      <c r="X178" s="112">
        <f>_xll.qlInterpolationInterpolate(B3Minterpolation,V178,TRUE)</f>
        <v>7.9391586480908433E-4</v>
      </c>
      <c r="Y178" s="112">
        <f>_xll.qlInterpolationInterpolate(AbcdInterpolation3M,$W178,TRUE)</f>
        <v>7.7479903614679558E-4</v>
      </c>
      <c r="AC178" s="86"/>
      <c r="AD178" s="86"/>
    </row>
    <row r="179" spans="5:30" ht="11.25" customHeight="1" x14ac:dyDescent="0.2">
      <c r="E179" s="229"/>
      <c r="F179" s="229"/>
      <c r="G179" s="229"/>
      <c r="H179" s="86"/>
      <c r="L179" s="86"/>
      <c r="M179" s="86"/>
      <c r="V179" s="114">
        <f>_xll.qlCalendarAdvance(Calendar,V178,"1D","f")</f>
        <v>43048</v>
      </c>
      <c r="W179" s="100">
        <f t="shared" si="16"/>
        <v>0.69315068493150689</v>
      </c>
      <c r="X179" s="112">
        <f>_xll.qlInterpolationInterpolate(B3Minterpolation,V179,TRUE)</f>
        <v>7.9497441642289285E-4</v>
      </c>
      <c r="Y179" s="112">
        <f>_xll.qlInterpolationInterpolate(AbcdInterpolation3M,$W179,TRUE)</f>
        <v>7.7592288427507045E-4</v>
      </c>
      <c r="AC179" s="86"/>
      <c r="AD179" s="86"/>
    </row>
    <row r="180" spans="5:30" ht="11.25" customHeight="1" x14ac:dyDescent="0.2">
      <c r="E180" s="229"/>
      <c r="F180" s="229"/>
      <c r="G180" s="229"/>
      <c r="H180" s="86"/>
      <c r="L180" s="86"/>
      <c r="M180" s="86"/>
      <c r="V180" s="114">
        <f>_xll.qlCalendarAdvance(Calendar,V179,"1D","f")</f>
        <v>43049</v>
      </c>
      <c r="W180" s="100">
        <f t="shared" si="16"/>
        <v>0.69589041095890414</v>
      </c>
      <c r="X180" s="112">
        <f>_xll.qlInterpolationInterpolate(B3Minterpolation,V180,TRUE)</f>
        <v>7.9603879194666449E-4</v>
      </c>
      <c r="Y180" s="112">
        <f>_xll.qlInterpolationInterpolate(AbcdInterpolation3M,$W180,TRUE)</f>
        <v>7.7703976409999518E-4</v>
      </c>
      <c r="AC180" s="86"/>
      <c r="AD180" s="86"/>
    </row>
    <row r="181" spans="5:30" ht="11.25" customHeight="1" x14ac:dyDescent="0.2">
      <c r="E181" s="229"/>
      <c r="F181" s="229"/>
      <c r="G181" s="229"/>
      <c r="H181" s="86"/>
      <c r="L181" s="86"/>
      <c r="M181" s="86"/>
      <c r="V181" s="114">
        <f>_xll.qlCalendarAdvance(Calendar,V180,"1D","f")</f>
        <v>43052</v>
      </c>
      <c r="W181" s="100">
        <f t="shared" si="16"/>
        <v>0.70410958904109588</v>
      </c>
      <c r="X181" s="112">
        <f>_xll.qlInterpolationInterpolate(B3Minterpolation,V181,TRUE)</f>
        <v>7.9924572156484083E-4</v>
      </c>
      <c r="Y181" s="112">
        <f>_xll.qlInterpolationInterpolate(AbcdInterpolation3M,$W181,TRUE)</f>
        <v>7.8034888081920527E-4</v>
      </c>
      <c r="AC181" s="86"/>
      <c r="AD181" s="86"/>
    </row>
    <row r="182" spans="5:30" ht="11.25" customHeight="1" x14ac:dyDescent="0.2">
      <c r="E182" s="229"/>
      <c r="F182" s="229"/>
      <c r="G182" s="229"/>
      <c r="H182" s="86"/>
      <c r="L182" s="86"/>
      <c r="M182" s="86"/>
      <c r="V182" s="114">
        <f>_xll.qlCalendarAdvance(Calendar,V181,"1D","f")</f>
        <v>43053</v>
      </c>
      <c r="W182" s="100">
        <f t="shared" si="16"/>
        <v>0.70684931506849313</v>
      </c>
      <c r="X182" s="112">
        <f>_xll.qlInterpolationInterpolate(B3Minterpolation,V182,TRUE)</f>
        <v>8.0031225231554776E-4</v>
      </c>
      <c r="Y182" s="112">
        <f>_xll.qlInterpolationInterpolate(AbcdInterpolation3M,$W182,TRUE)</f>
        <v>7.8143817400234646E-4</v>
      </c>
      <c r="AC182" s="86"/>
      <c r="AD182" s="86"/>
    </row>
    <row r="183" spans="5:30" ht="11.25" customHeight="1" x14ac:dyDescent="0.2">
      <c r="E183" s="229"/>
      <c r="F183" s="229"/>
      <c r="G183" s="229"/>
      <c r="H183" s="86"/>
      <c r="L183" s="86"/>
      <c r="M183" s="86"/>
      <c r="V183" s="114">
        <f>_xll.qlCalendarAdvance(Calendar,V182,"1D","f")</f>
        <v>43054</v>
      </c>
      <c r="W183" s="100">
        <f t="shared" si="16"/>
        <v>0.70958904109589038</v>
      </c>
      <c r="X183" s="112">
        <f>_xll.qlInterpolationInterpolate(B3Minterpolation,V183,TRUE)</f>
        <v>8.0137403676975932E-4</v>
      </c>
      <c r="Y183" s="112">
        <f>_xll.qlInterpolationInterpolate(AbcdInterpolation3M,$W183,TRUE)</f>
        <v>7.8252064167572935E-4</v>
      </c>
      <c r="AC183" s="86"/>
      <c r="AD183" s="86"/>
    </row>
    <row r="184" spans="5:30" ht="11.25" customHeight="1" x14ac:dyDescent="0.2">
      <c r="E184" s="229"/>
      <c r="F184" s="229"/>
      <c r="G184" s="229"/>
      <c r="H184" s="86"/>
      <c r="L184" s="86"/>
      <c r="M184" s="86"/>
      <c r="V184" s="114">
        <f>_xll.qlCalendarAdvance(Calendar,V183,"1D","f")</f>
        <v>43055</v>
      </c>
      <c r="W184" s="100">
        <f t="shared" si="16"/>
        <v>0.71232876712328763</v>
      </c>
      <c r="X184" s="112">
        <f>_xll.qlInterpolationInterpolate(B3Minterpolation,V184,TRUE)</f>
        <v>8.0242896088618377E-4</v>
      </c>
      <c r="Y184" s="112">
        <f>_xll.qlInterpolationInterpolate(AbcdInterpolation3M,$W184,TRUE)</f>
        <v>7.8359631210345247E-4</v>
      </c>
      <c r="AC184" s="86"/>
      <c r="AD184" s="86"/>
    </row>
    <row r="185" spans="5:30" ht="11.25" customHeight="1" x14ac:dyDescent="0.2">
      <c r="E185" s="229"/>
      <c r="F185" s="229"/>
      <c r="G185" s="229"/>
      <c r="H185" s="86"/>
      <c r="L185" s="86"/>
      <c r="M185" s="86"/>
      <c r="V185" s="114">
        <f>_xll.qlCalendarAdvance(Calendar,V184,"1D","f")</f>
        <v>43056</v>
      </c>
      <c r="W185" s="100">
        <f t="shared" si="16"/>
        <v>0.71506849315068488</v>
      </c>
      <c r="X185" s="112">
        <f>_xll.qlInterpolationInterpolate(B3Minterpolation,V185,TRUE)</f>
        <v>8.0347491062352948E-4</v>
      </c>
      <c r="Y185" s="112">
        <f>_xll.qlInterpolationInterpolate(AbcdInterpolation3M,$W185,TRUE)</f>
        <v>7.8466521345188403E-4</v>
      </c>
      <c r="AC185" s="86"/>
      <c r="AD185" s="86"/>
    </row>
    <row r="186" spans="5:30" ht="11.25" customHeight="1" x14ac:dyDescent="0.2">
      <c r="E186" s="229"/>
      <c r="F186" s="229"/>
      <c r="G186" s="229"/>
      <c r="H186" s="86"/>
      <c r="L186" s="86"/>
      <c r="M186" s="86"/>
      <c r="V186" s="114">
        <f>_xll.qlCalendarAdvance(Calendar,V185,"1D","f")</f>
        <v>43059</v>
      </c>
      <c r="W186" s="100">
        <f t="shared" si="16"/>
        <v>0.72328767123287674</v>
      </c>
      <c r="X186" s="112">
        <f>_xll.qlInterpolationInterpolate(B3Minterpolation,V186,TRUE)</f>
        <v>8.0653777314817717E-4</v>
      </c>
      <c r="Y186" s="112">
        <f>_xll.qlInterpolationInterpolate(AbcdInterpolation3M,$W186,TRUE)</f>
        <v>7.8783158322361319E-4</v>
      </c>
      <c r="AC186" s="86"/>
      <c r="AD186" s="86"/>
    </row>
    <row r="187" spans="5:30" ht="11.25" customHeight="1" x14ac:dyDescent="0.2">
      <c r="E187" s="229"/>
      <c r="F187" s="229"/>
      <c r="G187" s="229"/>
      <c r="H187" s="86"/>
      <c r="L187" s="86"/>
      <c r="M187" s="86"/>
      <c r="V187" s="114">
        <f>_xll.qlCalendarAdvance(Calendar,V186,"1D","f")</f>
        <v>43060</v>
      </c>
      <c r="W187" s="100">
        <f t="shared" si="16"/>
        <v>0.72602739726027399</v>
      </c>
      <c r="X187" s="112">
        <f>_xll.qlInterpolationInterpolate(B3Minterpolation,V187,TRUE)</f>
        <v>8.0752668495629094E-4</v>
      </c>
      <c r="Y187" s="112">
        <f>_xll.qlInterpolationInterpolate(AbcdInterpolation3M,$W187,TRUE)</f>
        <v>7.8887368797137729E-4</v>
      </c>
      <c r="AC187" s="86"/>
      <c r="AD187" s="86"/>
    </row>
    <row r="188" spans="5:30" ht="11.25" customHeight="1" x14ac:dyDescent="0.2">
      <c r="E188" s="229"/>
      <c r="F188" s="229"/>
      <c r="G188" s="229"/>
      <c r="H188" s="86"/>
      <c r="L188" s="86"/>
      <c r="M188" s="86"/>
      <c r="V188" s="114">
        <f>_xll.qlCalendarAdvance(Calendar,V187,"1D","f")</f>
        <v>43061</v>
      </c>
      <c r="W188" s="100">
        <f t="shared" si="16"/>
        <v>0.72876712328767124</v>
      </c>
      <c r="X188" s="112">
        <f>_xll.qlInterpolationInterpolate(B3Minterpolation,V188,TRUE)</f>
        <v>8.0849605217886747E-4</v>
      </c>
      <c r="Y188" s="112">
        <f>_xll.qlInterpolationInterpolate(AbcdInterpolation3M,$W188,TRUE)</f>
        <v>7.8990916301316806E-4</v>
      </c>
      <c r="AC188" s="86"/>
      <c r="AD188" s="86"/>
    </row>
    <row r="189" spans="5:30" ht="11.25" customHeight="1" x14ac:dyDescent="0.2">
      <c r="E189" s="229"/>
      <c r="F189" s="229"/>
      <c r="G189" s="229"/>
      <c r="H189" s="86"/>
      <c r="L189" s="86"/>
      <c r="M189" s="86"/>
      <c r="V189" s="114">
        <f>_xll.qlCalendarAdvance(Calendar,V188,"1D","f")</f>
        <v>43062</v>
      </c>
      <c r="W189" s="100">
        <f t="shared" si="16"/>
        <v>0.73150684931506849</v>
      </c>
      <c r="X189" s="112">
        <f>_xll.qlInterpolationInterpolate(B3Minterpolation,V189,TRUE)</f>
        <v>8.0944376077461515E-4</v>
      </c>
      <c r="Y189" s="112">
        <f>_xll.qlInterpolationInterpolate(AbcdInterpolation3M,$W189,TRUE)</f>
        <v>7.9093803593344907E-4</v>
      </c>
      <c r="AC189" s="86"/>
      <c r="AD189" s="86"/>
    </row>
    <row r="190" spans="5:30" ht="11.25" customHeight="1" x14ac:dyDescent="0.2">
      <c r="E190" s="229"/>
      <c r="F190" s="229"/>
      <c r="G190" s="229"/>
      <c r="H190" s="86"/>
      <c r="L190" s="86"/>
      <c r="M190" s="86"/>
      <c r="V190" s="114">
        <f>_xll.qlCalendarAdvance(Calendar,V189,"1D","f")</f>
        <v>43063</v>
      </c>
      <c r="W190" s="100">
        <f t="shared" si="16"/>
        <v>0.73424657534246573</v>
      </c>
      <c r="X190" s="112">
        <f>_xll.qlInterpolationInterpolate(B3Minterpolation,V190,TRUE)</f>
        <v>8.1036769670224222E-4</v>
      </c>
      <c r="Y190" s="112">
        <f>_xll.qlInterpolationInterpolate(AbcdInterpolation3M,$W190,TRUE)</f>
        <v>7.9196033422045944E-4</v>
      </c>
      <c r="AC190" s="86"/>
      <c r="AD190" s="86"/>
    </row>
    <row r="191" spans="5:30" ht="11.25" customHeight="1" x14ac:dyDescent="0.2">
      <c r="E191" s="229"/>
      <c r="F191" s="229"/>
      <c r="G191" s="229"/>
      <c r="H191" s="86"/>
      <c r="L191" s="86"/>
      <c r="M191" s="86"/>
      <c r="V191" s="114">
        <f>_xll.qlCalendarAdvance(Calendar,V190,"1D","f")</f>
        <v>43066</v>
      </c>
      <c r="W191" s="100">
        <f t="shared" si="16"/>
        <v>0.74246575342465748</v>
      </c>
      <c r="X191" s="112">
        <f>_xll.qlInterpolationInterpolate(B3Minterpolation,V191,TRUE)</f>
        <v>8.1297572806348284E-4</v>
      </c>
      <c r="Y191" s="112">
        <f>_xll.qlInterpolationInterpolate(AbcdInterpolation3M,$W191,TRUE)</f>
        <v>7.9498805472558176E-4</v>
      </c>
      <c r="AC191" s="86"/>
      <c r="AD191" s="86"/>
    </row>
    <row r="192" spans="5:30" ht="11.25" customHeight="1" x14ac:dyDescent="0.2">
      <c r="E192" s="229"/>
      <c r="F192" s="229"/>
      <c r="G192" s="229"/>
      <c r="H192" s="86"/>
      <c r="L192" s="86"/>
      <c r="M192" s="86"/>
      <c r="V192" s="114">
        <f>_xll.qlCalendarAdvance(Calendar,V191,"1D","f")</f>
        <v>43067</v>
      </c>
      <c r="W192" s="100">
        <f t="shared" si="16"/>
        <v>0.74520547945205484</v>
      </c>
      <c r="X192" s="112">
        <f>_xll.qlInterpolationInterpolate(B3Minterpolation,V192,TRUE)</f>
        <v>8.1378343290571063E-4</v>
      </c>
      <c r="Y192" s="112">
        <f>_xll.qlInterpolationInterpolate(AbcdInterpolation3M,$W192,TRUE)</f>
        <v>7.9598432744523143E-4</v>
      </c>
      <c r="AC192" s="86"/>
      <c r="AD192" s="86"/>
    </row>
    <row r="193" spans="5:30" ht="11.25" customHeight="1" x14ac:dyDescent="0.2">
      <c r="E193" s="229"/>
      <c r="F193" s="229"/>
      <c r="G193" s="229"/>
      <c r="H193" s="86"/>
      <c r="L193" s="86"/>
      <c r="M193" s="86"/>
      <c r="V193" s="114">
        <f>_xll.qlCalendarAdvance(Calendar,V192,"1D","f")</f>
        <v>43068</v>
      </c>
      <c r="W193" s="100">
        <f t="shared" si="16"/>
        <v>0.74794520547945209</v>
      </c>
      <c r="X193" s="112">
        <f>_xll.qlInterpolationInterpolate(B3Minterpolation,V193,TRUE)</f>
        <v>8.1455679487335943E-4</v>
      </c>
      <c r="Y193" s="112">
        <f>_xll.qlInterpolationInterpolate(AbcdInterpolation3M,$W193,TRUE)</f>
        <v>7.9697416153727324E-4</v>
      </c>
      <c r="AC193" s="86"/>
      <c r="AD193" s="86"/>
    </row>
    <row r="194" spans="5:30" ht="11.25" customHeight="1" x14ac:dyDescent="0.2">
      <c r="E194" s="229"/>
      <c r="F194" s="229"/>
      <c r="G194" s="229"/>
      <c r="H194" s="86"/>
      <c r="L194" s="86"/>
      <c r="M194" s="86"/>
      <c r="V194" s="114">
        <f>_xll.qlCalendarAdvance(Calendar,V193,"1D","f")</f>
        <v>43069</v>
      </c>
      <c r="W194" s="100">
        <f t="shared" si="16"/>
        <v>0.75068493150684934</v>
      </c>
      <c r="X194" s="112">
        <f>_xll.qlInterpolationInterpolate(B3Minterpolation,V194,TRUE)</f>
        <v>8.1529369992513741E-4</v>
      </c>
      <c r="Y194" s="112">
        <f>_xll.qlInterpolationInterpolate(AbcdInterpolation3M,$W194,TRUE)</f>
        <v>7.9795758391731323E-4</v>
      </c>
      <c r="AC194" s="86"/>
      <c r="AD194" s="86"/>
    </row>
    <row r="195" spans="5:30" ht="11.25" customHeight="1" x14ac:dyDescent="0.2">
      <c r="E195" s="229"/>
      <c r="F195" s="229"/>
      <c r="G195" s="229"/>
      <c r="H195" s="86"/>
      <c r="L195" s="86"/>
      <c r="M195" s="86"/>
      <c r="V195" s="114">
        <f>_xll.qlCalendarAdvance(Calendar,V194,"1D","f")</f>
        <v>43070</v>
      </c>
      <c r="W195" s="100">
        <f t="shared" ref="W195:W261" si="17">($V195-EvaluationDate)/365</f>
        <v>0.75342465753424659</v>
      </c>
      <c r="X195" s="112">
        <f>_xll.qlInterpolationInterpolate(B3Minterpolation,V195,TRUE)</f>
        <v>8.1599203401975303E-4</v>
      </c>
      <c r="Y195" s="112">
        <f>_xll.qlInterpolationInterpolate(AbcdInterpolation3M,$W195,TRUE)</f>
        <v>7.9893462140632012E-4</v>
      </c>
      <c r="AC195" s="86"/>
      <c r="AD195" s="86"/>
    </row>
    <row r="196" spans="5:30" ht="11.25" customHeight="1" x14ac:dyDescent="0.2">
      <c r="E196" s="229"/>
      <c r="F196" s="229"/>
      <c r="G196" s="229"/>
      <c r="H196" s="86"/>
      <c r="L196" s="86"/>
      <c r="M196" s="86"/>
      <c r="V196" s="114">
        <f>_xll.qlCalendarAdvance(Calendar,V195,"1D","f")</f>
        <v>43073</v>
      </c>
      <c r="W196" s="100">
        <f t="shared" si="17"/>
        <v>0.76164383561643834</v>
      </c>
      <c r="X196" s="112">
        <f>_xll.qlInterpolationInterpolate(B3Minterpolation,V196,TRUE)</f>
        <v>8.1783447014770845E-4</v>
      </c>
      <c r="Y196" s="112">
        <f>_xll.qlInterpolationInterpolate(AbcdInterpolation3M,$W196,TRUE)</f>
        <v>8.0182769132207355E-4</v>
      </c>
      <c r="AC196" s="86"/>
      <c r="AD196" s="86"/>
    </row>
    <row r="197" spans="5:30" ht="11.25" customHeight="1" x14ac:dyDescent="0.2">
      <c r="E197" s="229"/>
      <c r="F197" s="229"/>
      <c r="G197" s="229"/>
      <c r="H197" s="86"/>
      <c r="L197" s="86"/>
      <c r="M197" s="86"/>
      <c r="V197" s="114">
        <f>_xll.qlCalendarAdvance(Calendar,V196,"1D","f")</f>
        <v>43074</v>
      </c>
      <c r="W197" s="100">
        <f t="shared" si="17"/>
        <v>0.76438356164383559</v>
      </c>
      <c r="X197" s="112">
        <f>_xll.qlInterpolationInterpolate(B3Minterpolation,V197,TRUE)</f>
        <v>8.1835813308500931E-4</v>
      </c>
      <c r="Y197" s="112">
        <f>_xll.qlInterpolationInterpolate(AbcdInterpolation3M,$W197,TRUE)</f>
        <v>8.0277945557193195E-4</v>
      </c>
      <c r="AC197" s="86"/>
      <c r="AD197" s="86"/>
    </row>
    <row r="198" spans="5:30" ht="11.25" customHeight="1" x14ac:dyDescent="0.2">
      <c r="E198" s="229"/>
      <c r="F198" s="229"/>
      <c r="G198" s="229"/>
      <c r="H198" s="86"/>
      <c r="L198" s="86"/>
      <c r="M198" s="86"/>
      <c r="V198" s="114">
        <f>_xll.qlCalendarAdvance(Calendar,V197,"1D","f")</f>
        <v>43075</v>
      </c>
      <c r="W198" s="100">
        <f t="shared" si="17"/>
        <v>0.76712328767123283</v>
      </c>
      <c r="X198" s="112">
        <f>_xll.qlInterpolationInterpolate(B3Minterpolation,V198,TRUE)</f>
        <v>8.1883717336420048E-4</v>
      </c>
      <c r="Y198" s="112">
        <f>_xll.qlInterpolationInterpolate(AbcdInterpolation3M,$W198,TRUE)</f>
        <v>8.0372496762412223E-4</v>
      </c>
      <c r="AC198" s="86"/>
      <c r="AD198" s="86"/>
    </row>
    <row r="199" spans="5:30" ht="11.25" customHeight="1" x14ac:dyDescent="0.2">
      <c r="E199" s="229"/>
      <c r="F199" s="229"/>
      <c r="G199" s="229"/>
      <c r="H199" s="86"/>
      <c r="L199" s="86"/>
      <c r="M199" s="86"/>
      <c r="V199" s="114">
        <f>_xll.qlCalendarAdvance(Calendar,V198,"1D","f")</f>
        <v>43076</v>
      </c>
      <c r="W199" s="100">
        <f t="shared" si="17"/>
        <v>0.76986301369863008</v>
      </c>
      <c r="X199" s="112">
        <f>_xll.qlInterpolationInterpolate(B3Minterpolation,V199,TRUE)</f>
        <v>8.192739954495015E-4</v>
      </c>
      <c r="Y199" s="112">
        <f>_xll.qlInterpolationInterpolate(AbcdInterpolation3M,$W199,TRUE)</f>
        <v>8.0466425373666598E-4</v>
      </c>
      <c r="AC199" s="86"/>
      <c r="AD199" s="86"/>
    </row>
    <row r="200" spans="5:30" ht="11.25" customHeight="1" x14ac:dyDescent="0.2">
      <c r="E200" s="229"/>
      <c r="F200" s="229"/>
      <c r="G200" s="229"/>
      <c r="H200" s="86"/>
      <c r="L200" s="86"/>
      <c r="M200" s="86"/>
      <c r="V200" s="114">
        <f>_xll.qlCalendarAdvance(Calendar,V199,"1D","f")</f>
        <v>43077</v>
      </c>
      <c r="W200" s="100">
        <f t="shared" si="17"/>
        <v>0.77260273972602744</v>
      </c>
      <c r="X200" s="112">
        <f>_xll.qlInterpolationInterpolate(B3Minterpolation,V200,TRUE)</f>
        <v>8.1967100380513167E-4</v>
      </c>
      <c r="Y200" s="112">
        <f>_xll.qlInterpolationInterpolate(AbcdInterpolation3M,$W200,TRUE)</f>
        <v>8.0559734007458472E-4</v>
      </c>
      <c r="AC200" s="86"/>
      <c r="AD200" s="86"/>
    </row>
    <row r="201" spans="5:30" ht="11.25" customHeight="1" x14ac:dyDescent="0.2">
      <c r="E201" s="229"/>
      <c r="F201" s="229"/>
      <c r="G201" s="229"/>
      <c r="H201" s="86"/>
      <c r="L201" s="86"/>
      <c r="M201" s="86"/>
      <c r="V201" s="114">
        <f>_xll.qlCalendarAdvance(Calendar,V200,"1D","f")</f>
        <v>43080</v>
      </c>
      <c r="W201" s="100">
        <f t="shared" si="17"/>
        <v>0.78082191780821919</v>
      </c>
      <c r="X201" s="112">
        <f>_xll.qlInterpolationInterpolate(B3Minterpolation,V201,TRUE)</f>
        <v>8.2064719113619246E-4</v>
      </c>
      <c r="Y201" s="112">
        <f>_xll.qlInterpolationInterpolate(AbcdInterpolation3M,$W201,TRUE)</f>
        <v>8.0835966070085701E-4</v>
      </c>
      <c r="AC201" s="86"/>
      <c r="AD201" s="86"/>
    </row>
    <row r="202" spans="5:30" ht="11.25" customHeight="1" x14ac:dyDescent="0.2">
      <c r="E202" s="229"/>
      <c r="F202" s="229"/>
      <c r="G202" s="229"/>
      <c r="H202" s="86"/>
      <c r="L202" s="86"/>
      <c r="M202" s="86"/>
      <c r="V202" s="114">
        <f>_xll.qlCalendarAdvance(Calendar,V201,"1D","f")</f>
        <v>43081</v>
      </c>
      <c r="W202" s="100">
        <f t="shared" si="17"/>
        <v>0.78356164383561644</v>
      </c>
      <c r="X202" s="112">
        <f>_xll.qlInterpolationInterpolate(B3Minterpolation,V202,TRUE)</f>
        <v>8.209089892153344E-4</v>
      </c>
      <c r="Y202" s="112">
        <f>_xll.qlInterpolationInterpolate(AbcdInterpolation3M,$W202,TRUE)</f>
        <v>8.0926820773889773E-4</v>
      </c>
      <c r="AC202" s="86"/>
      <c r="AD202" s="86"/>
    </row>
    <row r="203" spans="5:30" ht="11.25" customHeight="1" x14ac:dyDescent="0.2">
      <c r="E203" s="229"/>
      <c r="F203" s="229"/>
      <c r="G203" s="229"/>
      <c r="H203" s="86"/>
      <c r="L203" s="86"/>
      <c r="M203" s="86"/>
      <c r="V203" s="114">
        <f>_xll.qlCalendarAdvance(Calendar,V202,"1D","f")</f>
        <v>43082</v>
      </c>
      <c r="W203" s="100">
        <f t="shared" si="17"/>
        <v>0.78630136986301369</v>
      </c>
      <c r="X203" s="112">
        <f>_xll.qlInterpolationInterpolate(B3Minterpolation,V203,TRUE)</f>
        <v>8.211429958859029E-4</v>
      </c>
      <c r="Y203" s="112">
        <f>_xll.qlInterpolationInterpolate(AbcdInterpolation3M,$W203,TRUE)</f>
        <v>8.1017068444082469E-4</v>
      </c>
      <c r="AC203" s="86"/>
      <c r="AD203" s="86"/>
    </row>
    <row r="204" spans="5:30" ht="11.25" customHeight="1" x14ac:dyDescent="0.2">
      <c r="E204" s="229"/>
      <c r="F204" s="229"/>
      <c r="G204" s="229"/>
      <c r="H204" s="86"/>
      <c r="L204" s="86"/>
      <c r="M204" s="86"/>
      <c r="V204" s="114">
        <f>_xll.qlCalendarAdvance(Calendar,V203,"1D","f")</f>
        <v>43083</v>
      </c>
      <c r="W204" s="100">
        <f t="shared" si="17"/>
        <v>0.78904109589041094</v>
      </c>
      <c r="X204" s="112">
        <f>_xll.qlInterpolationInterpolate(B3Minterpolation,V204,TRUE)</f>
        <v>8.2135161561211749E-4</v>
      </c>
      <c r="Y204" s="112">
        <f>_xll.qlInterpolationInterpolate(AbcdInterpolation3M,$W204,TRUE)</f>
        <v>8.1106711641870536E-4</v>
      </c>
      <c r="AC204" s="86"/>
      <c r="AD204" s="86"/>
    </row>
    <row r="205" spans="5:30" ht="11.25" customHeight="1" x14ac:dyDescent="0.2">
      <c r="E205" s="229"/>
      <c r="F205" s="229"/>
      <c r="G205" s="229"/>
      <c r="H205" s="86"/>
      <c r="L205" s="86"/>
      <c r="M205" s="86"/>
      <c r="V205" s="114">
        <f>_xll.qlCalendarAdvance(Calendar,V204,"1D","f")</f>
        <v>43084</v>
      </c>
      <c r="W205" s="100">
        <f t="shared" si="17"/>
        <v>0.79178082191780819</v>
      </c>
      <c r="X205" s="112">
        <f>_xll.qlInterpolationInterpolate(B3Minterpolation,V205,TRUE)</f>
        <v>8.2153725285819771E-4</v>
      </c>
      <c r="Y205" s="112">
        <f>_xll.qlInterpolationInterpolate(AbcdInterpolation3M,$W205,TRUE)</f>
        <v>8.1195752919329463E-4</v>
      </c>
      <c r="AC205" s="86"/>
      <c r="AD205" s="86"/>
    </row>
    <row r="206" spans="5:30" ht="11.25" customHeight="1" x14ac:dyDescent="0.2">
      <c r="E206" s="229"/>
      <c r="F206" s="229"/>
      <c r="G206" s="229"/>
      <c r="H206" s="86"/>
      <c r="L206" s="86"/>
      <c r="M206" s="86"/>
      <c r="V206" s="114">
        <f>_xll.qlCalendarAdvance(Calendar,V205,"1D","f")</f>
        <v>43087</v>
      </c>
      <c r="W206" s="100">
        <f t="shared" si="17"/>
        <v>0.8</v>
      </c>
      <c r="X206" s="112">
        <f>_xll.qlInterpolationInterpolate(B3Minterpolation,V206,TRUE)</f>
        <v>8.2198031435782616E-4</v>
      </c>
      <c r="Y206" s="112">
        <f>_xll.qlInterpolationInterpolate(AbcdInterpolation3M,$W206,TRUE)</f>
        <v>8.1459290614029501E-4</v>
      </c>
      <c r="AC206" s="86"/>
      <c r="AD206" s="86"/>
    </row>
    <row r="207" spans="5:30" ht="11.25" customHeight="1" x14ac:dyDescent="0.2">
      <c r="E207" s="229"/>
      <c r="F207" s="229"/>
      <c r="G207" s="229"/>
      <c r="H207" s="86"/>
      <c r="L207" s="86"/>
      <c r="M207" s="86"/>
      <c r="V207" s="114">
        <f>_xll.qlCalendarAdvance(Calendar,V206,"1D","f")</f>
        <v>43088</v>
      </c>
      <c r="W207" s="100">
        <f t="shared" si="17"/>
        <v>0.80273972602739729</v>
      </c>
      <c r="X207" s="112">
        <f>_xll.qlInterpolationInterpolate(B3Minterpolation,V207,TRUE)</f>
        <v>8.2209806632556326E-4</v>
      </c>
      <c r="Y207" s="112">
        <f>_xll.qlInterpolationInterpolate(AbcdInterpolation3M,$W207,TRUE)</f>
        <v>8.1545949549155332E-4</v>
      </c>
      <c r="AC207" s="86"/>
      <c r="AD207" s="86"/>
    </row>
    <row r="208" spans="5:30" ht="11.25" customHeight="1" x14ac:dyDescent="0.2">
      <c r="E208" s="229"/>
      <c r="F208" s="229"/>
      <c r="G208" s="229"/>
      <c r="H208" s="86"/>
      <c r="L208" s="86"/>
      <c r="M208" s="86"/>
      <c r="V208" s="114">
        <f>_xll.qlCalendarAdvance(Calendar,V207,"1D","f")</f>
        <v>43089</v>
      </c>
      <c r="W208" s="100">
        <f t="shared" si="17"/>
        <v>0.80547945205479454</v>
      </c>
      <c r="X208" s="112">
        <f>_xll.qlInterpolationInterpolate(B3Minterpolation,V208,TRUE)</f>
        <v>8.2220485813426329E-4</v>
      </c>
      <c r="Y208" s="112">
        <f>_xll.qlInterpolationInterpolate(AbcdInterpolation3M,$W208,TRUE)</f>
        <v>8.1632019188215008E-4</v>
      </c>
      <c r="AC208" s="86"/>
      <c r="AD208" s="86"/>
    </row>
    <row r="209" spans="5:30" ht="11.25" customHeight="1" x14ac:dyDescent="0.2">
      <c r="E209" s="229"/>
      <c r="F209" s="229"/>
      <c r="G209" s="229"/>
      <c r="H209" s="86"/>
      <c r="L209" s="86"/>
      <c r="M209" s="86"/>
      <c r="V209" s="114">
        <f>_xll.qlCalendarAdvance(Calendar,V208,"1D","f")</f>
        <v>43090</v>
      </c>
      <c r="W209" s="100">
        <f t="shared" si="17"/>
        <v>0.80821917808219179</v>
      </c>
      <c r="X209" s="112">
        <f>_xll.qlInterpolationInterpolate(B3Minterpolation,V209,TRUE)</f>
        <v>8.2230309424814567E-4</v>
      </c>
      <c r="Y209" s="112">
        <f>_xll.qlInterpolationInterpolate(AbcdInterpolation3M,$W209,TRUE)</f>
        <v>8.1717502029009931E-4</v>
      </c>
      <c r="AC209" s="86"/>
      <c r="AD209" s="86"/>
    </row>
    <row r="210" spans="5:30" ht="11.25" customHeight="1" x14ac:dyDescent="0.2">
      <c r="E210" s="229"/>
      <c r="F210" s="229"/>
      <c r="G210" s="229"/>
      <c r="H210" s="86"/>
      <c r="L210" s="86"/>
      <c r="M210" s="86"/>
      <c r="V210" s="114">
        <f>_xll.qlCalendarAdvance(Calendar,V209,"1D","f")</f>
        <v>43091</v>
      </c>
      <c r="W210" s="100">
        <f t="shared" si="17"/>
        <v>0.81095890410958904</v>
      </c>
      <c r="X210" s="112">
        <f>_xll.qlInterpolationInterpolate(B3Minterpolation,V210,TRUE)</f>
        <v>8.2239517913142992E-4</v>
      </c>
      <c r="Y210" s="112">
        <f>_xll.qlInterpolationInterpolate(AbcdInterpolation3M,$W210,TRUE)</f>
        <v>8.180240056038185E-4</v>
      </c>
      <c r="AC210" s="86"/>
      <c r="AD210" s="86"/>
    </row>
    <row r="211" spans="5:30" ht="11.25" customHeight="1" x14ac:dyDescent="0.2">
      <c r="E211" s="229"/>
      <c r="F211" s="229"/>
      <c r="G211" s="229"/>
      <c r="H211" s="86"/>
      <c r="L211" s="86"/>
      <c r="M211" s="86"/>
      <c r="V211" s="114">
        <f>_xll.qlCalendarAdvance(Calendar,V210,"1D","f")</f>
        <v>43096</v>
      </c>
      <c r="W211" s="100">
        <f t="shared" si="17"/>
        <v>0.8246575342465754</v>
      </c>
      <c r="X211" s="112">
        <f>_xll.qlInterpolationInterpolate(B3Minterpolation,V211,TRUE)</f>
        <v>8.2284749133656088E-4</v>
      </c>
      <c r="Y211" s="112">
        <f>_xll.qlInterpolationInterpolate(AbcdInterpolation3M,$W211,TRUE)</f>
        <v>8.2218215061300056E-4</v>
      </c>
      <c r="AC211" s="86"/>
      <c r="AD211" s="86"/>
    </row>
    <row r="212" spans="5:30" ht="11.25" customHeight="1" x14ac:dyDescent="0.2">
      <c r="E212" s="229"/>
      <c r="F212" s="229"/>
      <c r="G212" s="229"/>
      <c r="H212" s="86"/>
      <c r="L212" s="86"/>
      <c r="M212" s="86"/>
      <c r="V212" s="114">
        <f>_xll.qlCalendarAdvance(Calendar,V211,"1D","f")</f>
        <v>43097</v>
      </c>
      <c r="W212" s="100">
        <f t="shared" si="17"/>
        <v>0.82739726027397265</v>
      </c>
      <c r="X212" s="112">
        <f>_xll.qlInterpolationInterpolate(B3Minterpolation,V212,TRUE)</f>
        <v>8.2295316258486524E-4</v>
      </c>
      <c r="Y212" s="112">
        <f>_xll.qlInterpolationInterpolate(AbcdInterpolation3M,$W212,TRUE)</f>
        <v>8.2299659503189495E-4</v>
      </c>
      <c r="AC212" s="86"/>
      <c r="AD212" s="86"/>
    </row>
    <row r="213" spans="5:30" ht="11.25" customHeight="1" x14ac:dyDescent="0.2">
      <c r="E213" s="229"/>
      <c r="F213" s="229"/>
      <c r="G213" s="229"/>
      <c r="H213" s="86"/>
      <c r="L213" s="86"/>
      <c r="M213" s="86"/>
      <c r="V213" s="114">
        <f>_xll.qlCalendarAdvance(Calendar,V212,"1D","f")</f>
        <v>43098</v>
      </c>
      <c r="W213" s="100">
        <f t="shared" si="17"/>
        <v>0.83013698630136989</v>
      </c>
      <c r="X213" s="112">
        <f>_xll.qlInterpolationInterpolate(B3Minterpolation,V213,TRUE)</f>
        <v>8.2306951385210784E-4</v>
      </c>
      <c r="Y213" s="112">
        <f>_xll.qlInterpolationInterpolate(AbcdInterpolation3M,$W213,TRUE)</f>
        <v>8.2380536808758509E-4</v>
      </c>
      <c r="AC213" s="86"/>
      <c r="AD213" s="86"/>
    </row>
    <row r="214" spans="5:30" ht="11.25" customHeight="1" x14ac:dyDescent="0.2">
      <c r="E214" s="229"/>
      <c r="F214" s="229"/>
      <c r="G214" s="229"/>
      <c r="H214" s="86"/>
      <c r="L214" s="86"/>
      <c r="M214" s="86"/>
      <c r="V214" s="114">
        <f>_xll.qlCalendarAdvance(Calendar,V213,"1D","f")</f>
        <v>43102</v>
      </c>
      <c r="W214" s="100">
        <f t="shared" si="17"/>
        <v>0.84109589041095889</v>
      </c>
      <c r="X214" s="112">
        <f>_xll.qlInterpolationInterpolate(B3Minterpolation,V214,TRUE)</f>
        <v>8.2368980839484939E-4</v>
      </c>
      <c r="Y214" s="112">
        <f>_xll.qlInterpolationInterpolate(AbcdInterpolation3M,$W214,TRUE)</f>
        <v>8.2698422898081544E-4</v>
      </c>
      <c r="AC214" s="86"/>
      <c r="AD214" s="86"/>
    </row>
    <row r="215" spans="5:30" ht="11.25" customHeight="1" x14ac:dyDescent="0.2">
      <c r="E215" s="229"/>
      <c r="F215" s="229"/>
      <c r="G215" s="229"/>
      <c r="H215" s="86"/>
      <c r="L215" s="86"/>
      <c r="M215" s="86"/>
      <c r="V215" s="114">
        <f>_xll.qlCalendarAdvance(Calendar,V214,"1D","f")</f>
        <v>43103</v>
      </c>
      <c r="W215" s="100">
        <f t="shared" si="17"/>
        <v>0.84383561643835614</v>
      </c>
      <c r="X215" s="112">
        <f>_xll.qlInterpolationInterpolate(B3Minterpolation,V215,TRUE)</f>
        <v>8.2389562672007498E-4</v>
      </c>
      <c r="Y215" s="112">
        <f>_xll.qlInterpolationInterpolate(AbcdInterpolation3M,$W215,TRUE)</f>
        <v>8.2776500618557717E-4</v>
      </c>
      <c r="AC215" s="86"/>
      <c r="AD215" s="86"/>
    </row>
    <row r="216" spans="5:30" ht="11.25" customHeight="1" x14ac:dyDescent="0.2">
      <c r="E216" s="229"/>
      <c r="F216" s="229"/>
      <c r="G216" s="229"/>
      <c r="H216" s="86"/>
      <c r="L216" s="86"/>
      <c r="M216" s="86"/>
      <c r="V216" s="114">
        <f>_xll.qlCalendarAdvance(Calendar,V215,"1D","f")</f>
        <v>43104</v>
      </c>
      <c r="W216" s="100">
        <f t="shared" si="17"/>
        <v>0.84657534246575339</v>
      </c>
      <c r="X216" s="112">
        <f>_xll.qlInterpolationInterpolate(B3Minterpolation,V216,TRUE)</f>
        <v>8.2412596481427891E-4</v>
      </c>
      <c r="Y216" s="112">
        <f>_xll.qlInterpolationInterpolate(AbcdInterpolation3M,$W216,TRUE)</f>
        <v>8.2854025580513923E-4</v>
      </c>
      <c r="AC216" s="86"/>
      <c r="AD216" s="86"/>
    </row>
    <row r="217" spans="5:30" ht="11.25" customHeight="1" x14ac:dyDescent="0.2">
      <c r="E217" s="229"/>
      <c r="F217" s="229"/>
      <c r="G217" s="229"/>
      <c r="H217" s="86"/>
      <c r="L217" s="86"/>
      <c r="M217" s="86"/>
      <c r="V217" s="114">
        <f>_xll.qlCalendarAdvance(Calendar,V216,"1D","f")</f>
        <v>43105</v>
      </c>
      <c r="W217" s="100">
        <f t="shared" si="17"/>
        <v>0.84931506849315064</v>
      </c>
      <c r="X217" s="112">
        <f>_xll.qlInterpolationInterpolate(B3Minterpolation,V217,TRUE)</f>
        <v>8.2438029196529752E-4</v>
      </c>
      <c r="Y217" s="112">
        <f>_xll.qlInterpolationInterpolate(AbcdInterpolation3M,$W217,TRUE)</f>
        <v>8.2931000149965249E-4</v>
      </c>
      <c r="AC217" s="86"/>
      <c r="AD217" s="86"/>
    </row>
    <row r="218" spans="5:30" ht="11.25" customHeight="1" x14ac:dyDescent="0.2">
      <c r="E218" s="229"/>
      <c r="F218" s="229"/>
      <c r="G218" s="229"/>
      <c r="H218" s="86"/>
      <c r="L218" s="86"/>
      <c r="M218" s="86"/>
      <c r="V218" s="114">
        <f>_xll.qlCalendarAdvance(Calendar,V217,"1D","f")</f>
        <v>43108</v>
      </c>
      <c r="W218" s="100">
        <f t="shared" si="17"/>
        <v>0.8575342465753425</v>
      </c>
      <c r="X218" s="112">
        <f>_xll.qlInterpolationInterpolate(B3Minterpolation,V218,TRUE)</f>
        <v>8.2527603028483768E-4</v>
      </c>
      <c r="Y218" s="112">
        <f>_xll.qlInterpolationInterpolate(AbcdInterpolation3M,$W218,TRUE)</f>
        <v>8.3158645034798768E-4</v>
      </c>
      <c r="AC218" s="86"/>
      <c r="AD218" s="86"/>
    </row>
    <row r="219" spans="5:30" ht="11.25" customHeight="1" x14ac:dyDescent="0.2">
      <c r="E219" s="229"/>
      <c r="F219" s="229"/>
      <c r="G219" s="229"/>
      <c r="H219" s="86"/>
      <c r="L219" s="86"/>
      <c r="M219" s="86"/>
      <c r="V219" s="114">
        <f>_xll.qlCalendarAdvance(Calendar,V218,"1D","f")</f>
        <v>43109</v>
      </c>
      <c r="W219" s="100">
        <f t="shared" si="17"/>
        <v>0.86027397260273974</v>
      </c>
      <c r="X219" s="112">
        <f>_xll.qlInterpolationInterpolate(B3Minterpolation,V219,TRUE)</f>
        <v>8.2561513618871138E-4</v>
      </c>
      <c r="Y219" s="112">
        <f>_xll.qlInterpolationInterpolate(AbcdInterpolation3M,$W219,TRUE)</f>
        <v>8.3233441523033742E-4</v>
      </c>
      <c r="AC219" s="86"/>
      <c r="AD219" s="86"/>
    </row>
    <row r="220" spans="5:30" ht="11.25" customHeight="1" x14ac:dyDescent="0.2">
      <c r="E220" s="229"/>
      <c r="F220" s="229"/>
      <c r="G220" s="229"/>
      <c r="H220" s="86"/>
      <c r="L220" s="86"/>
      <c r="M220" s="86"/>
      <c r="V220" s="114">
        <f>_xll.qlCalendarAdvance(Calendar,V219,"1D","f")</f>
        <v>43110</v>
      </c>
      <c r="W220" s="100">
        <f t="shared" si="17"/>
        <v>0.86301369863013699</v>
      </c>
      <c r="X220" s="112">
        <f>_xll.qlInterpolationInterpolate(B3Minterpolation,V220,TRUE)</f>
        <v>8.2597264241219789E-4</v>
      </c>
      <c r="Y220" s="112">
        <f>_xll.qlInterpolationInterpolate(AbcdInterpolation3M,$W220,TRUE)</f>
        <v>8.3307699320547357E-4</v>
      </c>
      <c r="AC220" s="86"/>
      <c r="AD220" s="86"/>
    </row>
    <row r="221" spans="5:30" ht="11.25" customHeight="1" x14ac:dyDescent="0.2">
      <c r="E221" s="229"/>
      <c r="F221" s="229"/>
      <c r="G221" s="229"/>
      <c r="H221" s="86"/>
      <c r="L221" s="86"/>
      <c r="M221" s="86"/>
      <c r="V221" s="114">
        <f>_xll.qlCalendarAdvance(Calendar,V220,"1D","f")</f>
        <v>43111</v>
      </c>
      <c r="W221" s="100">
        <f t="shared" si="17"/>
        <v>0.86575342465753424</v>
      </c>
      <c r="X221" s="112">
        <f>_xll.qlInterpolationInterpolate(B3Minterpolation,V221,TRUE)</f>
        <v>8.2634743120785692E-4</v>
      </c>
      <c r="Y221" s="112">
        <f>_xll.qlInterpolationInterpolate(AbcdInterpolation3M,$W221,TRUE)</f>
        <v>8.3381420742213166E-4</v>
      </c>
      <c r="AC221" s="86"/>
      <c r="AD221" s="86"/>
    </row>
    <row r="222" spans="5:30" ht="11.25" customHeight="1" x14ac:dyDescent="0.2">
      <c r="E222" s="229"/>
      <c r="F222" s="229"/>
      <c r="G222" s="229"/>
      <c r="H222" s="86"/>
      <c r="L222" s="86"/>
      <c r="M222" s="86"/>
      <c r="V222" s="114">
        <f>_xll.qlCalendarAdvance(Calendar,V221,"1D","f")</f>
        <v>43112</v>
      </c>
      <c r="W222" s="100">
        <f t="shared" si="17"/>
        <v>0.86849315068493149</v>
      </c>
      <c r="X222" s="112">
        <f>_xll.qlInterpolationInterpolate(B3Minterpolation,V222,TRUE)</f>
        <v>8.2673838482824819E-4</v>
      </c>
      <c r="Y222" s="112">
        <f>_xll.qlInterpolationInterpolate(AbcdInterpolation3M,$W222,TRUE)</f>
        <v>8.3454608094468631E-4</v>
      </c>
      <c r="AC222" s="86"/>
      <c r="AD222" s="86"/>
    </row>
    <row r="223" spans="5:30" ht="11.25" customHeight="1" x14ac:dyDescent="0.2">
      <c r="E223" s="229"/>
      <c r="F223" s="229"/>
      <c r="G223" s="229"/>
      <c r="H223" s="86"/>
      <c r="L223" s="86"/>
      <c r="M223" s="86"/>
      <c r="V223" s="114">
        <f>_xll.qlCalendarAdvance(Calendar,V222,"1D","f")</f>
        <v>43115</v>
      </c>
      <c r="W223" s="100">
        <f t="shared" si="17"/>
        <v>0.87671232876712324</v>
      </c>
      <c r="X223" s="112">
        <f>_xll.qlInterpolationInterpolate(B3Minterpolation,V223,TRUE)</f>
        <v>8.2799705716341129E-4</v>
      </c>
      <c r="Y223" s="112">
        <f>_xll.qlInterpolationInterpolate(AbcdInterpolation3M,$W223,TRUE)</f>
        <v>8.3670988673133142E-4</v>
      </c>
      <c r="AC223" s="86"/>
      <c r="AD223" s="86"/>
    </row>
    <row r="224" spans="5:30" ht="11.25" customHeight="1" x14ac:dyDescent="0.2">
      <c r="E224" s="229"/>
      <c r="F224" s="229"/>
      <c r="G224" s="229"/>
      <c r="H224" s="86"/>
      <c r="L224" s="86"/>
      <c r="M224" s="86"/>
      <c r="V224" s="114">
        <f>_xll.qlCalendarAdvance(Calendar,V223,"1D","f")</f>
        <v>43116</v>
      </c>
      <c r="W224" s="100">
        <f t="shared" si="17"/>
        <v>0.8794520547945206</v>
      </c>
      <c r="X224" s="112">
        <f>_xll.qlInterpolationInterpolate(B3Minterpolation,V224,TRUE)</f>
        <v>8.2844149260832768E-4</v>
      </c>
      <c r="Y224" s="112">
        <f>_xll.qlInterpolationInterpolate(AbcdInterpolation3M,$W224,TRUE)</f>
        <v>8.3742062644277522E-4</v>
      </c>
      <c r="AC224" s="86"/>
      <c r="AD224" s="86"/>
    </row>
    <row r="225" spans="5:30" ht="11.25" customHeight="1" x14ac:dyDescent="0.2">
      <c r="E225" s="229"/>
      <c r="F225" s="229"/>
      <c r="G225" s="229"/>
      <c r="H225" s="86"/>
      <c r="L225" s="86"/>
      <c r="M225" s="86"/>
      <c r="V225" s="114">
        <f>_xll.qlCalendarAdvance(Calendar,V224,"1D","f")</f>
        <v>43117</v>
      </c>
      <c r="W225" s="100">
        <f t="shared" si="17"/>
        <v>0.88219178082191785</v>
      </c>
      <c r="X225" s="112">
        <f>_xll.qlInterpolationInterpolate(B3Minterpolation,V225,TRUE)</f>
        <v>8.2889650414077435E-4</v>
      </c>
      <c r="Y225" s="112">
        <f>_xll.qlInterpolationInterpolate(AbcdInterpolation3M,$W225,TRUE)</f>
        <v>8.3812613952534388E-4</v>
      </c>
      <c r="AC225" s="86"/>
      <c r="AD225" s="86"/>
    </row>
    <row r="226" spans="5:30" ht="11.25" customHeight="1" x14ac:dyDescent="0.2">
      <c r="E226" s="229"/>
      <c r="F226" s="229"/>
      <c r="G226" s="229"/>
      <c r="H226" s="86"/>
      <c r="L226" s="86"/>
      <c r="M226" s="86"/>
      <c r="V226" s="114">
        <f>_xll.qlCalendarAdvance(Calendar,V225,"1D","f")</f>
        <v>43118</v>
      </c>
      <c r="W226" s="100">
        <f t="shared" si="17"/>
        <v>0.8849315068493151</v>
      </c>
      <c r="X226" s="112">
        <f>_xll.qlInterpolationInterpolate(B3Minterpolation,V226,TRUE)</f>
        <v>8.293609740133111E-4</v>
      </c>
      <c r="Y226" s="112">
        <f>_xll.qlInterpolationInterpolate(AbcdInterpolation3M,$W226,TRUE)</f>
        <v>8.3882644854250271E-4</v>
      </c>
      <c r="AC226" s="86"/>
      <c r="AD226" s="86"/>
    </row>
    <row r="227" spans="5:30" ht="11.25" customHeight="1" x14ac:dyDescent="0.2">
      <c r="E227" s="229"/>
      <c r="F227" s="229"/>
      <c r="G227" s="229"/>
      <c r="H227" s="86"/>
      <c r="L227" s="86"/>
      <c r="M227" s="86"/>
      <c r="V227" s="114">
        <f>_xll.qlCalendarAdvance(Calendar,V226,"1D","f")</f>
        <v>43119</v>
      </c>
      <c r="W227" s="100">
        <f t="shared" si="17"/>
        <v>0.88767123287671235</v>
      </c>
      <c r="X227" s="112">
        <f>_xll.qlInterpolationInterpolate(B3Minterpolation,V227,TRUE)</f>
        <v>8.2983378447849744E-4</v>
      </c>
      <c r="Y227" s="112">
        <f>_xll.qlInterpolationInterpolate(AbcdInterpolation3M,$W227,TRUE)</f>
        <v>8.3952157597510656E-4</v>
      </c>
      <c r="AC227" s="86"/>
      <c r="AD227" s="86"/>
    </row>
    <row r="228" spans="5:30" ht="11.25" customHeight="1" x14ac:dyDescent="0.2">
      <c r="E228" s="229"/>
      <c r="F228" s="229"/>
      <c r="G228" s="229"/>
      <c r="H228" s="86"/>
      <c r="L228" s="86"/>
      <c r="M228" s="86"/>
      <c r="V228" s="114">
        <f>_xll.qlCalendarAdvance(Calendar,V227,"1D","f")</f>
        <v>43122</v>
      </c>
      <c r="W228" s="100">
        <f t="shared" si="17"/>
        <v>0.89589041095890409</v>
      </c>
      <c r="X228" s="112">
        <f>_xll.qlInterpolationInterpolate(B3Minterpolation,V228,TRUE)</f>
        <v>8.3129108195555113E-4</v>
      </c>
      <c r="Y228" s="112">
        <f>_xll.qlInterpolationInterpolate(AbcdInterpolation3M,$W228,TRUE)</f>
        <v>8.4157609234022446E-4</v>
      </c>
      <c r="AC228" s="86"/>
      <c r="AD228" s="86"/>
    </row>
    <row r="229" spans="5:30" ht="11.25" customHeight="1" x14ac:dyDescent="0.2">
      <c r="E229" s="229"/>
      <c r="F229" s="229"/>
      <c r="G229" s="229"/>
      <c r="H229" s="86"/>
      <c r="L229" s="86"/>
      <c r="M229" s="86"/>
      <c r="V229" s="114">
        <f>_xll.qlCalendarAdvance(Calendar,V228,"1D","f")</f>
        <v>43123</v>
      </c>
      <c r="W229" s="100">
        <f t="shared" si="17"/>
        <v>0.89863013698630134</v>
      </c>
      <c r="X229" s="112">
        <f>_xll.qlInterpolationInterpolate(B3Minterpolation,V229,TRUE)</f>
        <v>8.3178607731693264E-4</v>
      </c>
      <c r="Y229" s="112">
        <f>_xll.qlInterpolationInterpolate(AbcdInterpolation3M,$W229,TRUE)</f>
        <v>8.4225071659968064E-4</v>
      </c>
      <c r="AC229" s="86"/>
      <c r="AD229" s="86"/>
    </row>
    <row r="230" spans="5:30" ht="11.25" customHeight="1" x14ac:dyDescent="0.2">
      <c r="E230" s="229"/>
      <c r="F230" s="229"/>
      <c r="G230" s="229"/>
      <c r="H230" s="86"/>
      <c r="L230" s="86"/>
      <c r="M230" s="86"/>
      <c r="V230" s="114">
        <f>_xll.qlCalendarAdvance(Calendar,V229,"1D","f")</f>
        <v>43124</v>
      </c>
      <c r="W230" s="100">
        <f t="shared" si="17"/>
        <v>0.90136986301369859</v>
      </c>
      <c r="X230" s="112">
        <f>_xll.qlInterpolationInterpolate(B3Minterpolation,V230,TRUE)</f>
        <v>8.3228382453376208E-4</v>
      </c>
      <c r="Y230" s="112">
        <f>_xll.qlInterpolationInterpolate(AbcdInterpolation3M,$W230,TRUE)</f>
        <v>8.4292027044842585E-4</v>
      </c>
      <c r="AC230" s="86"/>
      <c r="AD230" s="86"/>
    </row>
    <row r="231" spans="5:30" ht="11.25" customHeight="1" x14ac:dyDescent="0.2">
      <c r="E231" s="229"/>
      <c r="F231" s="229"/>
      <c r="G231" s="229"/>
      <c r="H231" s="86"/>
      <c r="L231" s="86"/>
      <c r="M231" s="86"/>
      <c r="V231" s="114">
        <f>_xll.qlCalendarAdvance(Calendar,V230,"1D","f")</f>
        <v>43125</v>
      </c>
      <c r="W231" s="100">
        <f t="shared" si="17"/>
        <v>0.90410958904109584</v>
      </c>
      <c r="X231" s="112">
        <f>_xll.qlInterpolationInterpolate(B3Minterpolation,V231,TRUE)</f>
        <v>8.3278320585859896E-4</v>
      </c>
      <c r="Y231" s="112">
        <f>_xll.qlInterpolationInterpolate(AbcdInterpolation3M,$W231,TRUE)</f>
        <v>8.4358477587688496E-4</v>
      </c>
      <c r="AC231" s="86"/>
      <c r="AD231" s="86"/>
    </row>
    <row r="232" spans="5:30" ht="11.25" customHeight="1" x14ac:dyDescent="0.2">
      <c r="E232" s="229"/>
      <c r="F232" s="229"/>
      <c r="G232" s="229"/>
      <c r="H232" s="86"/>
      <c r="L232" s="86"/>
      <c r="M232" s="86"/>
      <c r="V232" s="114">
        <f>_xll.qlCalendarAdvance(Calendar,V231,"1D","f")</f>
        <v>43126</v>
      </c>
      <c r="W232" s="100">
        <f t="shared" si="17"/>
        <v>0.9068493150684932</v>
      </c>
      <c r="X232" s="112">
        <f>_xll.qlInterpolationInterpolate(B3Minterpolation,V232,TRUE)</f>
        <v>8.3328310354400311E-4</v>
      </c>
      <c r="Y232" s="112">
        <f>_xll.qlInterpolationInterpolate(AbcdInterpolation3M,$W232,TRUE)</f>
        <v>8.4424425479461397E-4</v>
      </c>
      <c r="AC232" s="86"/>
      <c r="AD232" s="86"/>
    </row>
    <row r="233" spans="5:30" ht="11.25" customHeight="1" x14ac:dyDescent="0.2">
      <c r="E233" s="229"/>
      <c r="F233" s="229"/>
      <c r="G233" s="229"/>
      <c r="H233" s="86"/>
      <c r="L233" s="86"/>
      <c r="M233" s="86"/>
      <c r="V233" s="114">
        <f>_xll.qlCalendarAdvance(Calendar,V232,"1D","f")</f>
        <v>43129</v>
      </c>
      <c r="W233" s="100">
        <f t="shared" si="17"/>
        <v>0.91506849315068495</v>
      </c>
      <c r="X233" s="112">
        <f>_xll.qlInterpolationInterpolate(B3Minterpolation,V233,TRUE)</f>
        <v>8.3477471728921483E-4</v>
      </c>
      <c r="Y233" s="112">
        <f>_xll.qlInterpolationInterpolate(AbcdInterpolation3M,$W233,TRUE)</f>
        <v>8.4619275037116815E-4</v>
      </c>
      <c r="AC233" s="86"/>
      <c r="AD233" s="86"/>
    </row>
    <row r="234" spans="5:30" ht="11.25" customHeight="1" x14ac:dyDescent="0.2">
      <c r="E234" s="229"/>
      <c r="F234" s="229"/>
      <c r="G234" s="229"/>
      <c r="H234" s="86"/>
      <c r="L234" s="86"/>
      <c r="M234" s="86"/>
      <c r="V234" s="114">
        <f>_xll.qlCalendarAdvance(Calendar,V233,"1D","f")</f>
        <v>43130</v>
      </c>
      <c r="W234" s="100">
        <f t="shared" si="17"/>
        <v>0.9178082191780822</v>
      </c>
      <c r="X234" s="112">
        <f>_xll.qlInterpolationInterpolate(B3Minterpolation,V234,TRUE)</f>
        <v>8.3526550294248407E-4</v>
      </c>
      <c r="Y234" s="112">
        <f>_xll.qlInterpolationInterpolate(AbcdInterpolation3M,$W234,TRUE)</f>
        <v>8.4683234073285247E-4</v>
      </c>
      <c r="AC234" s="86"/>
      <c r="AD234" s="86"/>
    </row>
    <row r="235" spans="5:30" ht="11.25" customHeight="1" x14ac:dyDescent="0.2">
      <c r="E235" s="229"/>
      <c r="F235" s="229"/>
      <c r="G235" s="229"/>
      <c r="H235" s="86"/>
      <c r="L235" s="86"/>
      <c r="M235" s="86"/>
      <c r="V235" s="114">
        <f>_xll.qlCalendarAdvance(Calendar,V234,"1D","f")</f>
        <v>43131</v>
      </c>
      <c r="W235" s="100">
        <f t="shared" si="17"/>
        <v>0.92054794520547945</v>
      </c>
      <c r="X235" s="112">
        <f>_xll.qlInterpolationInterpolate(B3Minterpolation,V235,TRUE)</f>
        <v>8.357512162191187E-4</v>
      </c>
      <c r="Y235" s="112">
        <f>_xll.qlInterpolationInterpolate(AbcdInterpolation3M,$W235,TRUE)</f>
        <v>8.4746701292723911E-4</v>
      </c>
      <c r="AC235" s="86"/>
      <c r="AD235" s="86"/>
    </row>
    <row r="236" spans="5:30" ht="11.25" customHeight="1" x14ac:dyDescent="0.2">
      <c r="E236" s="229"/>
      <c r="F236" s="229"/>
      <c r="G236" s="229"/>
      <c r="H236" s="86"/>
      <c r="L236" s="86"/>
      <c r="M236" s="86"/>
      <c r="V236" s="114">
        <f>_xll.qlCalendarAdvance(Calendar,V235,"1D","f")</f>
        <v>43132</v>
      </c>
      <c r="W236" s="100">
        <f t="shared" si="17"/>
        <v>0.92328767123287669</v>
      </c>
      <c r="X236" s="112">
        <f>_xll.qlInterpolationInterpolate(B3Minterpolation,V236,TRUE)</f>
        <v>8.3623073937167845E-4</v>
      </c>
      <c r="Y236" s="112">
        <f>_xll.qlInterpolationInterpolate(AbcdInterpolation3M,$W236,TRUE)</f>
        <v>8.4809678838387522E-4</v>
      </c>
      <c r="AC236" s="86"/>
      <c r="AD236" s="86"/>
    </row>
    <row r="237" spans="5:30" ht="11.25" customHeight="1" x14ac:dyDescent="0.2">
      <c r="E237" s="229"/>
      <c r="F237" s="229"/>
      <c r="G237" s="229"/>
      <c r="H237" s="86"/>
      <c r="L237" s="86"/>
      <c r="M237" s="86"/>
      <c r="V237" s="114">
        <f>_xll.qlCalendarAdvance(Calendar,V236,"1D","f")</f>
        <v>43133</v>
      </c>
      <c r="W237" s="100">
        <f t="shared" si="17"/>
        <v>0.92602739726027394</v>
      </c>
      <c r="X237" s="112">
        <f>_xll.qlInterpolationInterpolate(B3Minterpolation,V237,TRUE)</f>
        <v>8.367029546527228E-4</v>
      </c>
      <c r="Y237" s="112">
        <f>_xll.qlInterpolationInterpolate(AbcdInterpolation3M,$W237,TRUE)</f>
        <v>8.4872168845317032E-4</v>
      </c>
      <c r="AC237" s="86"/>
      <c r="AD237" s="86"/>
    </row>
    <row r="238" spans="5:30" ht="11.25" customHeight="1" x14ac:dyDescent="0.2">
      <c r="E238" s="229"/>
      <c r="F238" s="229"/>
      <c r="G238" s="229"/>
      <c r="H238" s="86"/>
      <c r="L238" s="86"/>
      <c r="M238" s="86"/>
      <c r="V238" s="114">
        <f>_xll.qlCalendarAdvance(Calendar,V237,"1D","f")</f>
        <v>43136</v>
      </c>
      <c r="W238" s="100">
        <f t="shared" si="17"/>
        <v>0.9342465753424658</v>
      </c>
      <c r="X238" s="112">
        <f>_xll.qlInterpolationInterpolate(B3Minterpolation,V238,TRUE)</f>
        <v>8.3806457579236032E-4</v>
      </c>
      <c r="Y238" s="112">
        <f>_xll.qlInterpolationInterpolate(AbcdInterpolation3M,$W238,TRUE)</f>
        <v>8.505673486592229E-4</v>
      </c>
      <c r="AC238" s="86"/>
      <c r="AD238" s="86"/>
    </row>
    <row r="239" spans="5:30" ht="11.25" customHeight="1" x14ac:dyDescent="0.2">
      <c r="E239" s="229"/>
      <c r="F239" s="229"/>
      <c r="G239" s="229"/>
      <c r="H239" s="86"/>
      <c r="L239" s="86"/>
      <c r="M239" s="86"/>
      <c r="V239" s="114">
        <f>_xll.qlCalendarAdvance(Calendar,V238,"1D","f")</f>
        <v>43137</v>
      </c>
      <c r="W239" s="100">
        <f t="shared" si="17"/>
        <v>0.93698630136986305</v>
      </c>
      <c r="X239" s="112">
        <f>_xll.qlInterpolationInterpolate(B3Minterpolation,V239,TRUE)</f>
        <v>8.3849663851644934E-4</v>
      </c>
      <c r="Y239" s="112">
        <f>_xll.qlInterpolationInterpolate(AbcdInterpolation3M,$W239,TRUE)</f>
        <v>8.5117295910912044E-4</v>
      </c>
      <c r="AC239" s="86"/>
      <c r="AD239" s="86"/>
    </row>
    <row r="240" spans="5:30" ht="11.25" customHeight="1" x14ac:dyDescent="0.2">
      <c r="E240" s="229"/>
      <c r="F240" s="229"/>
      <c r="G240" s="229"/>
      <c r="H240" s="86"/>
      <c r="L240" s="86"/>
      <c r="M240" s="86"/>
      <c r="V240" s="114">
        <f>_xll.qlCalendarAdvance(Calendar,V239,"1D","f")</f>
        <v>43138</v>
      </c>
      <c r="W240" s="100">
        <f t="shared" si="17"/>
        <v>0.9397260273972603</v>
      </c>
      <c r="X240" s="112">
        <f>_xll.qlInterpolationInterpolate(B3Minterpolation,V240,TRUE)</f>
        <v>8.3891734305287875E-4</v>
      </c>
      <c r="Y240" s="112">
        <f>_xll.qlInterpolationInterpolate(AbcdInterpolation3M,$W240,TRUE)</f>
        <v>8.5177379974527327E-4</v>
      </c>
      <c r="AC240" s="86"/>
      <c r="AD240" s="86"/>
    </row>
    <row r="241" spans="5:30" ht="11.25" customHeight="1" x14ac:dyDescent="0.2">
      <c r="E241" s="229"/>
      <c r="F241" s="229"/>
      <c r="G241" s="229"/>
      <c r="H241" s="86"/>
      <c r="L241" s="86"/>
      <c r="M241" s="86"/>
      <c r="V241" s="114">
        <f>_xll.qlCalendarAdvance(Calendar,V240,"1D","f")</f>
        <v>43139</v>
      </c>
      <c r="W241" s="100">
        <f t="shared" si="17"/>
        <v>0.94246575342465755</v>
      </c>
      <c r="X241" s="112">
        <f>_xll.qlInterpolationInterpolate(B3Minterpolation,V241,TRUE)</f>
        <v>8.3932711007526537E-4</v>
      </c>
      <c r="Y241" s="112">
        <f>_xll.qlInterpolationInterpolate(AbcdInterpolation3M,$W241,TRUE)</f>
        <v>8.5236989144842458E-4</v>
      </c>
      <c r="AC241" s="86"/>
      <c r="AD241" s="86"/>
    </row>
    <row r="242" spans="5:30" ht="11.25" customHeight="1" x14ac:dyDescent="0.2">
      <c r="E242" s="229"/>
      <c r="F242" s="229"/>
      <c r="G242" s="229"/>
      <c r="H242" s="86"/>
      <c r="L242" s="86"/>
      <c r="M242" s="86"/>
      <c r="V242" s="114">
        <f>_xll.qlCalendarAdvance(Calendar,V241,"1D","f")</f>
        <v>43140</v>
      </c>
      <c r="W242" s="100">
        <f t="shared" si="17"/>
        <v>0.9452054794520548</v>
      </c>
      <c r="X242" s="112">
        <f>_xll.qlInterpolationInterpolate(B3Minterpolation,V242,TRUE)</f>
        <v>8.3972636025722634E-4</v>
      </c>
      <c r="Y242" s="112">
        <f>_xll.qlInterpolationInterpolate(AbcdInterpolation3M,$W242,TRUE)</f>
        <v>8.5296125502189754E-4</v>
      </c>
      <c r="AC242" s="86"/>
      <c r="AD242" s="86"/>
    </row>
    <row r="243" spans="5:30" ht="11.25" customHeight="1" x14ac:dyDescent="0.2">
      <c r="E243" s="229"/>
      <c r="F243" s="229"/>
      <c r="G243" s="229"/>
      <c r="H243" s="86"/>
      <c r="L243" s="86"/>
      <c r="M243" s="86"/>
      <c r="V243" s="114">
        <f>_xll.qlCalendarAdvance(Calendar,V242,"1D","f")</f>
        <v>43143</v>
      </c>
      <c r="W243" s="100">
        <f t="shared" si="17"/>
        <v>0.95342465753424654</v>
      </c>
      <c r="X243" s="112">
        <f>_xll.qlInterpolationInterpolate(B3Minterpolation,V243,TRUE)</f>
        <v>8.408652164967256E-4</v>
      </c>
      <c r="Y243" s="112">
        <f>_xll.qlInterpolationInterpolate(AbcdInterpolation3M,$W243,TRUE)</f>
        <v>8.5470718384127598E-4</v>
      </c>
      <c r="AC243" s="86"/>
      <c r="AD243" s="86"/>
    </row>
    <row r="244" spans="5:30" ht="11.25" customHeight="1" x14ac:dyDescent="0.2">
      <c r="E244" s="229"/>
      <c r="F244" s="229"/>
      <c r="G244" s="229"/>
      <c r="H244" s="86"/>
      <c r="L244" s="86"/>
      <c r="M244" s="86"/>
      <c r="V244" s="114">
        <f>_xll.qlCalendarAdvance(Calendar,V243,"1D","f")</f>
        <v>43144</v>
      </c>
      <c r="W244" s="100">
        <f t="shared" si="17"/>
        <v>0.95616438356164379</v>
      </c>
      <c r="X244" s="112">
        <f>_xll.qlInterpolationInterpolate(B3Minterpolation,V244,TRUE)</f>
        <v>8.4122660605315421E-4</v>
      </c>
      <c r="Y244" s="112">
        <f>_xll.qlInterpolationInterpolate(AbcdInterpolation3M,$W244,TRUE)</f>
        <v>8.5527984138936565E-4</v>
      </c>
      <c r="AC244" s="86"/>
      <c r="AD244" s="86"/>
    </row>
    <row r="245" spans="5:30" ht="11.25" customHeight="1" x14ac:dyDescent="0.2">
      <c r="E245" s="229"/>
      <c r="F245" s="229"/>
      <c r="G245" s="229"/>
      <c r="H245" s="86"/>
      <c r="L245" s="86"/>
      <c r="M245" s="86"/>
      <c r="V245" s="114">
        <f>_xll.qlCalendarAdvance(Calendar,V244,"1D","f")</f>
        <v>43145</v>
      </c>
      <c r="W245" s="100">
        <f t="shared" si="17"/>
        <v>0.95890410958904104</v>
      </c>
      <c r="X245" s="112">
        <f>_xll.qlInterpolationInterpolate(B3Minterpolation,V245,TRUE)</f>
        <v>8.4157958213724223E-4</v>
      </c>
      <c r="Y245" s="112">
        <f>_xll.qlInterpolationInterpolate(AbcdInterpolation3M,$W245,TRUE)</f>
        <v>8.5584787367159239E-4</v>
      </c>
      <c r="AC245" s="86"/>
      <c r="AD245" s="86"/>
    </row>
    <row r="246" spans="5:30" ht="11.25" customHeight="1" x14ac:dyDescent="0.2">
      <c r="E246" s="229"/>
      <c r="F246" s="229"/>
      <c r="G246" s="229"/>
      <c r="H246" s="86"/>
      <c r="L246" s="86"/>
      <c r="M246" s="86"/>
      <c r="V246" s="114">
        <f>_xll.qlCalendarAdvance(Calendar,V245,"1D","f")</f>
        <v>43146</v>
      </c>
      <c r="W246" s="100">
        <f t="shared" si="17"/>
        <v>0.9616438356164384</v>
      </c>
      <c r="X246" s="112">
        <f>_xll.qlInterpolationInterpolate(B3Minterpolation,V246,TRUE)</f>
        <v>8.4192456542260682E-4</v>
      </c>
      <c r="Y246" s="112">
        <f>_xll.qlInterpolationInterpolate(AbcdInterpolation3M,$W246,TRUE)</f>
        <v>8.5641130103185803E-4</v>
      </c>
      <c r="AC246" s="86"/>
      <c r="AD246" s="86"/>
    </row>
    <row r="247" spans="5:30" ht="11.25" customHeight="1" x14ac:dyDescent="0.2">
      <c r="E247" s="229"/>
      <c r="F247" s="229"/>
      <c r="G247" s="229"/>
      <c r="H247" s="86"/>
      <c r="L247" s="86"/>
      <c r="M247" s="86"/>
      <c r="V247" s="114">
        <f>_xll.qlCalendarAdvance(Calendar,V246,"1D","f")</f>
        <v>43147</v>
      </c>
      <c r="W247" s="100">
        <f t="shared" si="17"/>
        <v>0.96438356164383565</v>
      </c>
      <c r="X247" s="112">
        <f>_xll.qlInterpolationInterpolate(B3Minterpolation,V247,TRUE)</f>
        <v>8.4226197658286489E-4</v>
      </c>
      <c r="Y247" s="112">
        <f>_xll.qlInterpolationInterpolate(AbcdInterpolation3M,$W247,TRUE)</f>
        <v>8.5697014373834141E-4</v>
      </c>
      <c r="AC247" s="86"/>
      <c r="AD247" s="86"/>
    </row>
    <row r="248" spans="5:30" ht="11.25" customHeight="1" x14ac:dyDescent="0.2">
      <c r="E248" s="229"/>
      <c r="F248" s="229"/>
      <c r="G248" s="229"/>
      <c r="H248" s="86"/>
      <c r="L248" s="86"/>
      <c r="M248" s="86"/>
      <c r="V248" s="114">
        <f>_xll.qlCalendarAdvance(Calendar,V247,"1D","f")</f>
        <v>43150</v>
      </c>
      <c r="W248" s="100">
        <f t="shared" si="17"/>
        <v>0.9726027397260274</v>
      </c>
      <c r="X248" s="112">
        <f>_xll.qlInterpolationInterpolate(B3Minterpolation,V248,TRUE)</f>
        <v>8.4323298404917046E-4</v>
      </c>
      <c r="Y248" s="112">
        <f>_xll.qlInterpolationInterpolate(AbcdInterpolation3M,$W248,TRUE)</f>
        <v>8.5861936548610267E-4</v>
      </c>
      <c r="AC248" s="86"/>
      <c r="AD248" s="86"/>
    </row>
    <row r="249" spans="5:30" ht="11.25" customHeight="1" x14ac:dyDescent="0.2">
      <c r="E249" s="229"/>
      <c r="F249" s="229"/>
      <c r="G249" s="229"/>
      <c r="H249" s="86"/>
      <c r="L249" s="86"/>
      <c r="M249" s="86"/>
      <c r="V249" s="114">
        <f>_xll.qlCalendarAdvance(Calendar,V248,"1D","f")</f>
        <v>43151</v>
      </c>
      <c r="W249" s="100">
        <f t="shared" si="17"/>
        <v>0.97534246575342465</v>
      </c>
      <c r="X249" s="112">
        <f>_xll.qlInterpolationInterpolate(B3Minterpolation,V249,TRUE)</f>
        <v>8.4354431344517292E-4</v>
      </c>
      <c r="Y249" s="112">
        <f>_xll.qlInterpolationInterpolate(AbcdInterpolation3M,$W249,TRUE)</f>
        <v>8.5916007075321718E-4</v>
      </c>
      <c r="AC249" s="86"/>
      <c r="AD249" s="86"/>
    </row>
    <row r="250" spans="5:30" ht="11.25" customHeight="1" x14ac:dyDescent="0.2">
      <c r="E250" s="229"/>
      <c r="F250" s="229"/>
      <c r="G250" s="229"/>
      <c r="H250" s="86"/>
      <c r="L250" s="86"/>
      <c r="M250" s="86"/>
      <c r="V250" s="114">
        <f>_xll.qlCalendarAdvance(Calendar,V249,"1D","f")</f>
        <v>43152</v>
      </c>
      <c r="W250" s="100">
        <f t="shared" si="17"/>
        <v>0.9780821917808219</v>
      </c>
      <c r="X250" s="112">
        <f>_xll.qlInterpolationInterpolate(B3Minterpolation,V250,TRUE)</f>
        <v>8.4385017408415404E-4</v>
      </c>
      <c r="Y250" s="112">
        <f>_xll.qlInterpolationInterpolate(AbcdInterpolation3M,$W250,TRUE)</f>
        <v>8.5969629158002278E-4</v>
      </c>
      <c r="AC250" s="86"/>
      <c r="AD250" s="86"/>
    </row>
    <row r="251" spans="5:30" ht="11.25" customHeight="1" x14ac:dyDescent="0.2">
      <c r="E251" s="229"/>
      <c r="F251" s="229"/>
      <c r="G251" s="229"/>
      <c r="H251" s="86"/>
      <c r="L251" s="86"/>
      <c r="M251" s="86"/>
      <c r="V251" s="114">
        <f>_xll.qlCalendarAdvance(Calendar,V250,"1D","f")</f>
        <v>43153</v>
      </c>
      <c r="W251" s="100">
        <f t="shared" si="17"/>
        <v>0.98082191780821915</v>
      </c>
      <c r="X251" s="112">
        <f>_xll.qlInterpolationInterpolate(B3Minterpolation,V251,TRUE)</f>
        <v>8.4415098663973074E-4</v>
      </c>
      <c r="Y251" s="112">
        <f>_xll.qlInterpolationInterpolate(AbcdInterpolation3M,$W251,TRUE)</f>
        <v>8.6022804778540876E-4</v>
      </c>
      <c r="AC251" s="86"/>
      <c r="AD251" s="86"/>
    </row>
    <row r="252" spans="5:30" ht="11.25" customHeight="1" x14ac:dyDescent="0.2">
      <c r="E252" s="229"/>
      <c r="F252" s="229"/>
      <c r="G252" s="229"/>
      <c r="H252" s="86"/>
      <c r="L252" s="86"/>
      <c r="M252" s="86"/>
      <c r="V252" s="114">
        <f>_xll.qlCalendarAdvance(Calendar,V251,"1D","f")</f>
        <v>43154</v>
      </c>
      <c r="W252" s="100">
        <f t="shared" si="17"/>
        <v>0.98356164383561639</v>
      </c>
      <c r="X252" s="112">
        <f>_xll.qlInterpolationInterpolate(B3Minterpolation,V252,TRUE)</f>
        <v>8.4444717178552029E-4</v>
      </c>
      <c r="Y252" s="112">
        <f>_xll.qlInterpolationInterpolate(AbcdInterpolation3M,$W252,TRUE)</f>
        <v>8.6075535911422051E-4</v>
      </c>
      <c r="AC252" s="86"/>
      <c r="AD252" s="86"/>
    </row>
    <row r="253" spans="5:30" ht="11.25" customHeight="1" x14ac:dyDescent="0.2">
      <c r="E253" s="229"/>
      <c r="F253" s="229"/>
      <c r="G253" s="229"/>
      <c r="H253" s="86"/>
      <c r="L253" s="86"/>
      <c r="M253" s="86"/>
      <c r="V253" s="114">
        <f>_xll.qlCalendarAdvance(Calendar,V252,"1D","f")</f>
        <v>43157</v>
      </c>
      <c r="W253" s="100">
        <f t="shared" si="17"/>
        <v>0.99178082191780825</v>
      </c>
      <c r="X253" s="112">
        <f>_xll.qlInterpolationInterpolate(B3Minterpolation,V253,TRUE)</f>
        <v>8.4531216950033518E-4</v>
      </c>
      <c r="Y253" s="112">
        <f>_xll.qlInterpolationInterpolate(AbcdInterpolation3M,$W253,TRUE)</f>
        <v>8.6231082018398098E-4</v>
      </c>
      <c r="AC253" s="86"/>
      <c r="AD253" s="86"/>
    </row>
    <row r="254" spans="5:30" ht="11.25" customHeight="1" x14ac:dyDescent="0.2">
      <c r="E254" s="229"/>
      <c r="F254" s="229"/>
      <c r="G254" s="229"/>
      <c r="H254" s="86"/>
      <c r="L254" s="86"/>
      <c r="M254" s="86"/>
      <c r="V254" s="114">
        <f>_xll.qlCalendarAdvance(Calendar,V253,"1D","f")</f>
        <v>43158</v>
      </c>
      <c r="W254" s="100">
        <f t="shared" si="17"/>
        <v>0.9945205479452055</v>
      </c>
      <c r="X254" s="112">
        <f>_xll.qlInterpolationInterpolate(B3Minterpolation,V254,TRUE)</f>
        <v>8.4559405174314565E-4</v>
      </c>
      <c r="Y254" s="112">
        <f>_xll.qlInterpolationInterpolate(AbcdInterpolation3M,$W254,TRUE)</f>
        <v>8.6282054798237186E-4</v>
      </c>
      <c r="AC254" s="86"/>
      <c r="AD254" s="86"/>
    </row>
    <row r="255" spans="5:30" ht="11.25" customHeight="1" x14ac:dyDescent="0.2">
      <c r="E255" s="229"/>
      <c r="F255" s="229"/>
      <c r="G255" s="229"/>
      <c r="H255" s="86"/>
      <c r="L255" s="86"/>
      <c r="M255" s="86"/>
      <c r="V255" s="114">
        <f>_xll.qlCalendarAdvance(Calendar,V254,"1D","f")</f>
        <v>43159</v>
      </c>
      <c r="W255" s="100">
        <f t="shared" si="17"/>
        <v>0.99726027397260275</v>
      </c>
      <c r="X255" s="112">
        <f>_xll.qlInterpolationInterpolate(B3Minterpolation,V255,TRUE)</f>
        <v>8.4587340994425413E-4</v>
      </c>
      <c r="Y255" s="112">
        <f>_xll.qlInterpolationInterpolate(AbcdInterpolation3M,$W255,TRUE)</f>
        <v>8.6332592852605874E-4</v>
      </c>
      <c r="AC255" s="86"/>
      <c r="AD255" s="86"/>
    </row>
    <row r="256" spans="5:30" ht="11.25" customHeight="1" x14ac:dyDescent="0.2">
      <c r="E256" s="229"/>
      <c r="F256" s="229"/>
      <c r="G256" s="229"/>
      <c r="H256" s="86"/>
      <c r="L256" s="86"/>
      <c r="M256" s="86"/>
      <c r="V256" s="114">
        <f>_xll.qlCalendarAdvance(Calendar,V255,"1D","f")</f>
        <v>43160</v>
      </c>
      <c r="W256" s="100">
        <f t="shared" si="17"/>
        <v>1</v>
      </c>
      <c r="X256" s="112">
        <f>_xll.qlInterpolationInterpolate(B3Minterpolation,V256,TRUE)</f>
        <v>8.4615066477727733E-4</v>
      </c>
      <c r="Y256" s="112">
        <f>_xll.qlInterpolationInterpolate(AbcdInterpolation3M,$W256,TRUE)</f>
        <v>8.6382698112060234E-4</v>
      </c>
      <c r="AC256" s="86"/>
      <c r="AD256" s="86"/>
    </row>
    <row r="257" spans="5:30" ht="11.25" customHeight="1" x14ac:dyDescent="0.2">
      <c r="E257" s="229"/>
      <c r="F257" s="229"/>
      <c r="G257" s="229"/>
      <c r="H257" s="86"/>
      <c r="L257" s="86"/>
      <c r="M257" s="86"/>
      <c r="V257" s="114">
        <f>_xll.qlCalendarAdvance(Calendar,V256,"1D","f")</f>
        <v>43161</v>
      </c>
      <c r="W257" s="100">
        <f t="shared" si="17"/>
        <v>1.0027397260273974</v>
      </c>
      <c r="X257" s="112">
        <f>_xll.qlInterpolationInterpolate(B3Minterpolation,V257,TRUE)</f>
        <v>8.464262369158325E-4</v>
      </c>
      <c r="Y257" s="112">
        <f>_xll.qlInterpolationInterpolate(AbcdInterpolation3M,$W257,TRUE)</f>
        <v>8.6432372499917415E-4</v>
      </c>
      <c r="AC257" s="86"/>
      <c r="AD257" s="86"/>
    </row>
    <row r="258" spans="5:30" ht="11.25" customHeight="1" x14ac:dyDescent="0.2">
      <c r="E258" s="229"/>
      <c r="F258" s="229"/>
      <c r="G258" s="229"/>
      <c r="H258" s="86"/>
      <c r="L258" s="86"/>
      <c r="M258" s="86"/>
      <c r="V258" s="114">
        <f>_xll.qlCalendarAdvance(Calendar,V257,"1D","f")</f>
        <v>43164</v>
      </c>
      <c r="W258" s="100">
        <f t="shared" si="17"/>
        <v>1.010958904109589</v>
      </c>
      <c r="X258" s="112">
        <f>_xll.qlInterpolationInterpolate(B3Minterpolation,V258,TRUE)</f>
        <v>8.4724706390085962E-4</v>
      </c>
      <c r="Y258" s="112">
        <f>_xll.qlInterpolationInterpolate(AbcdInterpolation3M,$W258,TRUE)</f>
        <v>8.6578829558989039E-4</v>
      </c>
      <c r="AC258" s="86"/>
      <c r="AD258" s="86"/>
    </row>
    <row r="259" spans="5:30" ht="11.25" customHeight="1" x14ac:dyDescent="0.2">
      <c r="E259" s="229"/>
      <c r="F259" s="229"/>
      <c r="G259" s="229"/>
      <c r="H259" s="86"/>
      <c r="L259" s="86"/>
      <c r="M259" s="86"/>
      <c r="V259" s="114">
        <f>_xll.qlCalendarAdvance(Calendar,V258,"1D","f")</f>
        <v>43165</v>
      </c>
      <c r="W259" s="100">
        <f t="shared" si="17"/>
        <v>1.0136986301369864</v>
      </c>
      <c r="X259" s="112">
        <f>_xll.qlInterpolationInterpolate(B3Minterpolation,V259,TRUE)</f>
        <v>8.4752011199771258E-4</v>
      </c>
      <c r="Y259" s="112">
        <f>_xll.qlInterpolationInterpolate(AbcdInterpolation3M,$W259,TRUE)</f>
        <v>8.6626799549674514E-4</v>
      </c>
      <c r="AC259" s="86"/>
      <c r="AD259" s="86"/>
    </row>
    <row r="260" spans="5:30" ht="11.25" customHeight="1" x14ac:dyDescent="0.2">
      <c r="E260" s="229"/>
      <c r="F260" s="229"/>
      <c r="G260" s="229"/>
      <c r="H260" s="86"/>
      <c r="L260" s="86"/>
      <c r="M260" s="86"/>
      <c r="V260" s="114">
        <f>_xll.qlCalendarAdvance(Calendar,V259,"1D","f")</f>
        <v>43166</v>
      </c>
      <c r="W260" s="100">
        <f t="shared" si="17"/>
        <v>1.0164383561643835</v>
      </c>
      <c r="X260" s="112">
        <f>_xll.qlInterpolationInterpolate(B3Minterpolation,V260,TRUE)</f>
        <v>8.4779358076818268E-4</v>
      </c>
      <c r="Y260" s="112">
        <f>_xll.qlInterpolationInterpolate(AbcdInterpolation3M,$W260,TRUE)</f>
        <v>8.6674348177586866E-4</v>
      </c>
      <c r="AC260" s="86"/>
      <c r="AD260" s="86"/>
    </row>
    <row r="261" spans="5:30" ht="11.25" customHeight="1" x14ac:dyDescent="0.2">
      <c r="E261" s="229"/>
      <c r="F261" s="229"/>
      <c r="G261" s="229"/>
      <c r="H261" s="86"/>
      <c r="L261" s="86"/>
      <c r="M261" s="86"/>
      <c r="V261" s="118">
        <f>_xll.qlCalendarAdvance(Calendar,V260,"1D","f")</f>
        <v>43167</v>
      </c>
      <c r="W261" s="105">
        <f t="shared" si="17"/>
        <v>1.0191780821917809</v>
      </c>
      <c r="X261" s="121">
        <f>_xll.qlInterpolationInterpolate(B3Minterpolation,V261,TRUE)</f>
        <v>8.4806789088588675E-4</v>
      </c>
      <c r="Y261" s="121">
        <f>_xll.qlInterpolationInterpolate(AbcdInterpolation3M,$W261,TRUE)</f>
        <v>8.6721477323101789E-4</v>
      </c>
      <c r="AC261" s="86"/>
      <c r="AD261" s="86"/>
    </row>
    <row r="262" spans="5:30" ht="11.25" customHeight="1" x14ac:dyDescent="0.2">
      <c r="E262" s="229"/>
      <c r="F262" s="229"/>
      <c r="G262" s="229"/>
      <c r="H262" s="86"/>
      <c r="L262" s="86"/>
      <c r="M262" s="86"/>
      <c r="V262" s="231"/>
      <c r="W262" s="231"/>
      <c r="X262" s="231"/>
      <c r="Y262" s="231"/>
      <c r="AC262" s="86"/>
      <c r="AD262" s="86"/>
    </row>
    <row r="263" spans="5:30" ht="11.25" customHeight="1" x14ac:dyDescent="0.2">
      <c r="E263" s="229"/>
      <c r="F263" s="229"/>
      <c r="G263" s="229"/>
      <c r="H263" s="86"/>
      <c r="L263" s="86"/>
      <c r="M263" s="86"/>
      <c r="V263" s="231"/>
      <c r="W263" s="231"/>
      <c r="X263" s="231"/>
      <c r="Y263" s="231"/>
      <c r="AC263" s="86"/>
      <c r="AD263" s="86"/>
    </row>
    <row r="264" spans="5:30" ht="11.25" customHeight="1" x14ac:dyDescent="0.2">
      <c r="E264" s="229"/>
      <c r="F264" s="229"/>
      <c r="G264" s="229"/>
      <c r="H264" s="86"/>
      <c r="L264" s="86"/>
      <c r="M264" s="86"/>
      <c r="V264" s="231"/>
      <c r="W264" s="231"/>
      <c r="X264" s="231"/>
      <c r="Y264" s="231"/>
      <c r="AC264" s="86"/>
      <c r="AD264" s="86"/>
    </row>
    <row r="265" spans="5:30" ht="11.25" customHeight="1" x14ac:dyDescent="0.2">
      <c r="E265" s="229"/>
      <c r="F265" s="229"/>
      <c r="G265" s="229"/>
      <c r="H265" s="86"/>
      <c r="L265" s="86"/>
      <c r="M265" s="86"/>
      <c r="V265" s="231"/>
      <c r="W265" s="231"/>
      <c r="X265" s="231"/>
      <c r="Y265" s="231"/>
      <c r="AC265" s="86"/>
      <c r="AD265" s="86"/>
    </row>
    <row r="266" spans="5:30" ht="11.25" customHeight="1" x14ac:dyDescent="0.2">
      <c r="E266" s="229"/>
      <c r="F266" s="229"/>
      <c r="G266" s="229"/>
      <c r="H266" s="86"/>
      <c r="L266" s="86"/>
      <c r="M266" s="86"/>
      <c r="V266" s="231"/>
      <c r="W266" s="231"/>
      <c r="X266" s="231"/>
      <c r="Y266" s="231"/>
      <c r="AC266" s="86"/>
      <c r="AD266" s="86"/>
    </row>
    <row r="267" spans="5:30" ht="11.25" customHeight="1" x14ac:dyDescent="0.2">
      <c r="E267" s="229"/>
      <c r="F267" s="229"/>
      <c r="G267" s="229"/>
      <c r="H267" s="86"/>
      <c r="L267" s="86"/>
      <c r="M267" s="86"/>
      <c r="V267" s="231"/>
      <c r="W267" s="231"/>
      <c r="X267" s="231"/>
      <c r="Y267" s="231"/>
      <c r="AC267" s="86"/>
      <c r="AD267" s="86"/>
    </row>
    <row r="268" spans="5:30" ht="11.25" customHeight="1" x14ac:dyDescent="0.2">
      <c r="E268" s="229"/>
      <c r="F268" s="229"/>
      <c r="G268" s="229"/>
      <c r="H268" s="86"/>
      <c r="L268" s="86"/>
      <c r="M268" s="86"/>
      <c r="V268" s="231"/>
      <c r="W268" s="231"/>
      <c r="X268" s="231"/>
      <c r="Y268" s="231"/>
      <c r="AC268" s="86"/>
      <c r="AD268" s="86"/>
    </row>
    <row r="269" spans="5:30" ht="11.25" customHeight="1" x14ac:dyDescent="0.2">
      <c r="E269" s="229"/>
      <c r="F269" s="229"/>
      <c r="G269" s="229"/>
      <c r="H269" s="86"/>
      <c r="L269" s="86"/>
      <c r="M269" s="86"/>
      <c r="V269" s="231"/>
      <c r="W269" s="231"/>
      <c r="X269" s="231"/>
      <c r="Y269" s="231"/>
      <c r="AC269" s="86"/>
      <c r="AD269" s="86"/>
    </row>
    <row r="270" spans="5:30" ht="11.25" customHeight="1" x14ac:dyDescent="0.2">
      <c r="E270" s="229"/>
      <c r="F270" s="229"/>
      <c r="G270" s="229"/>
      <c r="H270" s="86"/>
      <c r="L270" s="86"/>
      <c r="M270" s="86"/>
      <c r="V270" s="231"/>
      <c r="W270" s="231"/>
      <c r="X270" s="231"/>
      <c r="Y270" s="231"/>
      <c r="AC270" s="86"/>
      <c r="AD270" s="86"/>
    </row>
    <row r="271" spans="5:30" ht="11.25" customHeight="1" x14ac:dyDescent="0.2">
      <c r="E271" s="229"/>
      <c r="F271" s="229"/>
      <c r="G271" s="229"/>
      <c r="H271" s="86"/>
      <c r="L271" s="86"/>
      <c r="M271" s="86"/>
      <c r="V271" s="231"/>
      <c r="W271" s="231"/>
      <c r="X271" s="231"/>
      <c r="Y271" s="231"/>
      <c r="AC271" s="86"/>
      <c r="AD271" s="86"/>
    </row>
    <row r="272" spans="5:30" ht="11.25" customHeight="1" x14ac:dyDescent="0.2">
      <c r="E272" s="229"/>
      <c r="F272" s="229"/>
      <c r="G272" s="229"/>
      <c r="H272" s="86"/>
      <c r="L272" s="86"/>
      <c r="M272" s="86"/>
      <c r="V272" s="231"/>
      <c r="W272" s="231"/>
      <c r="X272" s="231"/>
      <c r="Y272" s="231"/>
      <c r="AC272" s="86"/>
      <c r="AD272" s="86"/>
    </row>
    <row r="273" spans="5:30" ht="11.25" customHeight="1" x14ac:dyDescent="0.2">
      <c r="E273" s="229"/>
      <c r="F273" s="229"/>
      <c r="G273" s="229"/>
      <c r="H273" s="86"/>
      <c r="L273" s="86"/>
      <c r="M273" s="86"/>
      <c r="V273" s="231"/>
      <c r="W273" s="231"/>
      <c r="X273" s="231"/>
      <c r="Y273" s="231"/>
      <c r="AC273" s="86"/>
      <c r="AD273" s="86"/>
    </row>
    <row r="274" spans="5:30" ht="11.25" customHeight="1" x14ac:dyDescent="0.2">
      <c r="E274" s="229"/>
      <c r="F274" s="229"/>
      <c r="G274" s="229"/>
      <c r="H274" s="86"/>
      <c r="L274" s="86"/>
      <c r="M274" s="86"/>
      <c r="V274" s="231"/>
      <c r="W274" s="231"/>
      <c r="X274" s="231"/>
      <c r="Y274" s="231"/>
      <c r="AC274" s="86"/>
      <c r="AD274" s="86"/>
    </row>
    <row r="275" spans="5:30" ht="11.25" customHeight="1" x14ac:dyDescent="0.2">
      <c r="E275" s="229"/>
      <c r="F275" s="229"/>
      <c r="G275" s="229"/>
      <c r="H275" s="86"/>
      <c r="L275" s="86"/>
      <c r="M275" s="86"/>
      <c r="V275" s="231"/>
      <c r="W275" s="231"/>
      <c r="X275" s="231"/>
      <c r="Y275" s="231"/>
      <c r="AC275" s="86"/>
      <c r="AD275" s="86"/>
    </row>
    <row r="276" spans="5:30" ht="11.25" customHeight="1" x14ac:dyDescent="0.2">
      <c r="E276" s="229"/>
      <c r="F276" s="229"/>
      <c r="G276" s="229"/>
      <c r="H276" s="86"/>
      <c r="L276" s="86"/>
      <c r="M276" s="86"/>
      <c r="V276" s="231"/>
      <c r="W276" s="231"/>
      <c r="X276" s="231"/>
      <c r="Y276" s="231"/>
      <c r="AC276" s="86"/>
      <c r="AD276" s="86"/>
    </row>
    <row r="277" spans="5:30" ht="11.25" customHeight="1" x14ac:dyDescent="0.2">
      <c r="E277" s="229"/>
      <c r="F277" s="229"/>
      <c r="G277" s="229"/>
      <c r="H277" s="86"/>
      <c r="L277" s="86"/>
      <c r="M277" s="86"/>
      <c r="V277" s="231"/>
      <c r="W277" s="231"/>
      <c r="X277" s="231"/>
      <c r="Y277" s="231"/>
      <c r="AC277" s="86"/>
      <c r="AD277" s="86"/>
    </row>
    <row r="278" spans="5:30" ht="11.25" customHeight="1" x14ac:dyDescent="0.2">
      <c r="E278" s="229"/>
      <c r="F278" s="229"/>
      <c r="G278" s="229"/>
      <c r="H278" s="86"/>
      <c r="L278" s="86"/>
      <c r="M278" s="86"/>
      <c r="V278" s="231"/>
      <c r="W278" s="231"/>
      <c r="X278" s="231"/>
      <c r="Y278" s="231"/>
      <c r="AC278" s="86"/>
      <c r="AD278" s="86"/>
    </row>
    <row r="279" spans="5:30" ht="11.25" customHeight="1" x14ac:dyDescent="0.2">
      <c r="E279" s="229"/>
      <c r="F279" s="229"/>
      <c r="G279" s="229"/>
      <c r="H279" s="86"/>
      <c r="L279" s="86"/>
      <c r="M279" s="86"/>
      <c r="V279" s="231"/>
      <c r="W279" s="231"/>
      <c r="X279" s="231"/>
      <c r="Y279" s="231"/>
      <c r="AC279" s="86"/>
      <c r="AD279" s="86"/>
    </row>
    <row r="280" spans="5:30" ht="11.25" customHeight="1" x14ac:dyDescent="0.2">
      <c r="E280" s="229"/>
      <c r="F280" s="229"/>
      <c r="G280" s="229"/>
      <c r="H280" s="86"/>
      <c r="L280" s="86"/>
      <c r="M280" s="86"/>
      <c r="V280" s="231"/>
      <c r="W280" s="231"/>
      <c r="X280" s="231"/>
      <c r="Y280" s="231"/>
      <c r="AC280" s="86"/>
      <c r="AD280" s="86"/>
    </row>
    <row r="281" spans="5:30" ht="11.25" customHeight="1" x14ac:dyDescent="0.2">
      <c r="E281" s="229"/>
      <c r="F281" s="229"/>
      <c r="G281" s="229"/>
      <c r="H281" s="86"/>
      <c r="L281" s="86"/>
      <c r="M281" s="86"/>
      <c r="V281" s="231"/>
      <c r="W281" s="231"/>
      <c r="X281" s="231"/>
      <c r="Y281" s="231"/>
      <c r="AC281" s="86"/>
      <c r="AD281" s="86"/>
    </row>
    <row r="282" spans="5:30" ht="11.25" customHeight="1" x14ac:dyDescent="0.2">
      <c r="E282" s="229"/>
      <c r="F282" s="229"/>
      <c r="G282" s="229"/>
      <c r="H282" s="86"/>
      <c r="L282" s="86"/>
      <c r="M282" s="86"/>
      <c r="V282" s="231"/>
      <c r="W282" s="231"/>
      <c r="X282" s="231"/>
      <c r="Y282" s="231"/>
      <c r="AC282" s="86"/>
      <c r="AD282" s="86"/>
    </row>
    <row r="283" spans="5:30" ht="11.25" customHeight="1" x14ac:dyDescent="0.2">
      <c r="E283" s="229"/>
      <c r="F283" s="229"/>
      <c r="G283" s="229"/>
      <c r="H283" s="86"/>
      <c r="L283" s="86"/>
      <c r="M283" s="86"/>
      <c r="V283" s="231"/>
      <c r="W283" s="231"/>
      <c r="X283" s="231"/>
      <c r="Y283" s="231"/>
      <c r="AC283" s="86"/>
      <c r="AD283" s="86"/>
    </row>
    <row r="284" spans="5:30" ht="11.25" customHeight="1" x14ac:dyDescent="0.2">
      <c r="E284" s="229"/>
      <c r="F284" s="229"/>
      <c r="G284" s="229"/>
      <c r="H284" s="86"/>
      <c r="L284" s="86"/>
      <c r="M284" s="86"/>
      <c r="V284" s="231"/>
      <c r="W284" s="231"/>
      <c r="X284" s="231"/>
      <c r="Y284" s="231"/>
      <c r="AC284" s="86"/>
      <c r="AD284" s="86"/>
    </row>
    <row r="285" spans="5:30" ht="11.25" customHeight="1" x14ac:dyDescent="0.2">
      <c r="E285" s="229"/>
      <c r="F285" s="229"/>
      <c r="G285" s="229"/>
      <c r="H285" s="86"/>
      <c r="L285" s="86"/>
      <c r="M285" s="86"/>
      <c r="V285" s="231"/>
      <c r="W285" s="231"/>
      <c r="X285" s="231"/>
      <c r="Y285" s="231"/>
      <c r="AC285" s="86"/>
      <c r="AD285" s="86"/>
    </row>
    <row r="286" spans="5:30" ht="11.25" customHeight="1" x14ac:dyDescent="0.2">
      <c r="E286" s="229"/>
      <c r="F286" s="229"/>
      <c r="G286" s="229"/>
      <c r="H286" s="86"/>
      <c r="L286" s="86"/>
      <c r="M286" s="86"/>
      <c r="V286" s="231"/>
      <c r="W286" s="231"/>
      <c r="X286" s="231"/>
      <c r="Y286" s="231"/>
      <c r="AC286" s="86"/>
      <c r="AD286" s="86"/>
    </row>
    <row r="287" spans="5:30" ht="11.25" customHeight="1" x14ac:dyDescent="0.2">
      <c r="E287" s="229"/>
      <c r="F287" s="229"/>
      <c r="G287" s="229"/>
      <c r="H287" s="86"/>
      <c r="L287" s="86"/>
      <c r="M287" s="86"/>
      <c r="V287" s="231"/>
      <c r="W287" s="231"/>
      <c r="X287" s="231"/>
      <c r="Y287" s="231"/>
      <c r="AC287" s="86"/>
      <c r="AD287" s="86"/>
    </row>
    <row r="288" spans="5:30" ht="11.25" customHeight="1" x14ac:dyDescent="0.2">
      <c r="E288" s="229"/>
      <c r="F288" s="229"/>
      <c r="G288" s="229"/>
      <c r="H288" s="86"/>
      <c r="L288" s="86"/>
      <c r="M288" s="86"/>
      <c r="V288" s="231"/>
      <c r="W288" s="231"/>
      <c r="X288" s="231"/>
      <c r="Y288" s="231"/>
      <c r="AC288" s="86"/>
      <c r="AD288" s="86"/>
    </row>
    <row r="289" spans="5:30" ht="11.25" customHeight="1" x14ac:dyDescent="0.2">
      <c r="E289" s="229"/>
      <c r="F289" s="229"/>
      <c r="G289" s="229"/>
      <c r="H289" s="86"/>
      <c r="L289" s="86"/>
      <c r="M289" s="86"/>
      <c r="V289" s="231"/>
      <c r="W289" s="231"/>
      <c r="X289" s="231"/>
      <c r="Y289" s="231"/>
      <c r="AC289" s="86"/>
      <c r="AD289" s="86"/>
    </row>
    <row r="290" spans="5:30" ht="11.25" customHeight="1" x14ac:dyDescent="0.2">
      <c r="E290" s="229"/>
      <c r="F290" s="229"/>
      <c r="G290" s="229"/>
      <c r="H290" s="86"/>
      <c r="L290" s="86"/>
      <c r="M290" s="86"/>
      <c r="V290" s="231"/>
      <c r="W290" s="231"/>
      <c r="X290" s="231"/>
      <c r="Y290" s="231"/>
      <c r="AC290" s="86"/>
      <c r="AD290" s="86"/>
    </row>
    <row r="291" spans="5:30" ht="11.25" customHeight="1" x14ac:dyDescent="0.2">
      <c r="E291" s="229"/>
      <c r="F291" s="229"/>
      <c r="G291" s="229"/>
      <c r="H291" s="86"/>
      <c r="L291" s="86"/>
      <c r="M291" s="86"/>
      <c r="V291" s="231"/>
      <c r="W291" s="231"/>
      <c r="X291" s="231"/>
      <c r="Y291" s="231"/>
      <c r="AC291" s="86"/>
      <c r="AD291" s="86"/>
    </row>
    <row r="292" spans="5:30" ht="11.25" customHeight="1" x14ac:dyDescent="0.2">
      <c r="E292" s="229"/>
      <c r="F292" s="229"/>
      <c r="G292" s="229"/>
      <c r="H292" s="86"/>
      <c r="L292" s="86"/>
      <c r="M292" s="86"/>
      <c r="V292" s="231"/>
      <c r="W292" s="231"/>
      <c r="X292" s="231"/>
      <c r="Y292" s="231"/>
      <c r="AC292" s="86"/>
      <c r="AD292" s="86"/>
    </row>
    <row r="293" spans="5:30" ht="11.25" customHeight="1" x14ac:dyDescent="0.2">
      <c r="E293" s="229"/>
      <c r="F293" s="229"/>
      <c r="G293" s="229"/>
      <c r="H293" s="86"/>
      <c r="L293" s="86"/>
      <c r="M293" s="86"/>
      <c r="V293" s="231"/>
      <c r="W293" s="231"/>
      <c r="X293" s="231"/>
      <c r="Y293" s="231"/>
      <c r="AC293" s="86"/>
      <c r="AD293" s="86"/>
    </row>
    <row r="294" spans="5:30" ht="11.25" customHeight="1" x14ac:dyDescent="0.2">
      <c r="E294" s="229"/>
      <c r="F294" s="229"/>
      <c r="G294" s="229"/>
      <c r="H294" s="86"/>
      <c r="L294" s="86"/>
      <c r="M294" s="86"/>
      <c r="V294" s="231"/>
      <c r="W294" s="231"/>
      <c r="X294" s="231"/>
      <c r="Y294" s="231"/>
      <c r="AC294" s="86"/>
      <c r="AD294" s="86"/>
    </row>
    <row r="295" spans="5:30" ht="11.25" customHeight="1" x14ac:dyDescent="0.2">
      <c r="E295" s="229"/>
      <c r="F295" s="229"/>
      <c r="G295" s="229"/>
      <c r="H295" s="86"/>
      <c r="L295" s="86"/>
      <c r="M295" s="86"/>
      <c r="V295" s="231"/>
      <c r="W295" s="231"/>
      <c r="X295" s="231"/>
      <c r="Y295" s="231"/>
      <c r="AC295" s="86"/>
      <c r="AD295" s="86"/>
    </row>
    <row r="296" spans="5:30" ht="11.25" customHeight="1" x14ac:dyDescent="0.2">
      <c r="E296" s="229"/>
      <c r="F296" s="229"/>
      <c r="G296" s="229"/>
      <c r="H296" s="86"/>
      <c r="L296" s="86"/>
      <c r="M296" s="86"/>
      <c r="V296" s="231"/>
      <c r="W296" s="231"/>
      <c r="X296" s="231"/>
      <c r="Y296" s="231"/>
      <c r="AC296" s="86"/>
      <c r="AD296" s="86"/>
    </row>
    <row r="297" spans="5:30" ht="11.25" customHeight="1" x14ac:dyDescent="0.2">
      <c r="E297" s="229"/>
      <c r="F297" s="229"/>
      <c r="G297" s="229"/>
      <c r="H297" s="86"/>
      <c r="L297" s="86"/>
      <c r="M297" s="86"/>
      <c r="V297" s="231"/>
      <c r="W297" s="231"/>
      <c r="X297" s="231"/>
      <c r="Y297" s="231"/>
      <c r="AC297" s="86"/>
      <c r="AD297" s="86"/>
    </row>
    <row r="298" spans="5:30" ht="11.25" customHeight="1" x14ac:dyDescent="0.2">
      <c r="E298" s="229"/>
      <c r="F298" s="229"/>
      <c r="G298" s="229"/>
      <c r="H298" s="86"/>
      <c r="L298" s="86"/>
      <c r="M298" s="86"/>
      <c r="V298" s="231"/>
      <c r="W298" s="231"/>
      <c r="X298" s="231"/>
      <c r="Y298" s="231"/>
      <c r="AC298" s="86"/>
      <c r="AD298" s="86"/>
    </row>
    <row r="299" spans="5:30" ht="11.25" customHeight="1" x14ac:dyDescent="0.2">
      <c r="E299" s="229"/>
      <c r="F299" s="229"/>
      <c r="G299" s="229"/>
      <c r="H299" s="86"/>
      <c r="L299" s="86"/>
      <c r="M299" s="86"/>
      <c r="V299" s="231"/>
      <c r="W299" s="231"/>
      <c r="X299" s="231"/>
      <c r="Y299" s="231"/>
      <c r="AC299" s="86"/>
      <c r="AD299" s="86"/>
    </row>
    <row r="300" spans="5:30" ht="11.25" customHeight="1" x14ac:dyDescent="0.2">
      <c r="E300" s="229"/>
      <c r="F300" s="229"/>
      <c r="G300" s="229"/>
      <c r="H300" s="86"/>
      <c r="L300" s="86"/>
      <c r="M300" s="86"/>
      <c r="V300" s="231"/>
      <c r="W300" s="231"/>
      <c r="X300" s="231"/>
      <c r="Y300" s="231"/>
      <c r="AC300" s="86"/>
      <c r="AD300" s="86"/>
    </row>
    <row r="301" spans="5:30" ht="11.25" customHeight="1" x14ac:dyDescent="0.2">
      <c r="E301" s="229"/>
      <c r="F301" s="229"/>
      <c r="G301" s="229"/>
      <c r="H301" s="86"/>
      <c r="L301" s="86"/>
      <c r="M301" s="86"/>
      <c r="V301" s="231"/>
      <c r="W301" s="231"/>
      <c r="X301" s="231"/>
      <c r="Y301" s="231"/>
      <c r="AC301" s="86"/>
      <c r="AD301" s="86"/>
    </row>
    <row r="302" spans="5:30" ht="11.25" customHeight="1" x14ac:dyDescent="0.2">
      <c r="E302" s="229"/>
      <c r="F302" s="229"/>
      <c r="G302" s="229"/>
      <c r="H302" s="86"/>
      <c r="L302" s="86"/>
      <c r="M302" s="86"/>
      <c r="V302" s="231"/>
      <c r="W302" s="231"/>
      <c r="X302" s="231"/>
      <c r="Y302" s="231"/>
      <c r="AC302" s="86"/>
      <c r="AD302" s="86"/>
    </row>
    <row r="303" spans="5:30" ht="11.25" customHeight="1" x14ac:dyDescent="0.2">
      <c r="E303" s="229"/>
      <c r="F303" s="229"/>
      <c r="G303" s="229"/>
      <c r="H303" s="86"/>
      <c r="L303" s="86"/>
      <c r="M303" s="86"/>
      <c r="V303" s="231"/>
      <c r="W303" s="231"/>
      <c r="X303" s="231"/>
      <c r="Y303" s="231"/>
      <c r="AC303" s="86"/>
      <c r="AD303" s="86"/>
    </row>
    <row r="304" spans="5:30" ht="11.25" customHeight="1" x14ac:dyDescent="0.2">
      <c r="E304" s="229"/>
      <c r="F304" s="229"/>
      <c r="G304" s="229"/>
      <c r="H304" s="86"/>
      <c r="L304" s="86"/>
      <c r="M304" s="86"/>
      <c r="V304" s="231"/>
      <c r="W304" s="231"/>
      <c r="X304" s="231"/>
      <c r="Y304" s="231"/>
      <c r="AC304" s="86"/>
      <c r="AD304" s="86"/>
    </row>
    <row r="305" spans="5:30" ht="11.25" customHeight="1" x14ac:dyDescent="0.2">
      <c r="E305" s="229"/>
      <c r="F305" s="229"/>
      <c r="G305" s="229"/>
      <c r="H305" s="86"/>
      <c r="L305" s="86"/>
      <c r="M305" s="86"/>
      <c r="V305" s="231"/>
      <c r="W305" s="231"/>
      <c r="X305" s="231"/>
      <c r="Y305" s="231"/>
      <c r="AC305" s="86"/>
      <c r="AD305" s="86"/>
    </row>
    <row r="306" spans="5:30" ht="11.25" customHeight="1" x14ac:dyDescent="0.2">
      <c r="E306" s="229"/>
      <c r="F306" s="229"/>
      <c r="G306" s="229"/>
      <c r="H306" s="86"/>
      <c r="L306" s="86"/>
      <c r="M306" s="86"/>
      <c r="V306" s="231"/>
      <c r="W306" s="231"/>
      <c r="X306" s="231"/>
      <c r="Y306" s="231"/>
      <c r="AC306" s="86"/>
      <c r="AD306" s="86"/>
    </row>
    <row r="307" spans="5:30" ht="11.25" customHeight="1" x14ac:dyDescent="0.2">
      <c r="E307" s="229"/>
      <c r="F307" s="229"/>
      <c r="G307" s="229"/>
      <c r="H307" s="86"/>
      <c r="L307" s="86"/>
      <c r="M307" s="86"/>
      <c r="V307" s="231"/>
      <c r="W307" s="231"/>
      <c r="X307" s="231"/>
      <c r="Y307" s="231"/>
      <c r="AC307" s="86"/>
      <c r="AD307" s="86"/>
    </row>
    <row r="308" spans="5:30" ht="11.25" customHeight="1" x14ac:dyDescent="0.2">
      <c r="E308" s="229"/>
      <c r="F308" s="229"/>
      <c r="G308" s="229"/>
      <c r="H308" s="86"/>
      <c r="L308" s="86"/>
      <c r="M308" s="86"/>
      <c r="V308" s="231"/>
      <c r="W308" s="231"/>
      <c r="X308" s="231"/>
      <c r="Y308" s="231"/>
      <c r="AC308" s="86"/>
      <c r="AD308" s="86"/>
    </row>
    <row r="309" spans="5:30" ht="11.25" customHeight="1" x14ac:dyDescent="0.2">
      <c r="E309" s="229"/>
      <c r="F309" s="229"/>
      <c r="G309" s="229"/>
      <c r="H309" s="86"/>
      <c r="L309" s="86"/>
      <c r="M309" s="86"/>
      <c r="V309" s="231"/>
      <c r="W309" s="231"/>
      <c r="X309" s="231"/>
      <c r="Y309" s="231"/>
      <c r="AC309" s="86"/>
      <c r="AD309" s="86"/>
    </row>
    <row r="310" spans="5:30" ht="11.25" customHeight="1" x14ac:dyDescent="0.2">
      <c r="E310" s="229"/>
      <c r="F310" s="229"/>
      <c r="G310" s="229"/>
      <c r="H310" s="86"/>
      <c r="L310" s="86"/>
      <c r="M310" s="86"/>
      <c r="V310" s="231"/>
      <c r="W310" s="231"/>
      <c r="X310" s="231"/>
      <c r="Y310" s="231"/>
      <c r="AC310" s="86"/>
      <c r="AD310" s="86"/>
    </row>
    <row r="311" spans="5:30" ht="11.25" customHeight="1" x14ac:dyDescent="0.2">
      <c r="E311" s="229"/>
      <c r="F311" s="229"/>
      <c r="G311" s="229"/>
      <c r="H311" s="86"/>
      <c r="L311" s="86"/>
      <c r="M311" s="86"/>
      <c r="V311" s="231"/>
      <c r="W311" s="231"/>
      <c r="X311" s="231"/>
      <c r="Y311" s="231"/>
      <c r="AC311" s="86"/>
      <c r="AD311" s="86"/>
    </row>
    <row r="312" spans="5:30" ht="11.25" customHeight="1" x14ac:dyDescent="0.2">
      <c r="E312" s="229"/>
      <c r="F312" s="229"/>
      <c r="G312" s="229"/>
      <c r="H312" s="86"/>
      <c r="L312" s="86"/>
      <c r="M312" s="86"/>
      <c r="V312" s="231"/>
      <c r="W312" s="231"/>
      <c r="X312" s="231"/>
      <c r="Y312" s="231"/>
      <c r="AC312" s="86"/>
      <c r="AD312" s="86"/>
    </row>
    <row r="313" spans="5:30" ht="11.25" customHeight="1" x14ac:dyDescent="0.2">
      <c r="E313" s="229"/>
      <c r="F313" s="229"/>
      <c r="G313" s="229"/>
      <c r="H313" s="86"/>
      <c r="L313" s="86"/>
      <c r="M313" s="86"/>
      <c r="V313" s="231"/>
      <c r="W313" s="231"/>
      <c r="X313" s="231"/>
      <c r="Y313" s="231"/>
      <c r="AC313" s="86"/>
      <c r="AD313" s="86"/>
    </row>
    <row r="314" spans="5:30" ht="11.25" customHeight="1" x14ac:dyDescent="0.2">
      <c r="E314" s="229"/>
      <c r="F314" s="229"/>
      <c r="G314" s="229"/>
      <c r="H314" s="86"/>
      <c r="L314" s="86"/>
      <c r="M314" s="86"/>
      <c r="V314" s="231"/>
      <c r="W314" s="231"/>
      <c r="X314" s="231"/>
      <c r="Y314" s="231"/>
      <c r="AC314" s="86"/>
      <c r="AD314" s="86"/>
    </row>
    <row r="315" spans="5:30" ht="11.25" customHeight="1" x14ac:dyDescent="0.2">
      <c r="E315" s="229"/>
      <c r="F315" s="229"/>
      <c r="G315" s="229"/>
      <c r="H315" s="86"/>
      <c r="L315" s="86"/>
      <c r="M315" s="86"/>
      <c r="V315" s="231"/>
      <c r="W315" s="231"/>
      <c r="X315" s="231"/>
      <c r="Y315" s="231"/>
      <c r="AC315" s="86"/>
      <c r="AD315" s="86"/>
    </row>
    <row r="316" spans="5:30" ht="11.25" customHeight="1" x14ac:dyDescent="0.2">
      <c r="E316" s="229"/>
      <c r="F316" s="229"/>
      <c r="G316" s="229"/>
      <c r="H316" s="86"/>
      <c r="L316" s="86"/>
      <c r="M316" s="86"/>
      <c r="V316" s="231"/>
      <c r="W316" s="231"/>
      <c r="X316" s="231"/>
      <c r="Y316" s="231"/>
      <c r="AC316" s="86"/>
      <c r="AD316" s="86"/>
    </row>
    <row r="317" spans="5:30" ht="11.25" customHeight="1" x14ac:dyDescent="0.2">
      <c r="E317" s="229"/>
      <c r="F317" s="229"/>
      <c r="G317" s="229"/>
      <c r="H317" s="86"/>
      <c r="L317" s="86"/>
      <c r="M317" s="86"/>
      <c r="V317" s="231"/>
      <c r="W317" s="231"/>
      <c r="X317" s="231"/>
      <c r="Y317" s="231"/>
      <c r="AC317" s="86"/>
      <c r="AD317" s="86"/>
    </row>
    <row r="318" spans="5:30" ht="11.25" customHeight="1" x14ac:dyDescent="0.2">
      <c r="E318" s="229"/>
      <c r="F318" s="229"/>
      <c r="G318" s="229"/>
      <c r="H318" s="86"/>
      <c r="L318" s="86"/>
      <c r="M318" s="86"/>
      <c r="V318" s="231"/>
      <c r="W318" s="231"/>
      <c r="X318" s="231"/>
      <c r="Y318" s="231"/>
      <c r="AC318" s="86"/>
      <c r="AD318" s="86"/>
    </row>
    <row r="319" spans="5:30" ht="11.25" customHeight="1" x14ac:dyDescent="0.2">
      <c r="E319" s="229"/>
      <c r="F319" s="229"/>
      <c r="G319" s="229"/>
      <c r="H319" s="86"/>
      <c r="L319" s="86"/>
      <c r="M319" s="86"/>
      <c r="V319" s="231"/>
      <c r="W319" s="231"/>
      <c r="X319" s="231"/>
      <c r="Y319" s="231"/>
      <c r="AC319" s="86"/>
      <c r="AD319" s="86"/>
    </row>
    <row r="320" spans="5:30" ht="11.25" customHeight="1" x14ac:dyDescent="0.2">
      <c r="E320" s="229"/>
      <c r="F320" s="229"/>
      <c r="G320" s="229"/>
      <c r="H320" s="86"/>
      <c r="L320" s="86"/>
      <c r="M320" s="86"/>
      <c r="V320" s="231"/>
      <c r="W320" s="231"/>
      <c r="X320" s="231"/>
      <c r="Y320" s="231"/>
      <c r="AC320" s="86"/>
      <c r="AD320" s="86"/>
    </row>
    <row r="321" spans="5:30" ht="11.25" customHeight="1" x14ac:dyDescent="0.2">
      <c r="E321" s="229"/>
      <c r="F321" s="229"/>
      <c r="G321" s="229"/>
      <c r="H321" s="86"/>
      <c r="L321" s="86"/>
      <c r="M321" s="86"/>
      <c r="V321" s="231"/>
      <c r="W321" s="231"/>
      <c r="X321" s="231"/>
      <c r="Y321" s="231"/>
      <c r="AC321" s="86"/>
      <c r="AD321" s="86"/>
    </row>
    <row r="322" spans="5:30" ht="11.25" customHeight="1" x14ac:dyDescent="0.2">
      <c r="E322" s="229"/>
      <c r="F322" s="229"/>
      <c r="G322" s="229"/>
      <c r="H322" s="86"/>
      <c r="L322" s="86"/>
      <c r="M322" s="86"/>
      <c r="V322" s="231"/>
      <c r="W322" s="231"/>
      <c r="X322" s="231"/>
      <c r="Y322" s="231"/>
      <c r="AC322" s="86"/>
      <c r="AD322" s="86"/>
    </row>
    <row r="323" spans="5:30" ht="11.25" customHeight="1" x14ac:dyDescent="0.2">
      <c r="E323" s="229"/>
      <c r="F323" s="229"/>
      <c r="G323" s="229"/>
      <c r="H323" s="86"/>
      <c r="L323" s="86"/>
      <c r="M323" s="86"/>
      <c r="V323" s="231"/>
      <c r="W323" s="231"/>
      <c r="X323" s="231"/>
      <c r="Y323" s="231"/>
      <c r="AC323" s="86"/>
      <c r="AD323" s="86"/>
    </row>
    <row r="324" spans="5:30" ht="11.25" customHeight="1" x14ac:dyDescent="0.2">
      <c r="E324" s="229"/>
      <c r="F324" s="229"/>
      <c r="G324" s="229"/>
      <c r="H324" s="86"/>
      <c r="L324" s="86"/>
      <c r="M324" s="86"/>
      <c r="V324" s="231"/>
      <c r="W324" s="231"/>
      <c r="X324" s="231"/>
      <c r="Y324" s="231"/>
      <c r="AC324" s="86"/>
      <c r="AD324" s="86"/>
    </row>
    <row r="325" spans="5:30" ht="11.25" customHeight="1" x14ac:dyDescent="0.2">
      <c r="E325" s="229"/>
      <c r="F325" s="229"/>
      <c r="G325" s="229"/>
      <c r="H325" s="86"/>
      <c r="L325" s="86"/>
      <c r="M325" s="86"/>
      <c r="V325" s="231"/>
      <c r="W325" s="231"/>
      <c r="X325" s="231"/>
      <c r="Y325" s="231"/>
      <c r="AC325" s="86"/>
      <c r="AD325" s="86"/>
    </row>
    <row r="326" spans="5:30" ht="11.25" customHeight="1" x14ac:dyDescent="0.2">
      <c r="E326" s="229"/>
      <c r="F326" s="229"/>
      <c r="G326" s="229"/>
      <c r="H326" s="86"/>
      <c r="L326" s="86"/>
      <c r="M326" s="86"/>
      <c r="V326" s="231"/>
      <c r="W326" s="231"/>
      <c r="X326" s="231"/>
      <c r="Y326" s="231"/>
      <c r="AC326" s="86"/>
      <c r="AD326" s="86"/>
    </row>
    <row r="327" spans="5:30" ht="11.25" customHeight="1" x14ac:dyDescent="0.2">
      <c r="E327" s="229"/>
      <c r="F327" s="229"/>
      <c r="G327" s="229"/>
      <c r="H327" s="86"/>
      <c r="L327" s="86"/>
      <c r="M327" s="86"/>
      <c r="V327" s="231"/>
      <c r="W327" s="231"/>
      <c r="X327" s="231"/>
      <c r="Y327" s="231"/>
      <c r="AC327" s="86"/>
      <c r="AD327" s="86"/>
    </row>
    <row r="328" spans="5:30" ht="11.25" customHeight="1" x14ac:dyDescent="0.2">
      <c r="E328" s="229"/>
      <c r="F328" s="229"/>
      <c r="G328" s="229"/>
      <c r="H328" s="86"/>
      <c r="L328" s="86"/>
      <c r="M328" s="86"/>
      <c r="V328" s="231"/>
      <c r="W328" s="231"/>
      <c r="X328" s="231"/>
      <c r="Y328" s="231"/>
      <c r="AC328" s="86"/>
      <c r="AD328" s="86"/>
    </row>
    <row r="329" spans="5:30" ht="11.25" customHeight="1" x14ac:dyDescent="0.2">
      <c r="E329" s="229"/>
      <c r="F329" s="229"/>
      <c r="G329" s="229"/>
      <c r="H329" s="86"/>
      <c r="L329" s="86"/>
      <c r="M329" s="86"/>
      <c r="V329" s="231"/>
      <c r="W329" s="231"/>
      <c r="X329" s="231"/>
      <c r="Y329" s="231"/>
      <c r="AC329" s="86"/>
      <c r="AD329" s="86"/>
    </row>
    <row r="330" spans="5:30" ht="11.25" customHeight="1" x14ac:dyDescent="0.2">
      <c r="E330" s="229"/>
      <c r="F330" s="229"/>
      <c r="G330" s="229"/>
      <c r="H330" s="86"/>
      <c r="L330" s="86"/>
      <c r="M330" s="86"/>
      <c r="V330" s="231"/>
      <c r="W330" s="231"/>
      <c r="X330" s="231"/>
      <c r="Y330" s="231"/>
      <c r="AC330" s="86"/>
      <c r="AD330" s="86"/>
    </row>
    <row r="331" spans="5:30" ht="11.25" customHeight="1" x14ac:dyDescent="0.2">
      <c r="E331" s="229"/>
      <c r="F331" s="229"/>
      <c r="G331" s="229"/>
      <c r="H331" s="86"/>
      <c r="L331" s="86"/>
      <c r="M331" s="86"/>
      <c r="V331" s="231"/>
      <c r="W331" s="231"/>
      <c r="X331" s="231"/>
      <c r="Y331" s="231"/>
      <c r="AC331" s="86"/>
      <c r="AD331" s="86"/>
    </row>
    <row r="332" spans="5:30" ht="11.25" customHeight="1" x14ac:dyDescent="0.2">
      <c r="E332" s="229"/>
      <c r="F332" s="229"/>
      <c r="G332" s="229"/>
      <c r="H332" s="86"/>
      <c r="L332" s="86"/>
      <c r="M332" s="86"/>
      <c r="V332" s="231"/>
      <c r="W332" s="231"/>
      <c r="X332" s="231"/>
      <c r="Y332" s="231"/>
      <c r="AC332" s="86"/>
      <c r="AD332" s="86"/>
    </row>
    <row r="333" spans="5:30" ht="11.25" customHeight="1" x14ac:dyDescent="0.2">
      <c r="E333" s="229"/>
      <c r="F333" s="229"/>
      <c r="G333" s="229"/>
      <c r="H333" s="86"/>
      <c r="L333" s="86"/>
      <c r="M333" s="86"/>
      <c r="V333" s="231"/>
      <c r="W333" s="231"/>
      <c r="X333" s="231"/>
      <c r="Y333" s="231"/>
      <c r="AC333" s="86"/>
      <c r="AD333" s="86"/>
    </row>
    <row r="334" spans="5:30" ht="11.25" customHeight="1" x14ac:dyDescent="0.2">
      <c r="E334" s="229"/>
      <c r="F334" s="229"/>
      <c r="G334" s="229"/>
      <c r="H334" s="86"/>
      <c r="L334" s="86"/>
      <c r="M334" s="86"/>
      <c r="V334" s="231"/>
      <c r="W334" s="231"/>
      <c r="X334" s="231"/>
      <c r="Y334" s="231"/>
      <c r="AC334" s="86"/>
      <c r="AD334" s="86"/>
    </row>
    <row r="335" spans="5:30" ht="11.25" customHeight="1" x14ac:dyDescent="0.2">
      <c r="E335" s="229"/>
      <c r="F335" s="229"/>
      <c r="G335" s="229"/>
      <c r="H335" s="86"/>
      <c r="L335" s="86"/>
      <c r="M335" s="86"/>
      <c r="V335" s="231"/>
      <c r="W335" s="231"/>
      <c r="X335" s="231"/>
      <c r="Y335" s="231"/>
      <c r="AC335" s="86"/>
      <c r="AD335" s="86"/>
    </row>
    <row r="336" spans="5:30" ht="11.25" customHeight="1" x14ac:dyDescent="0.2">
      <c r="E336" s="229"/>
      <c r="F336" s="229"/>
      <c r="G336" s="229"/>
      <c r="H336" s="86"/>
      <c r="L336" s="86"/>
      <c r="M336" s="86"/>
      <c r="V336" s="231"/>
      <c r="W336" s="231"/>
      <c r="X336" s="231"/>
      <c r="Y336" s="231"/>
      <c r="AC336" s="86"/>
      <c r="AD336" s="86"/>
    </row>
    <row r="337" spans="5:30" ht="11.25" customHeight="1" x14ac:dyDescent="0.2">
      <c r="E337" s="229"/>
      <c r="F337" s="229"/>
      <c r="G337" s="229"/>
      <c r="H337" s="86"/>
      <c r="L337" s="86"/>
      <c r="M337" s="86"/>
      <c r="V337" s="231"/>
      <c r="W337" s="231"/>
      <c r="X337" s="231"/>
      <c r="Y337" s="231"/>
      <c r="AC337" s="86"/>
      <c r="AD337" s="86"/>
    </row>
    <row r="338" spans="5:30" ht="11.25" customHeight="1" x14ac:dyDescent="0.2">
      <c r="E338" s="229"/>
      <c r="F338" s="229"/>
      <c r="G338" s="229"/>
      <c r="H338" s="86"/>
      <c r="L338" s="86"/>
      <c r="M338" s="86"/>
      <c r="V338" s="231"/>
      <c r="W338" s="231"/>
      <c r="X338" s="231"/>
      <c r="Y338" s="231"/>
      <c r="AC338" s="86"/>
      <c r="AD338" s="86"/>
    </row>
    <row r="339" spans="5:30" ht="11.25" customHeight="1" x14ac:dyDescent="0.2">
      <c r="E339" s="229"/>
      <c r="F339" s="229"/>
      <c r="G339" s="229"/>
      <c r="H339" s="86"/>
      <c r="L339" s="86"/>
      <c r="M339" s="86"/>
      <c r="V339" s="231"/>
      <c r="W339" s="231"/>
      <c r="X339" s="231"/>
      <c r="Y339" s="231"/>
      <c r="AC339" s="86"/>
      <c r="AD339" s="86"/>
    </row>
    <row r="340" spans="5:30" ht="11.25" customHeight="1" x14ac:dyDescent="0.2">
      <c r="E340" s="229"/>
      <c r="F340" s="229"/>
      <c r="G340" s="229"/>
      <c r="H340" s="86"/>
      <c r="L340" s="86"/>
      <c r="M340" s="86"/>
      <c r="V340" s="231"/>
      <c r="W340" s="231"/>
      <c r="X340" s="231"/>
      <c r="Y340" s="231"/>
      <c r="AC340" s="86"/>
      <c r="AD340" s="86"/>
    </row>
    <row r="341" spans="5:30" ht="11.25" customHeight="1" x14ac:dyDescent="0.2">
      <c r="E341" s="229"/>
      <c r="F341" s="229"/>
      <c r="G341" s="229"/>
      <c r="H341" s="86"/>
      <c r="L341" s="86"/>
      <c r="M341" s="86"/>
      <c r="V341" s="231"/>
      <c r="W341" s="231"/>
      <c r="X341" s="231"/>
      <c r="Y341" s="231"/>
      <c r="AC341" s="86"/>
      <c r="AD341" s="86"/>
    </row>
    <row r="342" spans="5:30" ht="11.25" customHeight="1" x14ac:dyDescent="0.2">
      <c r="E342" s="229"/>
      <c r="F342" s="229"/>
      <c r="G342" s="229"/>
      <c r="H342" s="86"/>
      <c r="L342" s="86"/>
      <c r="M342" s="86"/>
      <c r="V342" s="231"/>
      <c r="W342" s="231"/>
      <c r="X342" s="231"/>
      <c r="Y342" s="231"/>
      <c r="AC342" s="86"/>
      <c r="AD342" s="86"/>
    </row>
    <row r="343" spans="5:30" ht="11.25" customHeight="1" x14ac:dyDescent="0.2">
      <c r="E343" s="229"/>
      <c r="F343" s="229"/>
      <c r="G343" s="229"/>
      <c r="H343" s="86"/>
      <c r="L343" s="86"/>
      <c r="M343" s="86"/>
      <c r="V343" s="231"/>
      <c r="W343" s="231"/>
      <c r="X343" s="231"/>
      <c r="Y343" s="231"/>
      <c r="AC343" s="86"/>
      <c r="AD343" s="86"/>
    </row>
    <row r="344" spans="5:30" ht="11.25" customHeight="1" x14ac:dyDescent="0.2">
      <c r="E344" s="229"/>
      <c r="F344" s="229"/>
      <c r="G344" s="229"/>
      <c r="H344" s="86"/>
      <c r="L344" s="86"/>
      <c r="M344" s="86"/>
      <c r="V344" s="231"/>
      <c r="W344" s="231"/>
      <c r="X344" s="231"/>
      <c r="Y344" s="231"/>
      <c r="AC344" s="86"/>
      <c r="AD344" s="86"/>
    </row>
    <row r="345" spans="5:30" ht="11.25" customHeight="1" x14ac:dyDescent="0.2">
      <c r="E345" s="229"/>
      <c r="F345" s="229"/>
      <c r="G345" s="229"/>
      <c r="H345" s="86"/>
      <c r="L345" s="86"/>
      <c r="M345" s="86"/>
      <c r="V345" s="231"/>
      <c r="W345" s="231"/>
      <c r="X345" s="231"/>
      <c r="Y345" s="231"/>
      <c r="AC345" s="86"/>
      <c r="AD345" s="86"/>
    </row>
    <row r="346" spans="5:30" ht="11.25" customHeight="1" x14ac:dyDescent="0.2">
      <c r="E346" s="229"/>
      <c r="F346" s="229"/>
      <c r="G346" s="229"/>
      <c r="H346" s="86"/>
      <c r="L346" s="86"/>
      <c r="M346" s="86"/>
      <c r="V346" s="231"/>
      <c r="W346" s="231"/>
      <c r="X346" s="231"/>
      <c r="Y346" s="231"/>
      <c r="AC346" s="86"/>
      <c r="AD346" s="86"/>
    </row>
    <row r="347" spans="5:30" ht="11.25" customHeight="1" x14ac:dyDescent="0.2">
      <c r="E347" s="229"/>
      <c r="F347" s="229"/>
      <c r="G347" s="229"/>
      <c r="H347" s="86"/>
      <c r="L347" s="86"/>
      <c r="M347" s="86"/>
      <c r="V347" s="231"/>
      <c r="W347" s="231"/>
      <c r="X347" s="231"/>
      <c r="Y347" s="231"/>
      <c r="AC347" s="86"/>
      <c r="AD347" s="86"/>
    </row>
    <row r="348" spans="5:30" ht="11.25" customHeight="1" x14ac:dyDescent="0.2">
      <c r="E348" s="229"/>
      <c r="F348" s="229"/>
      <c r="G348" s="229"/>
      <c r="H348" s="86"/>
      <c r="L348" s="86"/>
      <c r="M348" s="86"/>
      <c r="V348" s="231"/>
      <c r="W348" s="231"/>
      <c r="X348" s="231"/>
      <c r="Y348" s="231"/>
      <c r="AC348" s="86"/>
      <c r="AD348" s="86"/>
    </row>
    <row r="349" spans="5:30" ht="11.25" customHeight="1" x14ac:dyDescent="0.2">
      <c r="E349" s="229"/>
      <c r="F349" s="229"/>
      <c r="G349" s="229"/>
      <c r="H349" s="86"/>
      <c r="L349" s="86"/>
      <c r="M349" s="86"/>
      <c r="V349" s="231"/>
      <c r="W349" s="231"/>
      <c r="X349" s="231"/>
      <c r="Y349" s="231"/>
      <c r="AC349" s="86"/>
      <c r="AD349" s="86"/>
    </row>
    <row r="350" spans="5:30" ht="11.25" customHeight="1" x14ac:dyDescent="0.2">
      <c r="E350" s="229"/>
      <c r="F350" s="229"/>
      <c r="G350" s="229"/>
      <c r="H350" s="86"/>
      <c r="L350" s="86"/>
      <c r="M350" s="86"/>
      <c r="V350" s="231"/>
      <c r="W350" s="231"/>
      <c r="X350" s="231"/>
      <c r="Y350" s="231"/>
      <c r="AC350" s="86"/>
      <c r="AD350" s="86"/>
    </row>
    <row r="351" spans="5:30" ht="11.25" customHeight="1" x14ac:dyDescent="0.2">
      <c r="E351" s="229"/>
      <c r="F351" s="229"/>
      <c r="G351" s="229"/>
      <c r="H351" s="86"/>
      <c r="L351" s="86"/>
      <c r="M351" s="86"/>
      <c r="V351" s="231"/>
      <c r="W351" s="231"/>
      <c r="X351" s="231"/>
      <c r="Y351" s="231"/>
      <c r="AC351" s="86"/>
      <c r="AD351" s="86"/>
    </row>
    <row r="352" spans="5:30" ht="11.25" customHeight="1" x14ac:dyDescent="0.2">
      <c r="E352" s="229"/>
      <c r="F352" s="229"/>
      <c r="G352" s="229"/>
      <c r="H352" s="86"/>
      <c r="L352" s="86"/>
      <c r="M352" s="86"/>
      <c r="V352" s="231"/>
      <c r="W352" s="231"/>
      <c r="X352" s="231"/>
      <c r="Y352" s="231"/>
      <c r="AC352" s="86"/>
      <c r="AD352" s="86"/>
    </row>
    <row r="353" spans="5:30" ht="11.25" customHeight="1" x14ac:dyDescent="0.2">
      <c r="E353" s="229"/>
      <c r="F353" s="229"/>
      <c r="G353" s="229"/>
      <c r="H353" s="86"/>
      <c r="L353" s="86"/>
      <c r="M353" s="86"/>
      <c r="V353" s="231"/>
      <c r="W353" s="231"/>
      <c r="X353" s="231"/>
      <c r="Y353" s="231"/>
      <c r="AC353" s="86"/>
      <c r="AD353" s="86"/>
    </row>
    <row r="354" spans="5:30" ht="11.25" customHeight="1" x14ac:dyDescent="0.2">
      <c r="E354" s="229"/>
      <c r="F354" s="229"/>
      <c r="G354" s="229"/>
      <c r="H354" s="86"/>
      <c r="L354" s="86"/>
      <c r="M354" s="86"/>
      <c r="V354" s="231"/>
      <c r="W354" s="231"/>
      <c r="X354" s="231"/>
      <c r="Y354" s="231"/>
      <c r="AC354" s="86"/>
      <c r="AD354" s="86"/>
    </row>
    <row r="355" spans="5:30" ht="11.25" customHeight="1" x14ac:dyDescent="0.2">
      <c r="E355" s="229"/>
      <c r="F355" s="229"/>
      <c r="G355" s="229"/>
      <c r="H355" s="86"/>
      <c r="L355" s="86"/>
      <c r="M355" s="86"/>
      <c r="V355" s="231"/>
      <c r="W355" s="231"/>
      <c r="X355" s="231"/>
      <c r="Y355" s="231"/>
      <c r="AC355" s="86"/>
      <c r="AD355" s="86"/>
    </row>
    <row r="356" spans="5:30" ht="11.25" customHeight="1" x14ac:dyDescent="0.2">
      <c r="E356" s="229"/>
      <c r="F356" s="229"/>
      <c r="G356" s="229"/>
      <c r="H356" s="86"/>
      <c r="L356" s="86"/>
      <c r="M356" s="86"/>
      <c r="V356" s="231"/>
      <c r="W356" s="231"/>
      <c r="X356" s="231"/>
      <c r="Y356" s="231"/>
      <c r="AC356" s="86"/>
      <c r="AD356" s="86"/>
    </row>
    <row r="357" spans="5:30" ht="11.25" customHeight="1" x14ac:dyDescent="0.2">
      <c r="E357" s="229"/>
      <c r="F357" s="229"/>
      <c r="G357" s="229"/>
      <c r="H357" s="86"/>
      <c r="L357" s="86"/>
      <c r="M357" s="86"/>
      <c r="V357" s="231"/>
      <c r="W357" s="231"/>
      <c r="X357" s="231"/>
      <c r="Y357" s="231"/>
      <c r="AC357" s="86"/>
      <c r="AD357" s="86"/>
    </row>
    <row r="358" spans="5:30" ht="11.25" customHeight="1" x14ac:dyDescent="0.2">
      <c r="E358" s="229"/>
      <c r="F358" s="229"/>
      <c r="G358" s="229"/>
      <c r="H358" s="86"/>
      <c r="L358" s="86"/>
      <c r="M358" s="86"/>
      <c r="V358" s="231"/>
      <c r="W358" s="231"/>
      <c r="X358" s="231"/>
      <c r="Y358" s="231"/>
      <c r="AC358" s="86"/>
      <c r="AD358" s="86"/>
    </row>
    <row r="359" spans="5:30" ht="11.25" customHeight="1" x14ac:dyDescent="0.2">
      <c r="E359" s="229"/>
      <c r="F359" s="229"/>
      <c r="G359" s="229"/>
      <c r="H359" s="86"/>
      <c r="L359" s="86"/>
      <c r="M359" s="86"/>
      <c r="V359" s="231"/>
      <c r="W359" s="231"/>
      <c r="X359" s="231"/>
      <c r="Y359" s="231"/>
      <c r="AC359" s="86"/>
      <c r="AD359" s="86"/>
    </row>
    <row r="360" spans="5:30" ht="11.25" customHeight="1" x14ac:dyDescent="0.2">
      <c r="E360" s="229"/>
      <c r="F360" s="229"/>
      <c r="G360" s="229"/>
      <c r="H360" s="86"/>
      <c r="L360" s="86"/>
      <c r="M360" s="86"/>
      <c r="V360" s="231"/>
      <c r="W360" s="231"/>
      <c r="X360" s="231"/>
      <c r="Y360" s="231"/>
      <c r="AC360" s="86"/>
      <c r="AD360" s="86"/>
    </row>
    <row r="361" spans="5:30" ht="11.25" customHeight="1" x14ac:dyDescent="0.2">
      <c r="E361" s="229"/>
      <c r="F361" s="229"/>
      <c r="G361" s="229"/>
      <c r="H361" s="86"/>
      <c r="L361" s="86"/>
      <c r="M361" s="86"/>
      <c r="V361" s="231"/>
      <c r="W361" s="231"/>
      <c r="X361" s="231"/>
      <c r="Y361" s="231"/>
      <c r="AC361" s="86"/>
      <c r="AD361" s="86"/>
    </row>
    <row r="362" spans="5:30" ht="11.25" customHeight="1" x14ac:dyDescent="0.2">
      <c r="E362" s="229"/>
      <c r="F362" s="229"/>
      <c r="G362" s="229"/>
      <c r="H362" s="86"/>
      <c r="L362" s="86"/>
      <c r="M362" s="86"/>
      <c r="V362" s="231"/>
      <c r="W362" s="231"/>
      <c r="X362" s="231"/>
      <c r="Y362" s="231"/>
      <c r="AC362" s="86"/>
      <c r="AD362" s="86"/>
    </row>
    <row r="363" spans="5:30" ht="11.25" customHeight="1" x14ac:dyDescent="0.2">
      <c r="E363" s="229"/>
      <c r="F363" s="229"/>
      <c r="G363" s="229"/>
      <c r="H363" s="86"/>
      <c r="L363" s="86"/>
      <c r="M363" s="86"/>
      <c r="V363" s="231"/>
      <c r="W363" s="231"/>
      <c r="X363" s="231"/>
      <c r="Y363" s="231"/>
      <c r="AC363" s="86"/>
      <c r="AD363" s="86"/>
    </row>
    <row r="364" spans="5:30" ht="11.25" customHeight="1" x14ac:dyDescent="0.2">
      <c r="E364" s="229"/>
      <c r="F364" s="229"/>
      <c r="G364" s="229"/>
      <c r="H364" s="86"/>
      <c r="L364" s="86"/>
      <c r="M364" s="86"/>
      <c r="V364" s="231"/>
      <c r="W364" s="231"/>
      <c r="X364" s="231"/>
      <c r="Y364" s="231"/>
      <c r="AC364" s="86"/>
      <c r="AD364" s="86"/>
    </row>
    <row r="365" spans="5:30" ht="11.25" customHeight="1" x14ac:dyDescent="0.2">
      <c r="E365" s="229"/>
      <c r="F365" s="229"/>
      <c r="G365" s="229"/>
      <c r="H365" s="86"/>
      <c r="L365" s="86"/>
      <c r="M365" s="86"/>
      <c r="V365" s="231"/>
      <c r="W365" s="231"/>
      <c r="X365" s="231"/>
      <c r="Y365" s="231"/>
      <c r="AC365" s="86"/>
      <c r="AD365" s="86"/>
    </row>
    <row r="366" spans="5:30" ht="11.25" customHeight="1" x14ac:dyDescent="0.2">
      <c r="E366" s="229"/>
      <c r="F366" s="229"/>
      <c r="G366" s="229"/>
      <c r="H366" s="86"/>
      <c r="L366" s="86"/>
      <c r="M366" s="86"/>
      <c r="V366" s="231"/>
      <c r="W366" s="231"/>
      <c r="X366" s="231"/>
      <c r="Y366" s="231"/>
      <c r="AC366" s="86"/>
      <c r="AD366" s="86"/>
    </row>
    <row r="367" spans="5:30" ht="11.25" customHeight="1" x14ac:dyDescent="0.2">
      <c r="E367" s="229"/>
      <c r="F367" s="229"/>
      <c r="G367" s="229"/>
      <c r="H367" s="86"/>
      <c r="L367" s="86"/>
      <c r="M367" s="86"/>
      <c r="V367" s="231"/>
      <c r="W367" s="231"/>
      <c r="X367" s="231"/>
      <c r="Y367" s="231"/>
      <c r="AC367" s="86"/>
      <c r="AD367" s="86"/>
    </row>
    <row r="368" spans="5:30" ht="11.25" customHeight="1" x14ac:dyDescent="0.2">
      <c r="E368" s="229"/>
      <c r="F368" s="229"/>
      <c r="G368" s="229"/>
      <c r="H368" s="86"/>
      <c r="L368" s="86"/>
      <c r="M368" s="86"/>
      <c r="V368" s="231"/>
      <c r="W368" s="231"/>
      <c r="X368" s="231"/>
      <c r="Y368" s="231"/>
      <c r="AC368" s="86"/>
      <c r="AD368" s="86"/>
    </row>
    <row r="369" spans="5:30" ht="11.25" customHeight="1" x14ac:dyDescent="0.2">
      <c r="E369" s="229"/>
      <c r="F369" s="229"/>
      <c r="G369" s="229"/>
      <c r="H369" s="86"/>
      <c r="L369" s="86"/>
      <c r="M369" s="86"/>
      <c r="V369" s="231"/>
      <c r="W369" s="231"/>
      <c r="X369" s="231"/>
      <c r="Y369" s="231"/>
      <c r="AC369" s="86"/>
      <c r="AD369" s="86"/>
    </row>
    <row r="370" spans="5:30" ht="11.25" customHeight="1" x14ac:dyDescent="0.2">
      <c r="E370" s="229"/>
      <c r="F370" s="229"/>
      <c r="G370" s="229"/>
      <c r="H370" s="86"/>
      <c r="L370" s="86"/>
      <c r="M370" s="86"/>
      <c r="V370" s="231"/>
      <c r="W370" s="231"/>
      <c r="X370" s="231"/>
      <c r="Y370" s="231"/>
      <c r="AC370" s="86"/>
      <c r="AD370" s="86"/>
    </row>
    <row r="371" spans="5:30" ht="11.25" customHeight="1" x14ac:dyDescent="0.2">
      <c r="E371" s="229"/>
      <c r="F371" s="229"/>
      <c r="G371" s="229"/>
      <c r="H371" s="86"/>
      <c r="L371" s="86"/>
      <c r="M371" s="86"/>
      <c r="V371" s="231"/>
      <c r="W371" s="231"/>
      <c r="X371" s="231"/>
      <c r="Y371" s="231"/>
      <c r="AC371" s="86"/>
      <c r="AD371" s="86"/>
    </row>
    <row r="372" spans="5:30" ht="11.25" customHeight="1" x14ac:dyDescent="0.2">
      <c r="E372" s="229"/>
      <c r="F372" s="229"/>
      <c r="G372" s="229"/>
      <c r="H372" s="86"/>
      <c r="L372" s="86"/>
      <c r="M372" s="86"/>
      <c r="V372" s="231"/>
      <c r="W372" s="231"/>
      <c r="X372" s="231"/>
      <c r="Y372" s="231"/>
      <c r="AC372" s="86"/>
      <c r="AD372" s="86"/>
    </row>
    <row r="373" spans="5:30" ht="11.25" customHeight="1" x14ac:dyDescent="0.2">
      <c r="E373" s="229"/>
      <c r="F373" s="229"/>
      <c r="G373" s="229"/>
      <c r="H373" s="86"/>
      <c r="L373" s="86"/>
      <c r="M373" s="86"/>
      <c r="V373" s="231"/>
      <c r="W373" s="231"/>
      <c r="X373" s="231"/>
      <c r="Y373" s="231"/>
      <c r="AC373" s="86"/>
      <c r="AD373" s="86"/>
    </row>
    <row r="374" spans="5:30" ht="11.25" customHeight="1" x14ac:dyDescent="0.2">
      <c r="E374" s="229"/>
      <c r="F374" s="229"/>
      <c r="G374" s="229"/>
      <c r="H374" s="86"/>
      <c r="L374" s="86"/>
      <c r="M374" s="86"/>
      <c r="V374" s="231"/>
      <c r="W374" s="231"/>
      <c r="X374" s="231"/>
      <c r="Y374" s="231"/>
      <c r="AC374" s="86"/>
      <c r="AD374" s="86"/>
    </row>
    <row r="375" spans="5:30" ht="11.25" customHeight="1" x14ac:dyDescent="0.2">
      <c r="E375" s="229"/>
      <c r="F375" s="229"/>
      <c r="G375" s="229"/>
      <c r="H375" s="86"/>
      <c r="L375" s="86"/>
      <c r="M375" s="86"/>
      <c r="V375" s="231"/>
      <c r="W375" s="231"/>
      <c r="X375" s="231"/>
      <c r="Y375" s="231"/>
      <c r="AC375" s="86"/>
      <c r="AD375" s="86"/>
    </row>
    <row r="376" spans="5:30" ht="11.25" customHeight="1" x14ac:dyDescent="0.2">
      <c r="E376" s="229"/>
      <c r="F376" s="229"/>
      <c r="G376" s="229"/>
      <c r="H376" s="86"/>
      <c r="L376" s="86"/>
      <c r="M376" s="86"/>
      <c r="V376" s="231"/>
      <c r="W376" s="231"/>
      <c r="X376" s="231"/>
      <c r="Y376" s="231"/>
      <c r="AC376" s="86"/>
      <c r="AD376" s="86"/>
    </row>
    <row r="377" spans="5:30" ht="11.25" customHeight="1" x14ac:dyDescent="0.2">
      <c r="E377" s="229"/>
      <c r="F377" s="229"/>
      <c r="G377" s="229"/>
      <c r="H377" s="86"/>
      <c r="L377" s="86"/>
      <c r="M377" s="86"/>
      <c r="V377" s="231"/>
      <c r="W377" s="231"/>
      <c r="X377" s="231"/>
      <c r="Y377" s="231"/>
      <c r="AC377" s="86"/>
      <c r="AD377" s="86"/>
    </row>
    <row r="378" spans="5:30" ht="11.25" customHeight="1" x14ac:dyDescent="0.2">
      <c r="E378" s="229"/>
      <c r="F378" s="229"/>
      <c r="G378" s="229"/>
      <c r="H378" s="86"/>
      <c r="L378" s="86"/>
      <c r="M378" s="86"/>
      <c r="V378" s="231"/>
      <c r="W378" s="231"/>
      <c r="X378" s="231"/>
      <c r="Y378" s="231"/>
      <c r="AC378" s="86"/>
      <c r="AD378" s="86"/>
    </row>
    <row r="379" spans="5:30" ht="11.25" customHeight="1" x14ac:dyDescent="0.2">
      <c r="E379" s="229"/>
      <c r="F379" s="229"/>
      <c r="G379" s="229"/>
      <c r="H379" s="86"/>
      <c r="L379" s="86"/>
      <c r="M379" s="86"/>
      <c r="V379" s="231"/>
      <c r="W379" s="231"/>
      <c r="X379" s="231"/>
      <c r="Y379" s="231"/>
      <c r="AC379" s="86"/>
      <c r="AD379" s="86"/>
    </row>
    <row r="380" spans="5:30" ht="11.25" customHeight="1" x14ac:dyDescent="0.2">
      <c r="E380" s="229"/>
      <c r="F380" s="229"/>
      <c r="G380" s="229"/>
      <c r="H380" s="86"/>
      <c r="L380" s="86"/>
      <c r="M380" s="86"/>
      <c r="V380" s="231"/>
      <c r="W380" s="231"/>
      <c r="X380" s="231"/>
      <c r="Y380" s="231"/>
      <c r="AC380" s="86"/>
      <c r="AD380" s="86"/>
    </row>
    <row r="381" spans="5:30" ht="11.25" customHeight="1" x14ac:dyDescent="0.2">
      <c r="E381" s="229"/>
      <c r="F381" s="229"/>
      <c r="G381" s="229"/>
      <c r="H381" s="86"/>
      <c r="L381" s="86"/>
      <c r="M381" s="86"/>
      <c r="V381" s="231"/>
      <c r="W381" s="231"/>
      <c r="X381" s="231"/>
      <c r="Y381" s="231"/>
      <c r="AC381" s="86"/>
      <c r="AD381" s="86"/>
    </row>
    <row r="382" spans="5:30" ht="11.25" customHeight="1" x14ac:dyDescent="0.2">
      <c r="E382" s="229"/>
      <c r="F382" s="229"/>
      <c r="G382" s="229"/>
      <c r="H382" s="86"/>
      <c r="L382" s="86"/>
      <c r="M382" s="86"/>
      <c r="V382" s="231"/>
      <c r="W382" s="231"/>
      <c r="X382" s="231"/>
      <c r="Y382" s="231"/>
      <c r="AC382" s="86"/>
      <c r="AD382" s="86"/>
    </row>
    <row r="383" spans="5:30" ht="11.25" customHeight="1" x14ac:dyDescent="0.2">
      <c r="E383" s="229"/>
      <c r="F383" s="229"/>
      <c r="G383" s="229"/>
      <c r="H383" s="86"/>
      <c r="L383" s="86"/>
      <c r="M383" s="86"/>
      <c r="V383" s="231"/>
      <c r="W383" s="231"/>
      <c r="X383" s="231"/>
      <c r="Y383" s="231"/>
      <c r="AC383" s="86"/>
      <c r="AD383" s="86"/>
    </row>
    <row r="384" spans="5:30" ht="11.25" customHeight="1" x14ac:dyDescent="0.2">
      <c r="E384" s="229"/>
      <c r="F384" s="229"/>
      <c r="G384" s="229"/>
      <c r="H384" s="86"/>
      <c r="L384" s="86"/>
      <c r="M384" s="86"/>
      <c r="V384" s="231"/>
      <c r="W384" s="231"/>
      <c r="X384" s="231"/>
      <c r="Y384" s="231"/>
      <c r="AC384" s="86"/>
      <c r="AD384" s="86"/>
    </row>
    <row r="385" spans="5:30" ht="11.25" customHeight="1" x14ac:dyDescent="0.2">
      <c r="E385" s="229"/>
      <c r="F385" s="229"/>
      <c r="G385" s="229"/>
      <c r="H385" s="86"/>
      <c r="L385" s="86"/>
      <c r="M385" s="86"/>
      <c r="V385" s="231"/>
      <c r="W385" s="231"/>
      <c r="X385" s="231"/>
      <c r="Y385" s="231"/>
      <c r="AC385" s="86"/>
      <c r="AD385" s="86"/>
    </row>
    <row r="386" spans="5:30" ht="11.25" customHeight="1" x14ac:dyDescent="0.2">
      <c r="E386" s="229"/>
      <c r="F386" s="229"/>
      <c r="G386" s="229"/>
      <c r="H386" s="86"/>
      <c r="L386" s="86"/>
      <c r="M386" s="86"/>
      <c r="V386" s="231"/>
      <c r="W386" s="231"/>
      <c r="X386" s="231"/>
      <c r="Y386" s="231"/>
      <c r="AC386" s="86"/>
      <c r="AD386" s="86"/>
    </row>
    <row r="387" spans="5:30" ht="11.25" customHeight="1" x14ac:dyDescent="0.2">
      <c r="E387" s="229"/>
      <c r="F387" s="229"/>
      <c r="G387" s="229"/>
      <c r="H387" s="86"/>
      <c r="L387" s="86"/>
      <c r="M387" s="86"/>
      <c r="V387" s="231"/>
      <c r="W387" s="231"/>
      <c r="X387" s="231"/>
      <c r="Y387" s="231"/>
      <c r="AC387" s="86"/>
      <c r="AD387" s="86"/>
    </row>
    <row r="388" spans="5:30" ht="11.25" customHeight="1" x14ac:dyDescent="0.2">
      <c r="E388" s="229"/>
      <c r="F388" s="229"/>
      <c r="G388" s="229"/>
      <c r="H388" s="86"/>
      <c r="L388" s="86"/>
      <c r="M388" s="86"/>
      <c r="V388" s="231"/>
      <c r="W388" s="231"/>
      <c r="X388" s="231"/>
      <c r="Y388" s="231"/>
      <c r="AC388" s="86"/>
      <c r="AD388" s="86"/>
    </row>
    <row r="389" spans="5:30" ht="11.25" customHeight="1" x14ac:dyDescent="0.2">
      <c r="E389" s="229"/>
      <c r="F389" s="229"/>
      <c r="G389" s="229"/>
      <c r="H389" s="86"/>
      <c r="L389" s="86"/>
      <c r="M389" s="86"/>
      <c r="V389" s="231"/>
      <c r="W389" s="231"/>
      <c r="X389" s="231"/>
      <c r="Y389" s="231"/>
      <c r="AC389" s="86"/>
      <c r="AD389" s="86"/>
    </row>
    <row r="390" spans="5:30" ht="11.25" customHeight="1" x14ac:dyDescent="0.2">
      <c r="E390" s="229"/>
      <c r="F390" s="229"/>
      <c r="G390" s="229"/>
      <c r="H390" s="86"/>
      <c r="L390" s="86"/>
      <c r="M390" s="86"/>
      <c r="V390" s="231"/>
      <c r="W390" s="231"/>
      <c r="X390" s="231"/>
      <c r="Y390" s="231"/>
      <c r="AC390" s="86"/>
      <c r="AD390" s="86"/>
    </row>
    <row r="391" spans="5:30" ht="11.25" customHeight="1" x14ac:dyDescent="0.2">
      <c r="E391" s="229"/>
      <c r="F391" s="229"/>
      <c r="G391" s="229"/>
      <c r="H391" s="86"/>
      <c r="L391" s="86"/>
      <c r="M391" s="86"/>
      <c r="V391" s="231"/>
      <c r="W391" s="231"/>
      <c r="X391" s="231"/>
      <c r="Y391" s="231"/>
      <c r="AC391" s="86"/>
      <c r="AD391" s="86"/>
    </row>
    <row r="392" spans="5:30" ht="11.25" customHeight="1" x14ac:dyDescent="0.2">
      <c r="E392" s="229"/>
      <c r="F392" s="229"/>
      <c r="G392" s="229"/>
      <c r="H392" s="86"/>
      <c r="L392" s="86"/>
      <c r="M392" s="86"/>
      <c r="V392" s="231"/>
      <c r="W392" s="231"/>
      <c r="X392" s="231"/>
      <c r="Y392" s="231"/>
      <c r="AC392" s="86"/>
      <c r="AD392" s="86"/>
    </row>
    <row r="393" spans="5:30" ht="11.25" customHeight="1" x14ac:dyDescent="0.2">
      <c r="E393" s="229"/>
      <c r="F393" s="229"/>
      <c r="G393" s="229"/>
      <c r="H393" s="86"/>
      <c r="L393" s="86"/>
      <c r="M393" s="86"/>
      <c r="V393" s="231"/>
      <c r="W393" s="231"/>
      <c r="X393" s="231"/>
      <c r="Y393" s="231"/>
      <c r="AC393" s="86"/>
      <c r="AD393" s="86"/>
    </row>
    <row r="394" spans="5:30" ht="11.25" customHeight="1" x14ac:dyDescent="0.2">
      <c r="E394" s="229"/>
      <c r="F394" s="229"/>
      <c r="G394" s="229"/>
      <c r="H394" s="86"/>
      <c r="L394" s="86"/>
      <c r="M394" s="86"/>
      <c r="V394" s="231"/>
      <c r="W394" s="231"/>
      <c r="X394" s="231"/>
      <c r="Y394" s="231"/>
      <c r="AC394" s="86"/>
      <c r="AD394" s="86"/>
    </row>
    <row r="395" spans="5:30" ht="11.25" customHeight="1" x14ac:dyDescent="0.2">
      <c r="E395" s="229"/>
      <c r="F395" s="229"/>
      <c r="G395" s="229"/>
      <c r="H395" s="86"/>
      <c r="L395" s="86"/>
      <c r="M395" s="86"/>
      <c r="V395" s="231"/>
      <c r="W395" s="231"/>
      <c r="X395" s="231"/>
      <c r="Y395" s="231"/>
      <c r="AC395" s="86"/>
      <c r="AD395" s="86"/>
    </row>
    <row r="396" spans="5:30" ht="11.25" customHeight="1" x14ac:dyDescent="0.2">
      <c r="E396" s="229"/>
      <c r="F396" s="229"/>
      <c r="G396" s="229"/>
      <c r="H396" s="86"/>
      <c r="L396" s="86"/>
      <c r="M396" s="86"/>
      <c r="V396" s="231"/>
      <c r="W396" s="231"/>
      <c r="X396" s="231"/>
      <c r="Y396" s="231"/>
      <c r="AC396" s="86"/>
      <c r="AD396" s="86"/>
    </row>
    <row r="397" spans="5:30" ht="11.25" customHeight="1" x14ac:dyDescent="0.2">
      <c r="E397" s="229"/>
      <c r="F397" s="229"/>
      <c r="G397" s="229"/>
      <c r="H397" s="86"/>
      <c r="L397" s="86"/>
      <c r="M397" s="86"/>
      <c r="V397" s="231"/>
      <c r="W397" s="231"/>
      <c r="X397" s="231"/>
      <c r="Y397" s="231"/>
      <c r="AC397" s="86"/>
      <c r="AD397" s="86"/>
    </row>
    <row r="398" spans="5:30" ht="11.25" customHeight="1" x14ac:dyDescent="0.2">
      <c r="E398" s="229"/>
      <c r="F398" s="229"/>
      <c r="G398" s="229"/>
      <c r="H398" s="86"/>
      <c r="L398" s="86"/>
      <c r="M398" s="86"/>
      <c r="V398" s="231"/>
      <c r="W398" s="231"/>
      <c r="X398" s="231"/>
      <c r="Y398" s="231"/>
      <c r="AC398" s="86"/>
      <c r="AD398" s="86"/>
    </row>
    <row r="399" spans="5:30" ht="11.25" customHeight="1" x14ac:dyDescent="0.2">
      <c r="E399" s="229"/>
      <c r="F399" s="229"/>
      <c r="G399" s="229"/>
      <c r="H399" s="86"/>
      <c r="L399" s="86"/>
      <c r="M399" s="86"/>
      <c r="V399" s="231"/>
      <c r="W399" s="231"/>
      <c r="X399" s="231"/>
      <c r="Y399" s="231"/>
      <c r="AC399" s="86"/>
      <c r="AD399" s="86"/>
    </row>
    <row r="400" spans="5:30" ht="11.25" customHeight="1" x14ac:dyDescent="0.2">
      <c r="E400" s="229"/>
      <c r="F400" s="229"/>
      <c r="G400" s="229"/>
      <c r="H400" s="86"/>
      <c r="L400" s="86"/>
      <c r="M400" s="86"/>
      <c r="V400" s="231"/>
      <c r="W400" s="231"/>
      <c r="X400" s="231"/>
      <c r="Y400" s="231"/>
      <c r="AC400" s="86"/>
      <c r="AD400" s="86"/>
    </row>
    <row r="401" spans="5:30" ht="11.25" customHeight="1" x14ac:dyDescent="0.2">
      <c r="E401" s="229"/>
      <c r="F401" s="229"/>
      <c r="G401" s="229"/>
      <c r="H401" s="86"/>
      <c r="L401" s="86"/>
      <c r="M401" s="86"/>
      <c r="V401" s="231"/>
      <c r="W401" s="231"/>
      <c r="X401" s="231"/>
      <c r="Y401" s="231"/>
      <c r="AC401" s="86"/>
      <c r="AD401" s="86"/>
    </row>
    <row r="402" spans="5:30" ht="11.25" customHeight="1" x14ac:dyDescent="0.2">
      <c r="E402" s="229"/>
      <c r="F402" s="229"/>
      <c r="G402" s="229"/>
      <c r="H402" s="86"/>
      <c r="L402" s="86"/>
      <c r="M402" s="86"/>
      <c r="V402" s="231"/>
      <c r="W402" s="231"/>
      <c r="X402" s="231"/>
      <c r="Y402" s="231"/>
      <c r="AC402" s="86"/>
      <c r="AD402" s="86"/>
    </row>
    <row r="403" spans="5:30" ht="11.25" customHeight="1" x14ac:dyDescent="0.2">
      <c r="E403" s="229"/>
      <c r="F403" s="229"/>
      <c r="G403" s="229"/>
      <c r="H403" s="86"/>
      <c r="L403" s="86"/>
      <c r="M403" s="86"/>
      <c r="V403" s="231"/>
      <c r="W403" s="231"/>
      <c r="X403" s="231"/>
      <c r="Y403" s="231"/>
      <c r="AC403" s="86"/>
      <c r="AD403" s="86"/>
    </row>
    <row r="404" spans="5:30" ht="11.25" customHeight="1" x14ac:dyDescent="0.2">
      <c r="E404" s="229"/>
      <c r="F404" s="229"/>
      <c r="G404" s="229"/>
      <c r="H404" s="86"/>
      <c r="L404" s="86"/>
      <c r="M404" s="86"/>
      <c r="V404" s="231"/>
      <c r="W404" s="231"/>
      <c r="X404" s="231"/>
      <c r="Y404" s="231"/>
      <c r="AC404" s="86"/>
      <c r="AD404" s="86"/>
    </row>
    <row r="405" spans="5:30" ht="11.25" customHeight="1" x14ac:dyDescent="0.2">
      <c r="E405" s="229"/>
      <c r="F405" s="229"/>
      <c r="G405" s="229"/>
      <c r="H405" s="86"/>
      <c r="L405" s="86"/>
      <c r="M405" s="86"/>
      <c r="V405" s="231"/>
      <c r="W405" s="231"/>
      <c r="X405" s="231"/>
      <c r="Y405" s="231"/>
      <c r="AC405" s="86"/>
      <c r="AD405" s="86"/>
    </row>
    <row r="406" spans="5:30" ht="11.25" customHeight="1" x14ac:dyDescent="0.2">
      <c r="E406" s="229"/>
      <c r="F406" s="229"/>
      <c r="G406" s="229"/>
      <c r="H406" s="86"/>
      <c r="L406" s="86"/>
      <c r="M406" s="86"/>
      <c r="V406" s="231"/>
      <c r="W406" s="231"/>
      <c r="X406" s="231"/>
      <c r="Y406" s="231"/>
      <c r="AC406" s="86"/>
      <c r="AD406" s="86"/>
    </row>
    <row r="407" spans="5:30" ht="11.25" customHeight="1" x14ac:dyDescent="0.2">
      <c r="E407" s="229"/>
      <c r="F407" s="229"/>
      <c r="G407" s="229"/>
      <c r="H407" s="86"/>
      <c r="L407" s="86"/>
      <c r="M407" s="86"/>
      <c r="V407" s="231"/>
      <c r="W407" s="231"/>
      <c r="X407" s="231"/>
      <c r="Y407" s="231"/>
      <c r="AC407" s="86"/>
      <c r="AD407" s="86"/>
    </row>
    <row r="408" spans="5:30" ht="11.25" customHeight="1" x14ac:dyDescent="0.2">
      <c r="E408" s="229"/>
      <c r="F408" s="229"/>
      <c r="G408" s="229"/>
      <c r="H408" s="86"/>
      <c r="L408" s="86"/>
      <c r="M408" s="86"/>
      <c r="V408" s="231"/>
      <c r="W408" s="231"/>
      <c r="X408" s="231"/>
      <c r="Y408" s="231"/>
      <c r="AC408" s="86"/>
      <c r="AD408" s="86"/>
    </row>
    <row r="409" spans="5:30" ht="11.25" customHeight="1" x14ac:dyDescent="0.2">
      <c r="E409" s="229"/>
      <c r="F409" s="229"/>
      <c r="G409" s="229"/>
      <c r="H409" s="86"/>
      <c r="L409" s="86"/>
      <c r="M409" s="86"/>
      <c r="V409" s="231"/>
      <c r="W409" s="231"/>
      <c r="X409" s="231"/>
      <c r="Y409" s="231"/>
      <c r="AC409" s="86"/>
      <c r="AD409" s="86"/>
    </row>
    <row r="410" spans="5:30" ht="11.25" customHeight="1" x14ac:dyDescent="0.2">
      <c r="E410" s="229"/>
      <c r="F410" s="229"/>
      <c r="G410" s="229"/>
      <c r="H410" s="86"/>
      <c r="L410" s="86"/>
      <c r="M410" s="86"/>
      <c r="V410" s="231"/>
      <c r="W410" s="231"/>
      <c r="X410" s="231"/>
      <c r="Y410" s="231"/>
      <c r="AC410" s="86"/>
      <c r="AD410" s="86"/>
    </row>
    <row r="411" spans="5:30" ht="11.25" customHeight="1" x14ac:dyDescent="0.2">
      <c r="E411" s="229"/>
      <c r="F411" s="229"/>
      <c r="G411" s="229"/>
      <c r="H411" s="86"/>
      <c r="L411" s="86"/>
      <c r="M411" s="86"/>
      <c r="V411" s="231"/>
      <c r="W411" s="231"/>
      <c r="X411" s="231"/>
      <c r="Y411" s="231"/>
      <c r="AC411" s="86"/>
      <c r="AD411" s="86"/>
    </row>
    <row r="412" spans="5:30" ht="11.25" customHeight="1" x14ac:dyDescent="0.2">
      <c r="E412" s="229"/>
      <c r="F412" s="229"/>
      <c r="G412" s="229"/>
      <c r="H412" s="86"/>
      <c r="L412" s="86"/>
      <c r="M412" s="86"/>
      <c r="V412" s="231"/>
      <c r="W412" s="231"/>
      <c r="X412" s="231"/>
      <c r="Y412" s="231"/>
      <c r="AC412" s="86"/>
      <c r="AD412" s="86"/>
    </row>
    <row r="413" spans="5:30" ht="11.25" customHeight="1" x14ac:dyDescent="0.2">
      <c r="E413" s="229"/>
      <c r="F413" s="229"/>
      <c r="G413" s="229"/>
      <c r="H413" s="86"/>
      <c r="L413" s="86"/>
      <c r="M413" s="86"/>
      <c r="V413" s="231"/>
      <c r="W413" s="231"/>
      <c r="X413" s="231"/>
      <c r="Y413" s="231"/>
      <c r="AC413" s="86"/>
      <c r="AD413" s="86"/>
    </row>
    <row r="414" spans="5:30" ht="11.25" customHeight="1" x14ac:dyDescent="0.2">
      <c r="E414" s="229"/>
      <c r="F414" s="229"/>
      <c r="G414" s="229"/>
      <c r="H414" s="86"/>
      <c r="L414" s="86"/>
      <c r="M414" s="86"/>
      <c r="V414" s="231"/>
      <c r="W414" s="231"/>
      <c r="X414" s="231"/>
      <c r="Y414" s="231"/>
      <c r="AC414" s="86"/>
      <c r="AD414" s="86"/>
    </row>
    <row r="415" spans="5:30" ht="11.25" customHeight="1" x14ac:dyDescent="0.2">
      <c r="E415" s="229"/>
      <c r="F415" s="229"/>
      <c r="G415" s="229"/>
      <c r="H415" s="86"/>
      <c r="L415" s="86"/>
      <c r="M415" s="86"/>
      <c r="V415" s="231"/>
      <c r="W415" s="231"/>
      <c r="X415" s="231"/>
      <c r="Y415" s="231"/>
      <c r="AC415" s="86"/>
      <c r="AD415" s="86"/>
    </row>
    <row r="416" spans="5:30" ht="11.25" customHeight="1" x14ac:dyDescent="0.2">
      <c r="E416" s="229"/>
      <c r="F416" s="229"/>
      <c r="G416" s="229"/>
      <c r="H416" s="86"/>
      <c r="L416" s="86"/>
      <c r="M416" s="86"/>
      <c r="V416" s="231"/>
      <c r="W416" s="231"/>
      <c r="X416" s="231"/>
      <c r="Y416" s="231"/>
      <c r="AC416" s="86"/>
      <c r="AD416" s="86"/>
    </row>
    <row r="417" spans="5:30" ht="11.25" customHeight="1" x14ac:dyDescent="0.2">
      <c r="E417" s="229"/>
      <c r="F417" s="229"/>
      <c r="G417" s="229"/>
      <c r="H417" s="86"/>
      <c r="L417" s="86"/>
      <c r="M417" s="86"/>
      <c r="V417" s="231"/>
      <c r="W417" s="231"/>
      <c r="X417" s="231"/>
      <c r="Y417" s="231"/>
      <c r="AC417" s="86"/>
      <c r="AD417" s="86"/>
    </row>
    <row r="418" spans="5:30" ht="11.25" customHeight="1" x14ac:dyDescent="0.2">
      <c r="E418" s="229"/>
      <c r="F418" s="229"/>
      <c r="G418" s="229"/>
      <c r="H418" s="86"/>
      <c r="L418" s="86"/>
      <c r="M418" s="86"/>
      <c r="V418" s="231"/>
      <c r="W418" s="231"/>
      <c r="X418" s="231"/>
      <c r="Y418" s="231"/>
      <c r="AC418" s="86"/>
      <c r="AD418" s="86"/>
    </row>
    <row r="419" spans="5:30" ht="11.25" customHeight="1" x14ac:dyDescent="0.2">
      <c r="E419" s="229"/>
      <c r="F419" s="229"/>
      <c r="G419" s="229"/>
      <c r="H419" s="86"/>
      <c r="L419" s="86"/>
      <c r="M419" s="86"/>
      <c r="V419" s="231"/>
      <c r="W419" s="231"/>
      <c r="X419" s="231"/>
      <c r="Y419" s="231"/>
      <c r="AC419" s="86"/>
      <c r="AD419" s="86"/>
    </row>
    <row r="420" spans="5:30" ht="11.25" customHeight="1" x14ac:dyDescent="0.2">
      <c r="E420" s="229"/>
      <c r="F420" s="229"/>
      <c r="G420" s="229"/>
      <c r="H420" s="86"/>
      <c r="L420" s="86"/>
      <c r="M420" s="86"/>
      <c r="V420" s="231"/>
      <c r="W420" s="231"/>
      <c r="X420" s="231"/>
      <c r="Y420" s="231"/>
      <c r="AC420" s="86"/>
      <c r="AD420" s="86"/>
    </row>
    <row r="421" spans="5:30" ht="11.25" customHeight="1" x14ac:dyDescent="0.2">
      <c r="E421" s="229"/>
      <c r="F421" s="229"/>
      <c r="G421" s="229"/>
      <c r="H421" s="86"/>
      <c r="L421" s="86"/>
      <c r="M421" s="86"/>
      <c r="V421" s="231"/>
      <c r="W421" s="231"/>
      <c r="X421" s="231"/>
      <c r="Y421" s="231"/>
      <c r="AC421" s="86"/>
      <c r="AD421" s="86"/>
    </row>
    <row r="422" spans="5:30" ht="11.25" customHeight="1" x14ac:dyDescent="0.2">
      <c r="E422" s="229"/>
      <c r="F422" s="229"/>
      <c r="G422" s="229"/>
      <c r="H422" s="86"/>
      <c r="L422" s="86"/>
      <c r="M422" s="86"/>
      <c r="V422" s="231"/>
      <c r="W422" s="231"/>
      <c r="X422" s="231"/>
      <c r="Y422" s="231"/>
      <c r="AC422" s="86"/>
      <c r="AD422" s="86"/>
    </row>
    <row r="423" spans="5:30" ht="11.25" customHeight="1" x14ac:dyDescent="0.2">
      <c r="E423" s="229"/>
      <c r="F423" s="229"/>
      <c r="G423" s="229"/>
      <c r="H423" s="86"/>
      <c r="L423" s="86"/>
      <c r="M423" s="86"/>
      <c r="V423" s="231"/>
      <c r="W423" s="231"/>
      <c r="X423" s="231"/>
      <c r="Y423" s="231"/>
      <c r="AC423" s="86"/>
      <c r="AD423" s="86"/>
    </row>
    <row r="424" spans="5:30" ht="11.25" customHeight="1" x14ac:dyDescent="0.2">
      <c r="E424" s="229"/>
      <c r="F424" s="229"/>
      <c r="G424" s="229"/>
      <c r="H424" s="86"/>
      <c r="L424" s="86"/>
      <c r="M424" s="86"/>
      <c r="V424" s="231"/>
      <c r="W424" s="231"/>
      <c r="X424" s="231"/>
      <c r="Y424" s="231"/>
      <c r="AC424" s="86"/>
      <c r="AD424" s="86"/>
    </row>
    <row r="425" spans="5:30" ht="11.25" customHeight="1" x14ac:dyDescent="0.2">
      <c r="E425" s="229"/>
      <c r="F425" s="229"/>
      <c r="G425" s="229"/>
      <c r="H425" s="86"/>
      <c r="L425" s="86"/>
      <c r="M425" s="86"/>
      <c r="V425" s="231"/>
      <c r="W425" s="231"/>
      <c r="X425" s="231"/>
      <c r="Y425" s="231"/>
      <c r="AC425" s="86"/>
      <c r="AD425" s="86"/>
    </row>
    <row r="426" spans="5:30" ht="11.25" customHeight="1" x14ac:dyDescent="0.2">
      <c r="E426" s="229"/>
      <c r="F426" s="229"/>
      <c r="G426" s="229"/>
      <c r="H426" s="86"/>
      <c r="L426" s="86"/>
      <c r="M426" s="86"/>
      <c r="V426" s="231"/>
      <c r="W426" s="231"/>
      <c r="X426" s="231"/>
      <c r="Y426" s="231"/>
      <c r="AC426" s="86"/>
      <c r="AD426" s="86"/>
    </row>
    <row r="427" spans="5:30" ht="11.25" customHeight="1" x14ac:dyDescent="0.2">
      <c r="E427" s="229"/>
      <c r="F427" s="229"/>
      <c r="G427" s="229"/>
      <c r="H427" s="86"/>
      <c r="L427" s="86"/>
      <c r="M427" s="86"/>
      <c r="V427" s="231"/>
      <c r="W427" s="231"/>
      <c r="X427" s="231"/>
      <c r="Y427" s="231"/>
      <c r="AC427" s="86"/>
      <c r="AD427" s="86"/>
    </row>
    <row r="428" spans="5:30" ht="11.25" customHeight="1" x14ac:dyDescent="0.2">
      <c r="E428" s="229"/>
      <c r="F428" s="229"/>
      <c r="G428" s="229"/>
      <c r="H428" s="86"/>
      <c r="L428" s="86"/>
      <c r="M428" s="86"/>
      <c r="V428" s="231"/>
      <c r="W428" s="231"/>
      <c r="X428" s="231"/>
      <c r="Y428" s="231"/>
      <c r="AC428" s="86"/>
      <c r="AD428" s="86"/>
    </row>
    <row r="429" spans="5:30" ht="11.25" customHeight="1" x14ac:dyDescent="0.2">
      <c r="E429" s="229"/>
      <c r="F429" s="229"/>
      <c r="G429" s="229"/>
      <c r="H429" s="86"/>
      <c r="L429" s="86"/>
      <c r="M429" s="86"/>
      <c r="V429" s="231"/>
      <c r="W429" s="231"/>
      <c r="X429" s="231"/>
      <c r="Y429" s="231"/>
      <c r="AC429" s="86"/>
      <c r="AD429" s="86"/>
    </row>
    <row r="430" spans="5:30" ht="11.25" customHeight="1" x14ac:dyDescent="0.2">
      <c r="E430" s="229"/>
      <c r="F430" s="229"/>
      <c r="G430" s="229"/>
      <c r="H430" s="86"/>
      <c r="L430" s="86"/>
      <c r="M430" s="86"/>
      <c r="V430" s="231"/>
      <c r="W430" s="231"/>
      <c r="X430" s="231"/>
      <c r="Y430" s="231"/>
      <c r="AC430" s="86"/>
      <c r="AD430" s="86"/>
    </row>
    <row r="431" spans="5:30" ht="11.25" customHeight="1" x14ac:dyDescent="0.2">
      <c r="E431" s="229"/>
      <c r="F431" s="229"/>
      <c r="G431" s="229"/>
      <c r="H431" s="86"/>
      <c r="L431" s="86"/>
      <c r="M431" s="86"/>
      <c r="V431" s="231"/>
      <c r="W431" s="231"/>
      <c r="X431" s="231"/>
      <c r="Y431" s="231"/>
      <c r="AC431" s="86"/>
      <c r="AD431" s="86"/>
    </row>
    <row r="432" spans="5:30" ht="11.25" customHeight="1" x14ac:dyDescent="0.2">
      <c r="E432" s="229"/>
      <c r="F432" s="229"/>
      <c r="G432" s="229"/>
      <c r="H432" s="86"/>
      <c r="L432" s="86"/>
      <c r="M432" s="86"/>
      <c r="V432" s="231"/>
      <c r="W432" s="231"/>
      <c r="X432" s="231"/>
      <c r="Y432" s="231"/>
      <c r="AC432" s="86"/>
      <c r="AD432" s="86"/>
    </row>
    <row r="433" spans="5:30" ht="11.25" customHeight="1" x14ac:dyDescent="0.2">
      <c r="E433" s="229"/>
      <c r="F433" s="229"/>
      <c r="G433" s="229"/>
      <c r="H433" s="86"/>
      <c r="L433" s="86"/>
      <c r="M433" s="86"/>
      <c r="V433" s="231"/>
      <c r="W433" s="231"/>
      <c r="X433" s="231"/>
      <c r="Y433" s="231"/>
      <c r="AC433" s="86"/>
      <c r="AD433" s="86"/>
    </row>
    <row r="434" spans="5:30" ht="11.25" customHeight="1" x14ac:dyDescent="0.2">
      <c r="E434" s="229"/>
      <c r="F434" s="229"/>
      <c r="G434" s="229"/>
      <c r="H434" s="86"/>
      <c r="L434" s="86"/>
      <c r="M434" s="86"/>
      <c r="V434" s="231"/>
      <c r="W434" s="231"/>
      <c r="X434" s="231"/>
      <c r="Y434" s="231"/>
      <c r="AC434" s="86"/>
      <c r="AD434" s="86"/>
    </row>
    <row r="435" spans="5:30" ht="11.25" customHeight="1" x14ac:dyDescent="0.2">
      <c r="E435" s="229"/>
      <c r="F435" s="229"/>
      <c r="G435" s="229"/>
      <c r="H435" s="86"/>
      <c r="L435" s="86"/>
      <c r="M435" s="86"/>
      <c r="V435" s="231"/>
      <c r="W435" s="231"/>
      <c r="X435" s="231"/>
      <c r="Y435" s="231"/>
      <c r="AC435" s="86"/>
      <c r="AD435" s="86"/>
    </row>
    <row r="436" spans="5:30" ht="11.25" customHeight="1" x14ac:dyDescent="0.2">
      <c r="E436" s="229"/>
      <c r="F436" s="229"/>
      <c r="G436" s="229"/>
      <c r="H436" s="86"/>
      <c r="L436" s="86"/>
      <c r="M436" s="86"/>
      <c r="V436" s="231"/>
      <c r="W436" s="231"/>
      <c r="X436" s="231"/>
      <c r="Y436" s="231"/>
      <c r="AC436" s="86"/>
      <c r="AD436" s="86"/>
    </row>
    <row r="437" spans="5:30" ht="11.25" customHeight="1" x14ac:dyDescent="0.2">
      <c r="E437" s="229"/>
      <c r="F437" s="229"/>
      <c r="G437" s="229"/>
      <c r="H437" s="86"/>
      <c r="L437" s="86"/>
      <c r="M437" s="86"/>
      <c r="V437" s="231"/>
      <c r="W437" s="231"/>
      <c r="X437" s="231"/>
      <c r="Y437" s="231"/>
      <c r="AC437" s="86"/>
      <c r="AD437" s="86"/>
    </row>
    <row r="438" spans="5:30" ht="11.25" customHeight="1" x14ac:dyDescent="0.2">
      <c r="E438" s="229"/>
      <c r="F438" s="229"/>
      <c r="G438" s="229"/>
      <c r="H438" s="86"/>
      <c r="L438" s="86"/>
      <c r="M438" s="86"/>
      <c r="V438" s="231"/>
      <c r="W438" s="231"/>
      <c r="X438" s="231"/>
      <c r="Y438" s="231"/>
      <c r="AC438" s="86"/>
      <c r="AD438" s="86"/>
    </row>
    <row r="439" spans="5:30" ht="11.25" customHeight="1" x14ac:dyDescent="0.2">
      <c r="E439" s="229"/>
      <c r="F439" s="229"/>
      <c r="G439" s="229"/>
      <c r="H439" s="86"/>
      <c r="L439" s="86"/>
      <c r="M439" s="86"/>
      <c r="V439" s="231"/>
      <c r="W439" s="231"/>
      <c r="X439" s="231"/>
      <c r="Y439" s="231"/>
      <c r="AC439" s="86"/>
      <c r="AD439" s="86"/>
    </row>
    <row r="440" spans="5:30" ht="11.25" customHeight="1" x14ac:dyDescent="0.2">
      <c r="E440" s="229"/>
      <c r="F440" s="229"/>
      <c r="G440" s="229"/>
      <c r="H440" s="86"/>
      <c r="L440" s="86"/>
      <c r="M440" s="86"/>
      <c r="V440" s="231"/>
      <c r="W440" s="231"/>
      <c r="X440" s="231"/>
      <c r="Y440" s="231"/>
      <c r="AC440" s="86"/>
      <c r="AD440" s="86"/>
    </row>
    <row r="441" spans="5:30" ht="11.25" customHeight="1" x14ac:dyDescent="0.2">
      <c r="E441" s="229"/>
      <c r="F441" s="229"/>
      <c r="G441" s="229"/>
      <c r="H441" s="86"/>
      <c r="L441" s="86"/>
      <c r="M441" s="86"/>
      <c r="V441" s="231"/>
      <c r="W441" s="231"/>
      <c r="X441" s="231"/>
      <c r="Y441" s="231"/>
      <c r="AC441" s="86"/>
      <c r="AD441" s="86"/>
    </row>
    <row r="442" spans="5:30" ht="11.25" customHeight="1" x14ac:dyDescent="0.2">
      <c r="E442" s="229"/>
      <c r="F442" s="229"/>
      <c r="G442" s="229"/>
      <c r="H442" s="86"/>
      <c r="L442" s="86"/>
      <c r="M442" s="86"/>
      <c r="V442" s="231"/>
      <c r="W442" s="231"/>
      <c r="X442" s="231"/>
      <c r="Y442" s="231"/>
      <c r="AC442" s="86"/>
      <c r="AD442" s="86"/>
    </row>
    <row r="443" spans="5:30" ht="11.25" customHeight="1" x14ac:dyDescent="0.2">
      <c r="E443" s="229"/>
      <c r="F443" s="229"/>
      <c r="G443" s="229"/>
      <c r="H443" s="86"/>
      <c r="L443" s="86"/>
      <c r="M443" s="86"/>
      <c r="V443" s="231"/>
      <c r="W443" s="231"/>
      <c r="X443" s="231"/>
      <c r="Y443" s="231"/>
      <c r="AC443" s="86"/>
      <c r="AD443" s="86"/>
    </row>
    <row r="444" spans="5:30" ht="11.25" customHeight="1" x14ac:dyDescent="0.2">
      <c r="E444" s="229"/>
      <c r="F444" s="229"/>
      <c r="G444" s="229"/>
      <c r="H444" s="86"/>
      <c r="L444" s="86"/>
      <c r="M444" s="86"/>
      <c r="V444" s="231"/>
      <c r="W444" s="231"/>
      <c r="X444" s="231"/>
      <c r="Y444" s="231"/>
      <c r="AC444" s="86"/>
      <c r="AD444" s="86"/>
    </row>
    <row r="445" spans="5:30" ht="11.25" customHeight="1" x14ac:dyDescent="0.2">
      <c r="E445" s="229"/>
      <c r="F445" s="229"/>
      <c r="G445" s="229"/>
      <c r="H445" s="86"/>
      <c r="L445" s="86"/>
      <c r="M445" s="86"/>
      <c r="V445" s="231"/>
      <c r="W445" s="231"/>
      <c r="X445" s="231"/>
      <c r="Y445" s="231"/>
      <c r="AC445" s="86"/>
      <c r="AD445" s="86"/>
    </row>
    <row r="446" spans="5:30" ht="11.25" customHeight="1" x14ac:dyDescent="0.2">
      <c r="E446" s="229"/>
      <c r="F446" s="229"/>
      <c r="G446" s="229"/>
      <c r="H446" s="86"/>
      <c r="L446" s="86"/>
      <c r="M446" s="86"/>
      <c r="V446" s="231"/>
      <c r="W446" s="231"/>
      <c r="X446" s="231"/>
      <c r="Y446" s="231"/>
      <c r="AC446" s="86"/>
      <c r="AD446" s="86"/>
    </row>
    <row r="447" spans="5:30" ht="11.25" customHeight="1" x14ac:dyDescent="0.2">
      <c r="E447" s="229"/>
      <c r="F447" s="229"/>
      <c r="G447" s="229"/>
      <c r="H447" s="86"/>
      <c r="L447" s="86"/>
      <c r="M447" s="86"/>
      <c r="V447" s="231"/>
      <c r="W447" s="231"/>
      <c r="X447" s="231"/>
      <c r="Y447" s="231"/>
      <c r="AC447" s="86"/>
      <c r="AD447" s="86"/>
    </row>
    <row r="448" spans="5:30" ht="11.25" customHeight="1" x14ac:dyDescent="0.2">
      <c r="E448" s="229"/>
      <c r="F448" s="229"/>
      <c r="G448" s="229"/>
      <c r="H448" s="86"/>
      <c r="L448" s="86"/>
      <c r="M448" s="86"/>
      <c r="V448" s="231"/>
      <c r="W448" s="231"/>
      <c r="X448" s="231"/>
      <c r="Y448" s="231"/>
      <c r="AC448" s="86"/>
      <c r="AD448" s="86"/>
    </row>
    <row r="449" spans="5:30" ht="11.25" customHeight="1" x14ac:dyDescent="0.2">
      <c r="E449" s="229"/>
      <c r="F449" s="229"/>
      <c r="G449" s="229"/>
      <c r="H449" s="86"/>
      <c r="L449" s="86"/>
      <c r="M449" s="86"/>
      <c r="V449" s="231"/>
      <c r="W449" s="231"/>
      <c r="X449" s="231"/>
      <c r="Y449" s="231"/>
      <c r="AC449" s="86"/>
      <c r="AD449" s="86"/>
    </row>
    <row r="450" spans="5:30" ht="11.25" customHeight="1" x14ac:dyDescent="0.2">
      <c r="E450" s="229"/>
      <c r="F450" s="229"/>
      <c r="G450" s="229"/>
      <c r="H450" s="86"/>
      <c r="L450" s="86"/>
      <c r="M450" s="86"/>
      <c r="V450" s="231"/>
      <c r="W450" s="231"/>
      <c r="X450" s="231"/>
      <c r="Y450" s="231"/>
      <c r="AC450" s="86"/>
      <c r="AD450" s="86"/>
    </row>
    <row r="451" spans="5:30" ht="11.25" customHeight="1" x14ac:dyDescent="0.2">
      <c r="E451" s="229"/>
      <c r="F451" s="229"/>
      <c r="G451" s="229"/>
      <c r="H451" s="86"/>
      <c r="L451" s="86"/>
      <c r="M451" s="86"/>
      <c r="V451" s="231"/>
      <c r="W451" s="231"/>
      <c r="X451" s="231"/>
      <c r="Y451" s="231"/>
      <c r="AC451" s="86"/>
      <c r="AD451" s="86"/>
    </row>
    <row r="452" spans="5:30" ht="11.25" customHeight="1" x14ac:dyDescent="0.2">
      <c r="E452" s="229"/>
      <c r="F452" s="229"/>
      <c r="G452" s="229"/>
      <c r="H452" s="86"/>
      <c r="L452" s="86"/>
      <c r="M452" s="86"/>
      <c r="V452" s="231"/>
      <c r="W452" s="231"/>
      <c r="X452" s="231"/>
      <c r="Y452" s="231"/>
      <c r="AC452" s="86"/>
      <c r="AD452" s="86"/>
    </row>
    <row r="453" spans="5:30" ht="11.25" customHeight="1" x14ac:dyDescent="0.2">
      <c r="E453" s="229"/>
      <c r="F453" s="229"/>
      <c r="G453" s="229"/>
      <c r="H453" s="86"/>
      <c r="L453" s="86"/>
      <c r="M453" s="86"/>
      <c r="V453" s="231"/>
      <c r="W453" s="231"/>
      <c r="X453" s="231"/>
      <c r="Y453" s="231"/>
      <c r="AC453" s="86"/>
      <c r="AD453" s="86"/>
    </row>
    <row r="454" spans="5:30" ht="11.25" customHeight="1" x14ac:dyDescent="0.2">
      <c r="E454" s="229"/>
      <c r="F454" s="229"/>
      <c r="G454" s="229"/>
      <c r="H454" s="86"/>
      <c r="L454" s="86"/>
      <c r="M454" s="86"/>
      <c r="V454" s="231"/>
      <c r="W454" s="231"/>
      <c r="X454" s="231"/>
      <c r="Y454" s="231"/>
      <c r="AC454" s="86"/>
      <c r="AD454" s="86"/>
    </row>
    <row r="455" spans="5:30" ht="11.25" customHeight="1" x14ac:dyDescent="0.2">
      <c r="E455" s="229"/>
      <c r="F455" s="229"/>
      <c r="G455" s="229"/>
      <c r="H455" s="86"/>
      <c r="L455" s="86"/>
      <c r="M455" s="86"/>
      <c r="V455" s="231"/>
      <c r="W455" s="231"/>
      <c r="X455" s="231"/>
      <c r="Y455" s="231"/>
      <c r="AC455" s="86"/>
      <c r="AD455" s="86"/>
    </row>
    <row r="456" spans="5:30" ht="11.25" customHeight="1" x14ac:dyDescent="0.2">
      <c r="E456" s="229"/>
      <c r="F456" s="229"/>
      <c r="G456" s="229"/>
      <c r="H456" s="86"/>
      <c r="L456" s="86"/>
      <c r="M456" s="86"/>
      <c r="V456" s="231"/>
      <c r="W456" s="231"/>
      <c r="X456" s="231"/>
      <c r="Y456" s="231"/>
      <c r="AC456" s="86"/>
      <c r="AD456" s="86"/>
    </row>
    <row r="457" spans="5:30" ht="11.25" customHeight="1" x14ac:dyDescent="0.2">
      <c r="E457" s="229"/>
      <c r="F457" s="229"/>
      <c r="G457" s="229"/>
      <c r="H457" s="86"/>
      <c r="L457" s="86"/>
      <c r="M457" s="86"/>
      <c r="V457" s="231"/>
      <c r="W457" s="231"/>
      <c r="X457" s="231"/>
      <c r="Y457" s="231"/>
      <c r="AC457" s="86"/>
      <c r="AD457" s="86"/>
    </row>
    <row r="458" spans="5:30" ht="11.25" customHeight="1" x14ac:dyDescent="0.2">
      <c r="E458" s="229"/>
      <c r="F458" s="229"/>
      <c r="G458" s="229"/>
      <c r="H458" s="86"/>
      <c r="L458" s="86"/>
      <c r="M458" s="86"/>
      <c r="V458" s="231"/>
      <c r="W458" s="231"/>
      <c r="X458" s="231"/>
      <c r="Y458" s="231"/>
      <c r="AC458" s="86"/>
      <c r="AD458" s="86"/>
    </row>
    <row r="459" spans="5:30" ht="11.25" customHeight="1" x14ac:dyDescent="0.2">
      <c r="E459" s="229"/>
      <c r="F459" s="229"/>
      <c r="G459" s="229"/>
      <c r="H459" s="86"/>
      <c r="L459" s="86"/>
      <c r="M459" s="86"/>
      <c r="V459" s="231"/>
      <c r="W459" s="231"/>
      <c r="X459" s="231"/>
      <c r="Y459" s="231"/>
      <c r="AC459" s="86"/>
      <c r="AD459" s="86"/>
    </row>
    <row r="460" spans="5:30" ht="11.25" customHeight="1" x14ac:dyDescent="0.2">
      <c r="E460" s="229"/>
      <c r="F460" s="229"/>
      <c r="G460" s="229"/>
      <c r="H460" s="86"/>
      <c r="L460" s="86"/>
      <c r="M460" s="86"/>
      <c r="V460" s="231"/>
      <c r="W460" s="231"/>
      <c r="X460" s="231"/>
      <c r="Y460" s="231"/>
      <c r="AC460" s="86"/>
      <c r="AD460" s="86"/>
    </row>
    <row r="461" spans="5:30" ht="11.25" customHeight="1" x14ac:dyDescent="0.2">
      <c r="E461" s="229"/>
      <c r="F461" s="229"/>
      <c r="G461" s="229"/>
      <c r="H461" s="86"/>
      <c r="L461" s="86"/>
      <c r="M461" s="86"/>
      <c r="V461" s="231"/>
      <c r="W461" s="231"/>
      <c r="X461" s="231"/>
      <c r="Y461" s="231"/>
      <c r="AC461" s="86"/>
      <c r="AD461" s="86"/>
    </row>
    <row r="462" spans="5:30" ht="11.25" customHeight="1" x14ac:dyDescent="0.2">
      <c r="E462" s="229"/>
      <c r="F462" s="229"/>
      <c r="G462" s="229"/>
      <c r="H462" s="86"/>
      <c r="L462" s="86"/>
      <c r="M462" s="86"/>
      <c r="V462" s="231"/>
      <c r="W462" s="231"/>
      <c r="X462" s="231"/>
      <c r="Y462" s="231"/>
      <c r="AC462" s="86"/>
      <c r="AD462" s="86"/>
    </row>
    <row r="463" spans="5:30" ht="11.25" customHeight="1" x14ac:dyDescent="0.2">
      <c r="E463" s="229"/>
      <c r="F463" s="229"/>
      <c r="G463" s="229"/>
      <c r="H463" s="86"/>
      <c r="L463" s="86"/>
      <c r="M463" s="86"/>
      <c r="V463" s="231"/>
      <c r="W463" s="231"/>
      <c r="X463" s="231"/>
      <c r="Y463" s="231"/>
      <c r="AC463" s="86"/>
      <c r="AD463" s="86"/>
    </row>
    <row r="464" spans="5:30" ht="11.25" customHeight="1" x14ac:dyDescent="0.2">
      <c r="E464" s="229"/>
      <c r="F464" s="229"/>
      <c r="G464" s="229"/>
      <c r="H464" s="86"/>
      <c r="L464" s="86"/>
      <c r="M464" s="86"/>
      <c r="V464" s="231"/>
      <c r="W464" s="231"/>
      <c r="X464" s="231"/>
      <c r="Y464" s="231"/>
      <c r="AC464" s="86"/>
      <c r="AD464" s="86"/>
    </row>
    <row r="465" spans="5:30" ht="11.25" customHeight="1" x14ac:dyDescent="0.2">
      <c r="E465" s="229"/>
      <c r="F465" s="229"/>
      <c r="G465" s="229"/>
      <c r="H465" s="86"/>
      <c r="L465" s="86"/>
      <c r="M465" s="86"/>
      <c r="V465" s="231"/>
      <c r="W465" s="231"/>
      <c r="X465" s="231"/>
      <c r="Y465" s="231"/>
      <c r="AC465" s="86"/>
      <c r="AD465" s="86"/>
    </row>
    <row r="466" spans="5:30" ht="11.25" customHeight="1" x14ac:dyDescent="0.2">
      <c r="E466" s="229"/>
      <c r="F466" s="229"/>
      <c r="G466" s="229"/>
      <c r="H466" s="86"/>
      <c r="L466" s="86"/>
      <c r="M466" s="86"/>
      <c r="V466" s="231"/>
      <c r="W466" s="231"/>
      <c r="X466" s="231"/>
      <c r="Y466" s="231"/>
      <c r="AC466" s="86"/>
      <c r="AD466" s="86"/>
    </row>
    <row r="467" spans="5:30" ht="11.25" customHeight="1" x14ac:dyDescent="0.2">
      <c r="E467" s="229"/>
      <c r="F467" s="229"/>
      <c r="G467" s="229"/>
      <c r="H467" s="86"/>
      <c r="L467" s="86"/>
      <c r="M467" s="86"/>
      <c r="V467" s="231"/>
      <c r="W467" s="231"/>
      <c r="X467" s="231"/>
      <c r="Y467" s="231"/>
      <c r="AC467" s="86"/>
      <c r="AD467" s="86"/>
    </row>
    <row r="468" spans="5:30" ht="11.25" customHeight="1" x14ac:dyDescent="0.2">
      <c r="E468" s="229"/>
      <c r="F468" s="229"/>
      <c r="G468" s="229"/>
      <c r="H468" s="86"/>
      <c r="L468" s="86"/>
      <c r="M468" s="86"/>
      <c r="V468" s="231"/>
      <c r="W468" s="231"/>
      <c r="X468" s="231"/>
      <c r="Y468" s="231"/>
      <c r="AC468" s="86"/>
      <c r="AD468" s="86"/>
    </row>
    <row r="469" spans="5:30" ht="11.25" customHeight="1" x14ac:dyDescent="0.2">
      <c r="E469" s="229"/>
      <c r="F469" s="229"/>
      <c r="G469" s="229"/>
      <c r="H469" s="86"/>
      <c r="L469" s="86"/>
      <c r="M469" s="86"/>
      <c r="V469" s="231"/>
      <c r="W469" s="231"/>
      <c r="X469" s="231"/>
      <c r="Y469" s="231"/>
      <c r="AC469" s="86"/>
      <c r="AD469" s="86"/>
    </row>
    <row r="470" spans="5:30" ht="11.25" customHeight="1" x14ac:dyDescent="0.2">
      <c r="E470" s="229"/>
      <c r="F470" s="229"/>
      <c r="G470" s="229"/>
      <c r="H470" s="86"/>
      <c r="L470" s="86"/>
      <c r="M470" s="86"/>
      <c r="V470" s="231"/>
      <c r="W470" s="231"/>
      <c r="X470" s="231"/>
      <c r="Y470" s="231"/>
      <c r="AC470" s="86"/>
      <c r="AD470" s="86"/>
    </row>
    <row r="471" spans="5:30" ht="11.25" customHeight="1" x14ac:dyDescent="0.2">
      <c r="E471" s="229"/>
      <c r="F471" s="229"/>
      <c r="G471" s="229"/>
      <c r="H471" s="86"/>
      <c r="L471" s="86"/>
      <c r="M471" s="86"/>
      <c r="V471" s="231"/>
      <c r="W471" s="231"/>
      <c r="X471" s="231"/>
      <c r="Y471" s="231"/>
      <c r="AC471" s="86"/>
      <c r="AD471" s="86"/>
    </row>
    <row r="472" spans="5:30" ht="11.25" customHeight="1" x14ac:dyDescent="0.2">
      <c r="E472" s="229"/>
      <c r="F472" s="229"/>
      <c r="G472" s="229"/>
      <c r="H472" s="86"/>
      <c r="L472" s="86"/>
      <c r="M472" s="86"/>
      <c r="V472" s="231"/>
      <c r="W472" s="231"/>
      <c r="X472" s="231"/>
      <c r="Y472" s="231"/>
      <c r="AC472" s="86"/>
      <c r="AD472" s="86"/>
    </row>
    <row r="473" spans="5:30" ht="11.25" customHeight="1" x14ac:dyDescent="0.2">
      <c r="E473" s="229"/>
      <c r="F473" s="229"/>
      <c r="G473" s="229"/>
      <c r="H473" s="86"/>
      <c r="L473" s="86"/>
      <c r="M473" s="86"/>
      <c r="V473" s="231"/>
      <c r="W473" s="231"/>
      <c r="X473" s="231"/>
      <c r="Y473" s="231"/>
      <c r="AC473" s="86"/>
      <c r="AD473" s="86"/>
    </row>
    <row r="474" spans="5:30" ht="11.25" customHeight="1" x14ac:dyDescent="0.2">
      <c r="E474" s="229"/>
      <c r="F474" s="229"/>
      <c r="G474" s="229"/>
      <c r="H474" s="86"/>
      <c r="L474" s="86"/>
      <c r="M474" s="86"/>
      <c r="V474" s="231"/>
      <c r="W474" s="231"/>
      <c r="X474" s="231"/>
      <c r="Y474" s="231"/>
      <c r="AC474" s="86"/>
      <c r="AD474" s="86"/>
    </row>
    <row r="475" spans="5:30" ht="11.25" customHeight="1" x14ac:dyDescent="0.2">
      <c r="E475" s="229"/>
      <c r="F475" s="229"/>
      <c r="G475" s="229"/>
      <c r="H475" s="86"/>
      <c r="L475" s="86"/>
      <c r="M475" s="86"/>
      <c r="V475" s="231"/>
      <c r="W475" s="231"/>
      <c r="X475" s="231"/>
      <c r="Y475" s="231"/>
      <c r="AC475" s="86"/>
      <c r="AD475" s="86"/>
    </row>
    <row r="476" spans="5:30" ht="11.25" customHeight="1" x14ac:dyDescent="0.2">
      <c r="E476" s="229"/>
      <c r="F476" s="229"/>
      <c r="G476" s="229"/>
      <c r="H476" s="86"/>
      <c r="L476" s="86"/>
      <c r="M476" s="86"/>
      <c r="V476" s="231"/>
      <c r="W476" s="231"/>
      <c r="X476" s="231"/>
      <c r="Y476" s="231"/>
      <c r="AC476" s="86"/>
      <c r="AD476" s="86"/>
    </row>
    <row r="477" spans="5:30" ht="11.25" customHeight="1" x14ac:dyDescent="0.2">
      <c r="E477" s="229"/>
      <c r="F477" s="229"/>
      <c r="G477" s="229"/>
      <c r="H477" s="86"/>
      <c r="L477" s="86"/>
      <c r="M477" s="86"/>
      <c r="V477" s="231"/>
      <c r="W477" s="231"/>
      <c r="X477" s="231"/>
      <c r="Y477" s="231"/>
      <c r="AC477" s="86"/>
      <c r="AD477" s="86"/>
    </row>
    <row r="478" spans="5:30" ht="11.25" customHeight="1" x14ac:dyDescent="0.2">
      <c r="E478" s="229"/>
      <c r="F478" s="229"/>
      <c r="G478" s="229"/>
      <c r="H478" s="86"/>
      <c r="L478" s="86"/>
      <c r="M478" s="86"/>
      <c r="V478" s="231"/>
      <c r="W478" s="231"/>
      <c r="X478" s="231"/>
      <c r="Y478" s="231"/>
      <c r="AC478" s="86"/>
      <c r="AD478" s="86"/>
    </row>
    <row r="479" spans="5:30" ht="11.25" customHeight="1" x14ac:dyDescent="0.2">
      <c r="E479" s="229"/>
      <c r="F479" s="229"/>
      <c r="G479" s="229"/>
      <c r="H479" s="86"/>
      <c r="L479" s="86"/>
      <c r="M479" s="86"/>
      <c r="V479" s="231"/>
      <c r="W479" s="231"/>
      <c r="X479" s="231"/>
      <c r="Y479" s="231"/>
      <c r="AC479" s="86"/>
      <c r="AD479" s="86"/>
    </row>
    <row r="480" spans="5:30" ht="11.25" customHeight="1" x14ac:dyDescent="0.2">
      <c r="E480" s="229"/>
      <c r="F480" s="229"/>
      <c r="G480" s="229"/>
      <c r="H480" s="86"/>
      <c r="L480" s="86"/>
      <c r="M480" s="86"/>
      <c r="V480" s="231"/>
      <c r="W480" s="231"/>
      <c r="X480" s="231"/>
      <c r="Y480" s="231"/>
      <c r="AC480" s="86"/>
      <c r="AD480" s="86"/>
    </row>
    <row r="481" spans="5:30" ht="11.25" customHeight="1" x14ac:dyDescent="0.2">
      <c r="E481" s="229"/>
      <c r="F481" s="229"/>
      <c r="G481" s="229"/>
      <c r="H481" s="86"/>
      <c r="L481" s="86"/>
      <c r="M481" s="86"/>
      <c r="V481" s="231"/>
      <c r="W481" s="231"/>
      <c r="X481" s="231"/>
      <c r="Y481" s="231"/>
      <c r="AC481" s="86"/>
      <c r="AD481" s="86"/>
    </row>
    <row r="482" spans="5:30" ht="11.25" customHeight="1" x14ac:dyDescent="0.2">
      <c r="E482" s="229"/>
      <c r="F482" s="229"/>
      <c r="G482" s="229"/>
      <c r="H482" s="86"/>
      <c r="L482" s="86"/>
      <c r="M482" s="86"/>
      <c r="V482" s="231"/>
      <c r="W482" s="231"/>
      <c r="X482" s="231"/>
      <c r="Y482" s="231"/>
      <c r="AC482" s="86"/>
      <c r="AD482" s="86"/>
    </row>
    <row r="483" spans="5:30" ht="11.25" customHeight="1" x14ac:dyDescent="0.2">
      <c r="E483" s="229"/>
      <c r="F483" s="229"/>
      <c r="G483" s="229"/>
      <c r="H483" s="86"/>
      <c r="L483" s="86"/>
      <c r="M483" s="86"/>
      <c r="V483" s="231"/>
      <c r="W483" s="231"/>
      <c r="X483" s="231"/>
      <c r="Y483" s="231"/>
      <c r="AC483" s="86"/>
      <c r="AD483" s="86"/>
    </row>
    <row r="484" spans="5:30" ht="11.25" customHeight="1" x14ac:dyDescent="0.2">
      <c r="E484" s="229"/>
      <c r="F484" s="229"/>
      <c r="G484" s="229"/>
      <c r="H484" s="86"/>
      <c r="L484" s="86"/>
      <c r="M484" s="86"/>
      <c r="V484" s="231"/>
      <c r="W484" s="231"/>
      <c r="X484" s="231"/>
      <c r="Y484" s="231"/>
      <c r="AC484" s="86"/>
      <c r="AD484" s="86"/>
    </row>
    <row r="485" spans="5:30" ht="11.25" customHeight="1" x14ac:dyDescent="0.2">
      <c r="E485" s="229"/>
      <c r="F485" s="229"/>
      <c r="G485" s="229"/>
      <c r="H485" s="86"/>
      <c r="L485" s="86"/>
      <c r="M485" s="86"/>
      <c r="V485" s="231"/>
      <c r="W485" s="231"/>
      <c r="X485" s="231"/>
      <c r="Y485" s="231"/>
      <c r="AA485" s="86"/>
      <c r="AC485" s="86"/>
      <c r="AD485" s="86"/>
    </row>
    <row r="486" spans="5:30" ht="11.25" customHeight="1" x14ac:dyDescent="0.2">
      <c r="E486" s="229"/>
      <c r="F486" s="229"/>
      <c r="G486" s="229"/>
      <c r="H486" s="86"/>
      <c r="L486" s="86"/>
      <c r="M486" s="86"/>
      <c r="V486" s="231"/>
      <c r="W486" s="231"/>
      <c r="X486" s="231"/>
      <c r="Y486" s="231"/>
      <c r="AA486" s="86"/>
      <c r="AC486" s="86"/>
      <c r="AD486" s="86"/>
    </row>
    <row r="487" spans="5:30" ht="11.25" customHeight="1" x14ac:dyDescent="0.2">
      <c r="E487" s="229"/>
      <c r="F487" s="229"/>
      <c r="G487" s="229"/>
      <c r="H487" s="86"/>
      <c r="L487" s="86"/>
      <c r="M487" s="86"/>
      <c r="V487" s="231"/>
      <c r="W487" s="231"/>
      <c r="X487" s="231"/>
      <c r="Y487" s="231"/>
      <c r="AA487" s="86"/>
      <c r="AC487" s="86"/>
      <c r="AD487" s="86"/>
    </row>
    <row r="488" spans="5:30" ht="11.25" customHeight="1" x14ac:dyDescent="0.2">
      <c r="E488" s="229"/>
      <c r="F488" s="229"/>
      <c r="G488" s="229"/>
      <c r="H488" s="86"/>
      <c r="L488" s="86"/>
      <c r="M488" s="86"/>
      <c r="V488" s="231"/>
      <c r="W488" s="231"/>
      <c r="X488" s="231"/>
      <c r="Y488" s="231"/>
      <c r="AA488" s="86"/>
      <c r="AC488" s="86"/>
      <c r="AD488" s="86"/>
    </row>
    <row r="489" spans="5:30" ht="11.25" customHeight="1" x14ac:dyDescent="0.2">
      <c r="E489" s="229"/>
      <c r="F489" s="229"/>
      <c r="G489" s="229"/>
      <c r="H489" s="86"/>
      <c r="L489" s="86"/>
      <c r="M489" s="86"/>
      <c r="V489" s="231"/>
      <c r="W489" s="231"/>
      <c r="X489" s="231"/>
      <c r="Y489" s="231"/>
      <c r="AA489" s="86"/>
      <c r="AC489" s="86"/>
      <c r="AD489" s="86"/>
    </row>
    <row r="490" spans="5:30" ht="11.25" customHeight="1" x14ac:dyDescent="0.2">
      <c r="E490" s="229"/>
      <c r="F490" s="229"/>
      <c r="G490" s="229"/>
      <c r="H490" s="86"/>
      <c r="L490" s="86"/>
      <c r="M490" s="86"/>
      <c r="V490" s="231"/>
      <c r="W490" s="231"/>
      <c r="X490" s="231"/>
      <c r="Y490" s="231"/>
      <c r="AA490" s="86"/>
      <c r="AC490" s="86"/>
      <c r="AD490" s="86"/>
    </row>
    <row r="491" spans="5:30" ht="11.25" customHeight="1" x14ac:dyDescent="0.2">
      <c r="E491" s="229"/>
      <c r="F491" s="229"/>
      <c r="G491" s="229"/>
      <c r="H491" s="86"/>
      <c r="L491" s="86"/>
      <c r="M491" s="86"/>
      <c r="V491" s="231"/>
      <c r="W491" s="231"/>
      <c r="X491" s="231"/>
      <c r="Y491" s="231"/>
      <c r="AA491" s="86"/>
      <c r="AC491" s="86"/>
      <c r="AD491" s="86"/>
    </row>
    <row r="492" spans="5:30" ht="11.25" customHeight="1" x14ac:dyDescent="0.2">
      <c r="E492" s="229"/>
      <c r="F492" s="229"/>
      <c r="G492" s="229"/>
      <c r="H492" s="86"/>
      <c r="L492" s="86"/>
      <c r="M492" s="86"/>
      <c r="V492" s="231"/>
      <c r="W492" s="231"/>
      <c r="X492" s="231"/>
      <c r="Y492" s="231"/>
      <c r="AA492" s="86"/>
      <c r="AC492" s="86"/>
      <c r="AD492" s="86"/>
    </row>
    <row r="493" spans="5:30" ht="11.25" customHeight="1" x14ac:dyDescent="0.2">
      <c r="E493" s="229"/>
      <c r="F493" s="229"/>
      <c r="G493" s="229"/>
      <c r="H493" s="86"/>
      <c r="L493" s="86"/>
      <c r="M493" s="86"/>
      <c r="V493" s="231"/>
      <c r="W493" s="231"/>
      <c r="X493" s="231"/>
      <c r="Y493" s="231"/>
      <c r="AA493" s="86"/>
      <c r="AC493" s="86"/>
      <c r="AD493" s="86"/>
    </row>
    <row r="494" spans="5:30" ht="11.25" customHeight="1" x14ac:dyDescent="0.2">
      <c r="E494" s="229"/>
      <c r="F494" s="229"/>
      <c r="G494" s="229"/>
      <c r="H494" s="86"/>
      <c r="L494" s="86"/>
      <c r="M494" s="86"/>
      <c r="V494" s="231"/>
      <c r="W494" s="231"/>
      <c r="X494" s="231"/>
      <c r="Y494" s="231"/>
      <c r="AA494" s="86"/>
      <c r="AC494" s="86"/>
      <c r="AD494" s="86"/>
    </row>
    <row r="495" spans="5:30" ht="11.25" customHeight="1" x14ac:dyDescent="0.2">
      <c r="E495" s="229"/>
      <c r="F495" s="229"/>
      <c r="G495" s="229"/>
      <c r="H495" s="86"/>
      <c r="L495" s="86"/>
      <c r="M495" s="86"/>
      <c r="V495" s="231"/>
      <c r="W495" s="231"/>
      <c r="X495" s="231"/>
      <c r="Y495" s="231"/>
      <c r="AA495" s="86"/>
      <c r="AC495" s="86"/>
      <c r="AD495" s="86"/>
    </row>
    <row r="496" spans="5:30" ht="11.25" customHeight="1" x14ac:dyDescent="0.2">
      <c r="E496" s="229"/>
      <c r="F496" s="229"/>
      <c r="G496" s="229"/>
      <c r="H496" s="86"/>
      <c r="L496" s="86"/>
      <c r="M496" s="86"/>
      <c r="V496" s="231"/>
      <c r="W496" s="231"/>
      <c r="X496" s="231"/>
      <c r="Y496" s="231"/>
      <c r="AA496" s="86"/>
      <c r="AC496" s="86"/>
      <c r="AD496" s="86"/>
    </row>
    <row r="497" spans="5:30" ht="11.25" customHeight="1" x14ac:dyDescent="0.2">
      <c r="E497" s="229"/>
      <c r="F497" s="229"/>
      <c r="G497" s="229"/>
      <c r="H497" s="86"/>
      <c r="L497" s="86"/>
      <c r="M497" s="86"/>
      <c r="V497" s="231"/>
      <c r="W497" s="231"/>
      <c r="X497" s="231"/>
      <c r="Y497" s="231"/>
      <c r="AA497" s="86"/>
      <c r="AC497" s="86"/>
      <c r="AD497" s="86"/>
    </row>
    <row r="498" spans="5:30" ht="11.25" customHeight="1" x14ac:dyDescent="0.2">
      <c r="E498" s="229"/>
      <c r="F498" s="229"/>
      <c r="G498" s="229"/>
      <c r="H498" s="86"/>
      <c r="L498" s="86"/>
      <c r="M498" s="86"/>
      <c r="V498" s="231"/>
      <c r="W498" s="231"/>
      <c r="X498" s="231"/>
      <c r="Y498" s="231"/>
      <c r="AA498" s="86"/>
      <c r="AC498" s="86"/>
      <c r="AD498" s="86"/>
    </row>
    <row r="499" spans="5:30" ht="11.25" customHeight="1" x14ac:dyDescent="0.2">
      <c r="E499" s="229"/>
      <c r="F499" s="229"/>
      <c r="G499" s="229"/>
      <c r="H499" s="86"/>
      <c r="L499" s="86"/>
      <c r="M499" s="86"/>
      <c r="V499" s="231"/>
      <c r="W499" s="231"/>
      <c r="X499" s="231"/>
      <c r="Y499" s="231"/>
      <c r="AA499" s="86"/>
      <c r="AC499" s="86"/>
      <c r="AD499" s="86"/>
    </row>
    <row r="500" spans="5:30" ht="11.25" customHeight="1" x14ac:dyDescent="0.2">
      <c r="E500" s="229"/>
      <c r="F500" s="229"/>
      <c r="G500" s="229"/>
      <c r="H500" s="86"/>
      <c r="L500" s="86"/>
      <c r="M500" s="86"/>
      <c r="V500" s="231"/>
      <c r="W500" s="231"/>
      <c r="X500" s="231"/>
      <c r="Y500" s="231"/>
      <c r="AA500" s="86"/>
      <c r="AC500" s="86"/>
      <c r="AD500" s="86"/>
    </row>
    <row r="501" spans="5:30" ht="11.25" customHeight="1" x14ac:dyDescent="0.2">
      <c r="E501" s="229"/>
      <c r="F501" s="229"/>
      <c r="G501" s="229"/>
      <c r="H501" s="86"/>
      <c r="L501" s="86"/>
      <c r="M501" s="86"/>
      <c r="V501" s="231"/>
      <c r="W501" s="231"/>
      <c r="X501" s="231"/>
      <c r="Y501" s="231"/>
      <c r="AA501" s="86"/>
      <c r="AC501" s="86"/>
      <c r="AD501" s="86"/>
    </row>
    <row r="502" spans="5:30" ht="11.25" customHeight="1" x14ac:dyDescent="0.2">
      <c r="E502" s="229"/>
      <c r="F502" s="229"/>
      <c r="G502" s="229"/>
      <c r="H502" s="86"/>
      <c r="L502" s="86"/>
      <c r="M502" s="86"/>
      <c r="V502" s="231"/>
      <c r="W502" s="231"/>
      <c r="X502" s="231"/>
      <c r="Y502" s="231"/>
      <c r="AA502" s="86"/>
      <c r="AC502" s="86"/>
      <c r="AD502" s="86"/>
    </row>
    <row r="503" spans="5:30" ht="11.25" customHeight="1" x14ac:dyDescent="0.2">
      <c r="E503" s="229"/>
      <c r="F503" s="229"/>
      <c r="G503" s="229"/>
      <c r="H503" s="86"/>
      <c r="L503" s="86"/>
      <c r="M503" s="86"/>
      <c r="V503" s="231"/>
      <c r="W503" s="231"/>
      <c r="X503" s="231"/>
      <c r="Y503" s="231"/>
      <c r="AA503" s="86"/>
      <c r="AC503" s="86"/>
      <c r="AD503" s="86"/>
    </row>
    <row r="504" spans="5:30" ht="11.25" customHeight="1" x14ac:dyDescent="0.2">
      <c r="E504" s="229"/>
      <c r="F504" s="229"/>
      <c r="G504" s="229"/>
      <c r="H504" s="86"/>
      <c r="L504" s="86"/>
      <c r="M504" s="86"/>
      <c r="V504" s="231"/>
      <c r="W504" s="231"/>
      <c r="X504" s="231"/>
      <c r="Y504" s="231"/>
      <c r="AA504" s="86"/>
      <c r="AC504" s="86"/>
      <c r="AD504" s="86"/>
    </row>
    <row r="505" spans="5:30" ht="11.25" customHeight="1" x14ac:dyDescent="0.2">
      <c r="E505" s="229"/>
      <c r="F505" s="229"/>
      <c r="G505" s="229"/>
      <c r="H505" s="86"/>
      <c r="L505" s="86"/>
      <c r="M505" s="86"/>
      <c r="V505" s="231"/>
      <c r="W505" s="231"/>
      <c r="X505" s="231"/>
      <c r="Y505" s="231"/>
      <c r="AA505" s="86"/>
      <c r="AC505" s="86"/>
      <c r="AD505" s="86"/>
    </row>
    <row r="506" spans="5:30" ht="11.25" customHeight="1" x14ac:dyDescent="0.2">
      <c r="E506" s="229"/>
      <c r="F506" s="229"/>
      <c r="G506" s="229"/>
      <c r="H506" s="86"/>
      <c r="L506" s="86"/>
      <c r="M506" s="86"/>
      <c r="V506" s="231"/>
      <c r="W506" s="231"/>
      <c r="X506" s="231"/>
      <c r="Y506" s="231"/>
      <c r="AA506" s="86"/>
      <c r="AC506" s="86"/>
      <c r="AD506" s="86"/>
    </row>
    <row r="507" spans="5:30" ht="11.25" customHeight="1" x14ac:dyDescent="0.2">
      <c r="E507" s="229"/>
      <c r="F507" s="229"/>
      <c r="G507" s="229"/>
      <c r="H507" s="86"/>
      <c r="L507" s="86"/>
      <c r="M507" s="86"/>
      <c r="V507" s="231"/>
      <c r="W507" s="231"/>
      <c r="X507" s="231"/>
      <c r="Y507" s="231"/>
      <c r="AA507" s="86"/>
      <c r="AC507" s="86"/>
      <c r="AD507" s="86"/>
    </row>
    <row r="508" spans="5:30" ht="11.25" customHeight="1" x14ac:dyDescent="0.2">
      <c r="E508" s="229"/>
      <c r="F508" s="229"/>
      <c r="G508" s="229"/>
      <c r="H508" s="86"/>
      <c r="L508" s="86"/>
      <c r="M508" s="86"/>
      <c r="V508" s="231"/>
      <c r="W508" s="231"/>
      <c r="X508" s="231"/>
      <c r="Y508" s="231"/>
      <c r="AA508" s="86"/>
      <c r="AC508" s="86"/>
      <c r="AD508" s="86"/>
    </row>
    <row r="509" spans="5:30" ht="11.25" customHeight="1" x14ac:dyDescent="0.2">
      <c r="E509" s="229"/>
      <c r="F509" s="229"/>
      <c r="G509" s="229"/>
      <c r="H509" s="86"/>
      <c r="L509" s="86"/>
      <c r="M509" s="86"/>
      <c r="V509" s="231"/>
      <c r="W509" s="231"/>
      <c r="X509" s="231"/>
      <c r="Y509" s="231"/>
      <c r="AA509" s="86"/>
      <c r="AC509" s="86"/>
      <c r="AD509" s="86"/>
    </row>
    <row r="510" spans="5:30" ht="11.25" customHeight="1" x14ac:dyDescent="0.2">
      <c r="E510" s="229"/>
      <c r="F510" s="229"/>
      <c r="G510" s="229"/>
      <c r="H510" s="86"/>
      <c r="L510" s="86"/>
      <c r="M510" s="86"/>
      <c r="V510" s="231"/>
      <c r="W510" s="231"/>
      <c r="X510" s="231"/>
      <c r="Y510" s="231"/>
      <c r="AA510" s="86"/>
      <c r="AC510" s="86"/>
      <c r="AD510" s="86"/>
    </row>
    <row r="511" spans="5:30" ht="11.25" customHeight="1" x14ac:dyDescent="0.2">
      <c r="E511" s="229"/>
      <c r="F511" s="229"/>
      <c r="G511" s="229"/>
      <c r="H511" s="86"/>
      <c r="L511" s="86"/>
      <c r="M511" s="86"/>
      <c r="V511" s="231"/>
      <c r="W511" s="231"/>
      <c r="X511" s="231"/>
      <c r="Y511" s="231"/>
      <c r="AA511" s="86"/>
      <c r="AC511" s="86"/>
      <c r="AD511" s="86"/>
    </row>
    <row r="512" spans="5:30" ht="11.25" customHeight="1" x14ac:dyDescent="0.2">
      <c r="E512" s="229"/>
      <c r="F512" s="229"/>
      <c r="G512" s="229"/>
      <c r="H512" s="86"/>
      <c r="L512" s="86"/>
      <c r="M512" s="86"/>
      <c r="V512" s="231"/>
      <c r="W512" s="231"/>
      <c r="X512" s="231"/>
      <c r="Y512" s="231"/>
      <c r="AA512" s="86"/>
      <c r="AC512" s="86"/>
      <c r="AD512" s="86"/>
    </row>
    <row r="513" spans="5:30" ht="11.25" customHeight="1" x14ac:dyDescent="0.2">
      <c r="E513" s="229"/>
      <c r="F513" s="229"/>
      <c r="G513" s="229"/>
      <c r="H513" s="86"/>
      <c r="L513" s="86"/>
      <c r="M513" s="86"/>
      <c r="V513" s="231"/>
      <c r="W513" s="231"/>
      <c r="X513" s="231"/>
      <c r="Y513" s="231"/>
      <c r="AA513" s="86"/>
      <c r="AC513" s="86"/>
      <c r="AD513" s="86"/>
    </row>
    <row r="514" spans="5:30" ht="11.25" customHeight="1" x14ac:dyDescent="0.2">
      <c r="E514" s="229"/>
      <c r="F514" s="229"/>
      <c r="G514" s="229"/>
      <c r="H514" s="86"/>
      <c r="L514" s="86"/>
      <c r="M514" s="86"/>
      <c r="V514" s="231"/>
      <c r="W514" s="231"/>
      <c r="X514" s="231"/>
      <c r="Y514" s="231"/>
      <c r="AA514" s="86"/>
      <c r="AC514" s="86"/>
      <c r="AD514" s="86"/>
    </row>
    <row r="515" spans="5:30" ht="11.25" customHeight="1" x14ac:dyDescent="0.2">
      <c r="E515" s="229"/>
      <c r="F515" s="229"/>
      <c r="G515" s="229"/>
      <c r="H515" s="86"/>
      <c r="L515" s="86"/>
      <c r="M515" s="86"/>
      <c r="V515" s="231"/>
      <c r="W515" s="231"/>
      <c r="X515" s="231"/>
      <c r="Y515" s="231"/>
      <c r="AA515" s="86"/>
      <c r="AC515" s="86"/>
      <c r="AD515" s="86"/>
    </row>
    <row r="516" spans="5:30" ht="11.25" customHeight="1" x14ac:dyDescent="0.2">
      <c r="E516" s="229"/>
      <c r="F516" s="229"/>
      <c r="G516" s="229"/>
      <c r="H516" s="86"/>
      <c r="L516" s="86"/>
      <c r="M516" s="86"/>
      <c r="V516" s="231"/>
      <c r="W516" s="231"/>
      <c r="X516" s="231"/>
      <c r="Y516" s="231"/>
      <c r="AA516" s="86"/>
      <c r="AC516" s="86"/>
      <c r="AD516" s="86"/>
    </row>
    <row r="517" spans="5:30" ht="11.25" customHeight="1" x14ac:dyDescent="0.2">
      <c r="E517" s="229"/>
      <c r="F517" s="229"/>
      <c r="G517" s="229"/>
      <c r="H517" s="86"/>
      <c r="L517" s="86"/>
      <c r="M517" s="86"/>
      <c r="V517" s="231"/>
      <c r="W517" s="231"/>
      <c r="X517" s="231"/>
      <c r="Y517" s="231"/>
      <c r="AA517" s="86"/>
      <c r="AC517" s="86"/>
      <c r="AD517" s="86"/>
    </row>
    <row r="518" spans="5:30" ht="11.25" customHeight="1" x14ac:dyDescent="0.2">
      <c r="E518" s="229"/>
      <c r="F518" s="229"/>
      <c r="G518" s="229"/>
      <c r="H518" s="86"/>
      <c r="L518" s="86"/>
      <c r="M518" s="86"/>
      <c r="V518" s="231"/>
      <c r="W518" s="231"/>
      <c r="X518" s="231"/>
      <c r="Y518" s="231"/>
      <c r="AA518" s="86"/>
      <c r="AC518" s="86"/>
      <c r="AD518" s="86"/>
    </row>
    <row r="519" spans="5:30" ht="11.25" customHeight="1" x14ac:dyDescent="0.2">
      <c r="E519" s="229"/>
      <c r="F519" s="229"/>
      <c r="G519" s="229"/>
      <c r="H519" s="86"/>
      <c r="L519" s="86"/>
      <c r="M519" s="86"/>
      <c r="V519" s="231"/>
      <c r="W519" s="231"/>
      <c r="X519" s="231"/>
      <c r="Y519" s="231"/>
      <c r="AA519" s="86"/>
      <c r="AC519" s="86"/>
      <c r="AD519" s="86"/>
    </row>
    <row r="520" spans="5:30" ht="11.25" customHeight="1" x14ac:dyDescent="0.2">
      <c r="E520" s="229"/>
      <c r="F520" s="229"/>
      <c r="G520" s="229"/>
      <c r="H520" s="86"/>
      <c r="L520" s="86"/>
      <c r="M520" s="86"/>
      <c r="V520" s="231"/>
      <c r="W520" s="231"/>
      <c r="X520" s="231"/>
      <c r="Y520" s="231"/>
      <c r="AA520" s="86"/>
      <c r="AC520" s="86"/>
      <c r="AD520" s="86"/>
    </row>
    <row r="521" spans="5:30" ht="11.25" customHeight="1" x14ac:dyDescent="0.2">
      <c r="E521" s="229"/>
      <c r="F521" s="229"/>
      <c r="G521" s="229"/>
      <c r="H521" s="86"/>
      <c r="L521" s="86"/>
      <c r="M521" s="86"/>
      <c r="V521" s="231"/>
      <c r="W521" s="231"/>
      <c r="X521" s="231"/>
      <c r="Y521" s="231"/>
      <c r="AA521" s="86"/>
      <c r="AC521" s="86"/>
      <c r="AD521" s="86"/>
    </row>
    <row r="522" spans="5:30" ht="11.25" customHeight="1" x14ac:dyDescent="0.2">
      <c r="E522" s="229"/>
      <c r="F522" s="229"/>
      <c r="G522" s="229"/>
      <c r="H522" s="86"/>
      <c r="L522" s="86"/>
      <c r="M522" s="86"/>
      <c r="V522" s="231"/>
      <c r="W522" s="231"/>
      <c r="X522" s="231"/>
      <c r="Y522" s="231"/>
      <c r="AA522" s="86"/>
      <c r="AC522" s="86"/>
      <c r="AD522" s="86"/>
    </row>
    <row r="523" spans="5:30" ht="11.25" customHeight="1" x14ac:dyDescent="0.2">
      <c r="E523" s="229"/>
      <c r="F523" s="229"/>
      <c r="G523" s="229"/>
      <c r="H523" s="86"/>
      <c r="L523" s="86"/>
      <c r="M523" s="86"/>
      <c r="V523" s="231"/>
      <c r="W523" s="231"/>
      <c r="X523" s="231"/>
      <c r="Y523" s="231"/>
      <c r="AA523" s="86"/>
      <c r="AC523" s="86"/>
      <c r="AD523" s="86"/>
    </row>
    <row r="524" spans="5:30" ht="11.25" customHeight="1" x14ac:dyDescent="0.2">
      <c r="E524" s="229"/>
      <c r="F524" s="229"/>
      <c r="G524" s="229"/>
      <c r="H524" s="86"/>
      <c r="L524" s="86"/>
      <c r="M524" s="86"/>
      <c r="V524" s="231"/>
      <c r="W524" s="231"/>
      <c r="X524" s="231"/>
      <c r="Y524" s="231"/>
      <c r="AA524" s="86"/>
      <c r="AC524" s="86"/>
      <c r="AD524" s="86"/>
    </row>
    <row r="525" spans="5:30" ht="11.25" customHeight="1" x14ac:dyDescent="0.2">
      <c r="E525" s="229"/>
      <c r="F525" s="229"/>
      <c r="G525" s="229"/>
      <c r="H525" s="86"/>
      <c r="L525" s="86"/>
      <c r="M525" s="86"/>
      <c r="V525" s="231"/>
      <c r="W525" s="231"/>
      <c r="X525" s="231"/>
      <c r="Y525" s="231"/>
      <c r="AA525" s="86"/>
      <c r="AC525" s="86"/>
      <c r="AD525" s="86"/>
    </row>
    <row r="526" spans="5:30" ht="11.25" customHeight="1" x14ac:dyDescent="0.2">
      <c r="E526" s="229"/>
      <c r="F526" s="229"/>
      <c r="G526" s="229"/>
      <c r="H526" s="86"/>
      <c r="L526" s="86"/>
      <c r="M526" s="86"/>
      <c r="V526" s="231"/>
      <c r="W526" s="231"/>
      <c r="X526" s="231"/>
      <c r="Y526" s="231"/>
      <c r="AA526" s="86"/>
      <c r="AC526" s="86"/>
      <c r="AD526" s="86"/>
    </row>
    <row r="527" spans="5:30" ht="11.25" customHeight="1" x14ac:dyDescent="0.2">
      <c r="E527" s="229"/>
      <c r="F527" s="229"/>
      <c r="G527" s="229"/>
      <c r="H527" s="86"/>
      <c r="L527" s="86"/>
      <c r="M527" s="86"/>
      <c r="V527" s="231"/>
      <c r="W527" s="231"/>
      <c r="X527" s="231"/>
      <c r="Y527" s="231"/>
      <c r="AA527" s="86"/>
      <c r="AC527" s="86"/>
      <c r="AD527" s="86"/>
    </row>
    <row r="528" spans="5:30" ht="11.25" customHeight="1" x14ac:dyDescent="0.2">
      <c r="E528" s="229"/>
      <c r="F528" s="229"/>
      <c r="G528" s="229"/>
      <c r="H528" s="86"/>
      <c r="L528" s="86"/>
      <c r="M528" s="86"/>
      <c r="V528" s="231"/>
      <c r="W528" s="231"/>
      <c r="X528" s="231"/>
      <c r="Y528" s="231"/>
      <c r="AA528" s="86"/>
      <c r="AC528" s="86"/>
      <c r="AD528" s="86"/>
    </row>
    <row r="529" spans="5:30" ht="11.25" customHeight="1" x14ac:dyDescent="0.2">
      <c r="E529" s="229"/>
      <c r="F529" s="229"/>
      <c r="G529" s="229"/>
      <c r="H529" s="86"/>
      <c r="L529" s="86"/>
      <c r="M529" s="86"/>
      <c r="V529" s="231"/>
      <c r="W529" s="231"/>
      <c r="X529" s="231"/>
      <c r="Y529" s="231"/>
      <c r="AA529" s="86"/>
      <c r="AC529" s="86"/>
      <c r="AD529" s="86"/>
    </row>
    <row r="530" spans="5:30" ht="11.25" customHeight="1" x14ac:dyDescent="0.2">
      <c r="E530" s="229"/>
      <c r="F530" s="229"/>
      <c r="G530" s="229"/>
      <c r="H530" s="86"/>
      <c r="L530" s="86"/>
      <c r="M530" s="86"/>
      <c r="V530" s="231"/>
      <c r="W530" s="231"/>
      <c r="X530" s="231"/>
      <c r="Y530" s="231"/>
      <c r="AA530" s="86"/>
      <c r="AC530" s="86"/>
      <c r="AD530" s="86"/>
    </row>
    <row r="531" spans="5:30" ht="11.25" customHeight="1" x14ac:dyDescent="0.2">
      <c r="E531" s="229"/>
      <c r="F531" s="229"/>
      <c r="G531" s="229"/>
      <c r="H531" s="86"/>
      <c r="L531" s="86"/>
      <c r="M531" s="86"/>
      <c r="V531" s="231"/>
      <c r="W531" s="231"/>
      <c r="X531" s="231"/>
      <c r="Y531" s="231"/>
      <c r="AA531" s="86"/>
      <c r="AC531" s="86"/>
      <c r="AD531" s="86"/>
    </row>
    <row r="532" spans="5:30" ht="11.25" customHeight="1" x14ac:dyDescent="0.2">
      <c r="E532" s="229"/>
      <c r="F532" s="229"/>
      <c r="G532" s="229"/>
      <c r="H532" s="86"/>
      <c r="L532" s="86"/>
      <c r="M532" s="86"/>
      <c r="V532" s="231"/>
      <c r="W532" s="231"/>
      <c r="X532" s="231"/>
      <c r="Y532" s="231"/>
      <c r="AA532" s="86"/>
      <c r="AC532" s="86"/>
      <c r="AD532" s="86"/>
    </row>
    <row r="533" spans="5:30" ht="11.25" customHeight="1" x14ac:dyDescent="0.2">
      <c r="E533" s="229"/>
      <c r="F533" s="229"/>
      <c r="G533" s="229"/>
      <c r="H533" s="86"/>
      <c r="L533" s="86"/>
      <c r="M533" s="86"/>
      <c r="V533" s="231"/>
      <c r="W533" s="231"/>
      <c r="X533" s="231"/>
      <c r="Y533" s="231"/>
      <c r="AA533" s="86"/>
      <c r="AC533" s="86"/>
      <c r="AD533" s="86"/>
    </row>
    <row r="534" spans="5:30" ht="11.25" customHeight="1" x14ac:dyDescent="0.2">
      <c r="E534" s="229"/>
      <c r="F534" s="229"/>
      <c r="G534" s="229"/>
      <c r="H534" s="86"/>
      <c r="L534" s="86"/>
      <c r="M534" s="86"/>
      <c r="V534" s="231"/>
      <c r="W534" s="231"/>
      <c r="X534" s="231"/>
      <c r="Y534" s="231"/>
      <c r="AA534" s="86"/>
      <c r="AC534" s="86"/>
      <c r="AD534" s="86"/>
    </row>
    <row r="535" spans="5:30" ht="11.25" customHeight="1" x14ac:dyDescent="0.2">
      <c r="E535" s="229"/>
      <c r="F535" s="229"/>
      <c r="G535" s="229"/>
      <c r="H535" s="86"/>
      <c r="L535" s="86"/>
      <c r="M535" s="86"/>
      <c r="AA535" s="86"/>
      <c r="AC535" s="86"/>
      <c r="AD535" s="86"/>
    </row>
    <row r="536" spans="5:30" ht="11.25" customHeight="1" x14ac:dyDescent="0.2">
      <c r="E536" s="229"/>
      <c r="F536" s="229"/>
      <c r="G536" s="229"/>
      <c r="H536" s="86"/>
      <c r="L536" s="86"/>
      <c r="M536" s="86"/>
      <c r="AA536" s="86"/>
      <c r="AC536" s="86"/>
      <c r="AD536" s="86"/>
    </row>
    <row r="537" spans="5:30" ht="11.25" customHeight="1" x14ac:dyDescent="0.2">
      <c r="E537" s="229"/>
      <c r="F537" s="229"/>
      <c r="G537" s="229"/>
      <c r="H537" s="86"/>
      <c r="L537" s="86"/>
      <c r="M537" s="86"/>
      <c r="AA537" s="86"/>
      <c r="AC537" s="86"/>
      <c r="AD537" s="86"/>
    </row>
    <row r="538" spans="5:30" ht="11.25" customHeight="1" x14ac:dyDescent="0.2">
      <c r="E538" s="229"/>
      <c r="F538" s="229"/>
      <c r="G538" s="229"/>
      <c r="H538" s="86"/>
      <c r="L538" s="86"/>
      <c r="M538" s="86"/>
      <c r="AA538" s="86"/>
      <c r="AC538" s="86"/>
      <c r="AD538" s="86"/>
    </row>
    <row r="539" spans="5:30" ht="11.25" customHeight="1" x14ac:dyDescent="0.2">
      <c r="E539" s="229"/>
      <c r="F539" s="229"/>
      <c r="G539" s="229"/>
      <c r="H539" s="86"/>
      <c r="L539" s="86"/>
      <c r="M539" s="86"/>
      <c r="AA539" s="86"/>
      <c r="AC539" s="86"/>
      <c r="AD539" s="86"/>
    </row>
    <row r="540" spans="5:30" ht="11.25" customHeight="1" x14ac:dyDescent="0.2">
      <c r="E540" s="229"/>
      <c r="F540" s="229"/>
      <c r="G540" s="229"/>
      <c r="H540" s="86"/>
      <c r="L540" s="86"/>
      <c r="M540" s="86"/>
      <c r="AA540" s="86"/>
      <c r="AC540" s="86"/>
      <c r="AD540" s="86"/>
    </row>
    <row r="541" spans="5:30" ht="11.25" customHeight="1" x14ac:dyDescent="0.2">
      <c r="E541" s="229"/>
      <c r="F541" s="229"/>
      <c r="G541" s="229"/>
      <c r="H541" s="86"/>
      <c r="L541" s="86"/>
      <c r="M541" s="86"/>
      <c r="AA541" s="86"/>
      <c r="AC541" s="86"/>
      <c r="AD541" s="86"/>
    </row>
    <row r="542" spans="5:30" ht="11.25" customHeight="1" x14ac:dyDescent="0.2">
      <c r="E542" s="229"/>
      <c r="F542" s="229"/>
      <c r="G542" s="229"/>
      <c r="H542" s="86"/>
      <c r="L542" s="86"/>
      <c r="M542" s="86"/>
      <c r="AA542" s="86"/>
      <c r="AC542" s="86"/>
      <c r="AD542" s="86"/>
    </row>
    <row r="543" spans="5:30" ht="11.25" customHeight="1" x14ac:dyDescent="0.2">
      <c r="E543" s="229"/>
      <c r="F543" s="229"/>
      <c r="G543" s="229"/>
      <c r="H543" s="86"/>
      <c r="L543" s="86"/>
      <c r="M543" s="86"/>
      <c r="AA543" s="86"/>
      <c r="AC543" s="86"/>
      <c r="AD543" s="86"/>
    </row>
    <row r="544" spans="5:30" ht="11.25" customHeight="1" x14ac:dyDescent="0.2">
      <c r="E544" s="229"/>
      <c r="F544" s="229"/>
      <c r="G544" s="229"/>
      <c r="H544" s="86"/>
      <c r="L544" s="86"/>
      <c r="M544" s="86"/>
      <c r="AA544" s="86"/>
      <c r="AC544" s="86"/>
      <c r="AD544" s="86"/>
    </row>
    <row r="545" spans="5:30" ht="11.25" customHeight="1" x14ac:dyDescent="0.2">
      <c r="E545" s="229"/>
      <c r="F545" s="229"/>
      <c r="G545" s="229"/>
      <c r="H545" s="86"/>
      <c r="L545" s="86"/>
      <c r="M545" s="86"/>
      <c r="AA545" s="86"/>
      <c r="AC545" s="86"/>
      <c r="AD545" s="86"/>
    </row>
    <row r="546" spans="5:30" ht="11.25" customHeight="1" x14ac:dyDescent="0.2">
      <c r="E546" s="229"/>
      <c r="F546" s="229"/>
      <c r="G546" s="229"/>
      <c r="H546" s="86"/>
      <c r="L546" s="86"/>
      <c r="M546" s="86"/>
      <c r="AA546" s="86"/>
      <c r="AC546" s="86"/>
      <c r="AD546" s="86"/>
    </row>
    <row r="547" spans="5:30" ht="11.25" customHeight="1" x14ac:dyDescent="0.2">
      <c r="E547" s="229"/>
      <c r="F547" s="229"/>
      <c r="G547" s="229"/>
      <c r="H547" s="86"/>
      <c r="L547" s="86"/>
      <c r="M547" s="86"/>
      <c r="AA547" s="86"/>
      <c r="AC547" s="86"/>
      <c r="AD547" s="86"/>
    </row>
    <row r="548" spans="5:30" ht="11.25" customHeight="1" x14ac:dyDescent="0.2">
      <c r="E548" s="229"/>
      <c r="F548" s="229"/>
      <c r="G548" s="229"/>
      <c r="H548" s="86"/>
      <c r="L548" s="86"/>
      <c r="M548" s="86"/>
      <c r="AA548" s="86"/>
      <c r="AC548" s="86"/>
      <c r="AD548" s="86"/>
    </row>
    <row r="549" spans="5:30" ht="11.25" customHeight="1" x14ac:dyDescent="0.2">
      <c r="E549" s="229"/>
      <c r="F549" s="229"/>
      <c r="G549" s="229"/>
      <c r="H549" s="86"/>
      <c r="L549" s="86"/>
      <c r="M549" s="86"/>
      <c r="AA549" s="86"/>
      <c r="AC549" s="86"/>
      <c r="AD549" s="86"/>
    </row>
    <row r="550" spans="5:30" ht="11.25" customHeight="1" x14ac:dyDescent="0.2">
      <c r="E550" s="229"/>
      <c r="F550" s="229"/>
      <c r="G550" s="229"/>
      <c r="H550" s="86"/>
      <c r="L550" s="86"/>
      <c r="M550" s="86"/>
      <c r="AA550" s="86"/>
      <c r="AC550" s="86"/>
      <c r="AD550" s="86"/>
    </row>
    <row r="551" spans="5:30" ht="11.25" customHeight="1" x14ac:dyDescent="0.2">
      <c r="E551" s="229"/>
      <c r="F551" s="229"/>
      <c r="G551" s="229"/>
      <c r="H551" s="86"/>
      <c r="L551" s="86"/>
      <c r="M551" s="86"/>
      <c r="AA551" s="86"/>
      <c r="AC551" s="86"/>
      <c r="AD551" s="86"/>
    </row>
    <row r="552" spans="5:30" ht="11.25" customHeight="1" x14ac:dyDescent="0.2">
      <c r="E552" s="229"/>
      <c r="F552" s="229"/>
      <c r="G552" s="229"/>
      <c r="H552" s="86"/>
      <c r="L552" s="86"/>
      <c r="M552" s="86"/>
      <c r="AA552" s="86"/>
      <c r="AC552" s="86"/>
      <c r="AD552" s="86"/>
    </row>
    <row r="553" spans="5:30" ht="11.25" customHeight="1" x14ac:dyDescent="0.2">
      <c r="E553" s="229"/>
      <c r="F553" s="229"/>
      <c r="G553" s="229"/>
      <c r="H553" s="86"/>
      <c r="L553" s="86"/>
      <c r="M553" s="86"/>
      <c r="AA553" s="86"/>
      <c r="AC553" s="86"/>
      <c r="AD553" s="86"/>
    </row>
    <row r="554" spans="5:30" ht="11.25" customHeight="1" x14ac:dyDescent="0.2">
      <c r="E554" s="229"/>
      <c r="F554" s="229"/>
      <c r="G554" s="229"/>
      <c r="H554" s="86"/>
      <c r="L554" s="86"/>
      <c r="M554" s="86"/>
      <c r="AA554" s="86"/>
      <c r="AC554" s="86"/>
      <c r="AD554" s="86"/>
    </row>
    <row r="555" spans="5:30" ht="11.25" customHeight="1" x14ac:dyDescent="0.2">
      <c r="E555" s="229"/>
      <c r="F555" s="229"/>
      <c r="G555" s="229"/>
      <c r="H555" s="86"/>
      <c r="L555" s="86"/>
      <c r="M555" s="86"/>
      <c r="AA555" s="86"/>
      <c r="AC555" s="86"/>
      <c r="AD555" s="86"/>
    </row>
    <row r="556" spans="5:30" ht="11.25" customHeight="1" x14ac:dyDescent="0.2">
      <c r="E556" s="229"/>
      <c r="F556" s="229"/>
      <c r="G556" s="229"/>
      <c r="H556" s="86"/>
      <c r="L556" s="86"/>
      <c r="M556" s="86"/>
      <c r="AA556" s="86"/>
      <c r="AC556" s="86"/>
      <c r="AD556" s="86"/>
    </row>
    <row r="557" spans="5:30" ht="11.25" customHeight="1" x14ac:dyDescent="0.2">
      <c r="E557" s="229"/>
      <c r="F557" s="229"/>
      <c r="G557" s="229"/>
      <c r="H557" s="86"/>
      <c r="L557" s="86"/>
      <c r="M557" s="86"/>
      <c r="AA557" s="86"/>
      <c r="AC557" s="86"/>
      <c r="AD557" s="86"/>
    </row>
    <row r="558" spans="5:30" ht="11.25" customHeight="1" x14ac:dyDescent="0.2">
      <c r="E558" s="229"/>
      <c r="F558" s="229"/>
      <c r="G558" s="229"/>
      <c r="H558" s="86"/>
      <c r="L558" s="86"/>
      <c r="M558" s="86"/>
      <c r="AA558" s="86"/>
      <c r="AC558" s="86"/>
      <c r="AD558" s="86"/>
    </row>
    <row r="559" spans="5:30" ht="11.25" customHeight="1" x14ac:dyDescent="0.2">
      <c r="E559" s="229"/>
      <c r="F559" s="229"/>
      <c r="G559" s="229"/>
      <c r="H559" s="86"/>
      <c r="L559" s="86"/>
      <c r="M559" s="86"/>
      <c r="AA559" s="86"/>
      <c r="AC559" s="86"/>
      <c r="AD559" s="86"/>
    </row>
    <row r="560" spans="5:30" ht="11.25" customHeight="1" x14ac:dyDescent="0.2">
      <c r="E560" s="229"/>
      <c r="F560" s="229"/>
      <c r="G560" s="229"/>
      <c r="H560" s="86"/>
      <c r="L560" s="86"/>
      <c r="M560" s="86"/>
      <c r="AA560" s="86"/>
      <c r="AC560" s="86"/>
      <c r="AD560" s="86"/>
    </row>
    <row r="561" spans="5:30" ht="11.25" customHeight="1" x14ac:dyDescent="0.2">
      <c r="E561" s="229"/>
      <c r="F561" s="229"/>
      <c r="G561" s="229"/>
      <c r="H561" s="86"/>
      <c r="L561" s="86"/>
      <c r="M561" s="86"/>
      <c r="AA561" s="86"/>
      <c r="AC561" s="86"/>
      <c r="AD561" s="86"/>
    </row>
    <row r="562" spans="5:30" ht="11.25" customHeight="1" x14ac:dyDescent="0.2">
      <c r="E562" s="229"/>
      <c r="F562" s="229"/>
      <c r="G562" s="229"/>
      <c r="H562" s="86"/>
      <c r="L562" s="86"/>
      <c r="M562" s="86"/>
      <c r="AA562" s="86"/>
      <c r="AC562" s="86"/>
      <c r="AD562" s="86"/>
    </row>
    <row r="563" spans="5:30" ht="11.25" customHeight="1" x14ac:dyDescent="0.2">
      <c r="E563" s="229"/>
      <c r="F563" s="229"/>
      <c r="G563" s="229"/>
      <c r="H563" s="86"/>
      <c r="L563" s="86"/>
      <c r="M563" s="86"/>
      <c r="AA563" s="86"/>
      <c r="AC563" s="86"/>
      <c r="AD563" s="86"/>
    </row>
    <row r="564" spans="5:30" ht="11.25" customHeight="1" x14ac:dyDescent="0.2">
      <c r="E564" s="229"/>
      <c r="F564" s="229"/>
      <c r="G564" s="229"/>
      <c r="H564" s="86"/>
      <c r="L564" s="86"/>
      <c r="M564" s="86"/>
      <c r="AA564" s="86"/>
      <c r="AC564" s="86"/>
      <c r="AD564" s="86"/>
    </row>
    <row r="565" spans="5:30" ht="11.25" customHeight="1" x14ac:dyDescent="0.2">
      <c r="E565" s="229"/>
      <c r="F565" s="229"/>
      <c r="G565" s="229"/>
      <c r="H565" s="86"/>
      <c r="L565" s="86"/>
      <c r="M565" s="86"/>
      <c r="AA565" s="86"/>
      <c r="AC565" s="86"/>
      <c r="AD565" s="86"/>
    </row>
    <row r="566" spans="5:30" ht="11.25" customHeight="1" x14ac:dyDescent="0.2">
      <c r="E566" s="229"/>
      <c r="F566" s="229"/>
      <c r="G566" s="229"/>
      <c r="H566" s="86"/>
      <c r="L566" s="86"/>
      <c r="M566" s="86"/>
      <c r="AA566" s="86"/>
      <c r="AC566" s="86"/>
      <c r="AD566" s="86"/>
    </row>
    <row r="567" spans="5:30" ht="11.25" customHeight="1" x14ac:dyDescent="0.2">
      <c r="E567" s="229"/>
      <c r="F567" s="229"/>
      <c r="G567" s="229"/>
      <c r="H567" s="86"/>
      <c r="L567" s="86"/>
      <c r="M567" s="86"/>
      <c r="AA567" s="86"/>
      <c r="AC567" s="86"/>
      <c r="AD567" s="86"/>
    </row>
    <row r="568" spans="5:30" ht="11.25" customHeight="1" x14ac:dyDescent="0.2">
      <c r="E568" s="229"/>
      <c r="F568" s="229"/>
      <c r="G568" s="229"/>
      <c r="H568" s="86"/>
      <c r="L568" s="86"/>
      <c r="M568" s="86"/>
      <c r="AA568" s="86"/>
      <c r="AC568" s="86"/>
      <c r="AD568" s="86"/>
    </row>
    <row r="569" spans="5:30" ht="11.25" customHeight="1" x14ac:dyDescent="0.2">
      <c r="E569" s="229"/>
      <c r="F569" s="229"/>
      <c r="G569" s="229"/>
      <c r="H569" s="86"/>
      <c r="L569" s="86"/>
      <c r="M569" s="86"/>
      <c r="AA569" s="86"/>
      <c r="AC569" s="86"/>
      <c r="AD569" s="86"/>
    </row>
    <row r="570" spans="5:30" ht="11.25" customHeight="1" x14ac:dyDescent="0.2">
      <c r="E570" s="229"/>
      <c r="F570" s="229"/>
      <c r="G570" s="229"/>
      <c r="H570" s="86"/>
      <c r="L570" s="86"/>
      <c r="M570" s="86"/>
      <c r="AA570" s="86"/>
      <c r="AC570" s="86"/>
      <c r="AD570" s="86"/>
    </row>
    <row r="571" spans="5:30" ht="11.25" customHeight="1" x14ac:dyDescent="0.2">
      <c r="E571" s="229"/>
      <c r="F571" s="229"/>
      <c r="G571" s="229"/>
      <c r="H571" s="86"/>
      <c r="L571" s="86"/>
      <c r="M571" s="86"/>
      <c r="AA571" s="86"/>
      <c r="AC571" s="86"/>
      <c r="AD571" s="86"/>
    </row>
    <row r="572" spans="5:30" ht="11.25" customHeight="1" x14ac:dyDescent="0.2">
      <c r="E572" s="229"/>
      <c r="F572" s="229"/>
      <c r="G572" s="229"/>
      <c r="H572" s="86"/>
      <c r="L572" s="86"/>
      <c r="M572" s="86"/>
      <c r="AA572" s="86"/>
      <c r="AC572" s="86"/>
      <c r="AD572" s="86"/>
    </row>
    <row r="573" spans="5:30" ht="11.25" customHeight="1" x14ac:dyDescent="0.2">
      <c r="E573" s="229"/>
      <c r="F573" s="229"/>
      <c r="G573" s="229"/>
      <c r="H573" s="86"/>
      <c r="L573" s="86"/>
      <c r="M573" s="86"/>
      <c r="AA573" s="86"/>
      <c r="AC573" s="86"/>
      <c r="AD573" s="86"/>
    </row>
    <row r="574" spans="5:30" ht="11.25" customHeight="1" x14ac:dyDescent="0.2">
      <c r="E574" s="229"/>
      <c r="F574" s="229"/>
      <c r="G574" s="229"/>
      <c r="H574" s="86"/>
      <c r="L574" s="86"/>
      <c r="M574" s="86"/>
      <c r="AA574" s="86"/>
      <c r="AC574" s="86"/>
      <c r="AD574" s="86"/>
    </row>
    <row r="575" spans="5:30" ht="11.25" customHeight="1" x14ac:dyDescent="0.2">
      <c r="E575" s="229"/>
      <c r="F575" s="229"/>
      <c r="G575" s="229"/>
      <c r="H575" s="86"/>
      <c r="L575" s="86"/>
      <c r="M575" s="86"/>
      <c r="AA575" s="86"/>
      <c r="AC575" s="86"/>
      <c r="AD575" s="86"/>
    </row>
    <row r="576" spans="5:30" ht="11.25" customHeight="1" x14ac:dyDescent="0.2">
      <c r="E576" s="229"/>
      <c r="F576" s="229"/>
      <c r="G576" s="229"/>
      <c r="H576" s="86"/>
      <c r="L576" s="86"/>
      <c r="M576" s="86"/>
      <c r="AA576" s="86"/>
      <c r="AC576" s="86"/>
      <c r="AD576" s="86"/>
    </row>
    <row r="577" spans="5:30" ht="11.25" customHeight="1" x14ac:dyDescent="0.2">
      <c r="E577" s="229"/>
      <c r="F577" s="229"/>
      <c r="G577" s="229"/>
      <c r="H577" s="86"/>
      <c r="L577" s="86"/>
      <c r="M577" s="86"/>
      <c r="AA577" s="86"/>
      <c r="AC577" s="86"/>
      <c r="AD577" s="86"/>
    </row>
    <row r="578" spans="5:30" ht="11.25" customHeight="1" x14ac:dyDescent="0.2">
      <c r="E578" s="229"/>
      <c r="F578" s="229"/>
      <c r="G578" s="229"/>
      <c r="H578" s="86"/>
      <c r="L578" s="86"/>
      <c r="M578" s="86"/>
      <c r="AA578" s="86"/>
      <c r="AC578" s="86"/>
      <c r="AD578" s="86"/>
    </row>
    <row r="579" spans="5:30" ht="11.25" customHeight="1" x14ac:dyDescent="0.2">
      <c r="E579" s="229"/>
      <c r="F579" s="229"/>
      <c r="G579" s="229"/>
      <c r="H579" s="86"/>
      <c r="L579" s="86"/>
      <c r="M579" s="86"/>
      <c r="AA579" s="86"/>
      <c r="AC579" s="86"/>
      <c r="AD579" s="86"/>
    </row>
    <row r="580" spans="5:30" ht="11.25" customHeight="1" x14ac:dyDescent="0.2">
      <c r="E580" s="229"/>
      <c r="F580" s="229"/>
      <c r="G580" s="229"/>
      <c r="H580" s="86"/>
      <c r="L580" s="86"/>
      <c r="M580" s="86"/>
      <c r="AA580" s="86"/>
      <c r="AC580" s="86"/>
      <c r="AD580" s="86"/>
    </row>
    <row r="581" spans="5:30" ht="11.25" customHeight="1" x14ac:dyDescent="0.2">
      <c r="E581" s="229"/>
      <c r="F581" s="229"/>
      <c r="G581" s="229"/>
      <c r="H581" s="86"/>
      <c r="L581" s="86"/>
      <c r="M581" s="86"/>
      <c r="AA581" s="86"/>
      <c r="AC581" s="86"/>
      <c r="AD581" s="86"/>
    </row>
    <row r="582" spans="5:30" ht="11.25" customHeight="1" x14ac:dyDescent="0.2">
      <c r="E582" s="229"/>
      <c r="F582" s="229"/>
      <c r="G582" s="229"/>
      <c r="H582" s="86"/>
      <c r="L582" s="86"/>
      <c r="M582" s="86"/>
      <c r="AA582" s="86"/>
      <c r="AC582" s="86"/>
      <c r="AD582" s="86"/>
    </row>
    <row r="583" spans="5:30" ht="11.25" customHeight="1" x14ac:dyDescent="0.2">
      <c r="E583" s="229"/>
      <c r="F583" s="229"/>
      <c r="G583" s="229"/>
      <c r="H583" s="86"/>
      <c r="L583" s="86"/>
      <c r="M583" s="86"/>
      <c r="AA583" s="86"/>
      <c r="AC583" s="86"/>
      <c r="AD583" s="86"/>
    </row>
    <row r="584" spans="5:30" ht="11.25" customHeight="1" x14ac:dyDescent="0.2">
      <c r="E584" s="229"/>
      <c r="F584" s="229"/>
      <c r="G584" s="229"/>
      <c r="H584" s="86"/>
      <c r="L584" s="86"/>
      <c r="M584" s="86"/>
      <c r="AA584" s="86"/>
      <c r="AC584" s="86"/>
      <c r="AD584" s="86"/>
    </row>
    <row r="585" spans="5:30" ht="11.25" customHeight="1" x14ac:dyDescent="0.2">
      <c r="E585" s="229"/>
      <c r="F585" s="229"/>
      <c r="G585" s="229"/>
      <c r="H585" s="86"/>
      <c r="L585" s="86"/>
      <c r="M585" s="86"/>
      <c r="AA585" s="86"/>
      <c r="AC585" s="86"/>
      <c r="AD585" s="86"/>
    </row>
    <row r="586" spans="5:30" ht="11.25" customHeight="1" x14ac:dyDescent="0.2">
      <c r="E586" s="229"/>
      <c r="F586" s="229"/>
      <c r="G586" s="229"/>
      <c r="H586" s="86"/>
      <c r="L586" s="86"/>
      <c r="M586" s="86"/>
      <c r="AA586" s="86"/>
      <c r="AC586" s="86"/>
      <c r="AD586" s="86"/>
    </row>
    <row r="587" spans="5:30" ht="11.25" customHeight="1" x14ac:dyDescent="0.2">
      <c r="E587" s="229"/>
      <c r="F587" s="229"/>
      <c r="G587" s="229"/>
      <c r="H587" s="86"/>
      <c r="L587" s="86"/>
      <c r="M587" s="86"/>
      <c r="AA587" s="86"/>
      <c r="AC587" s="86"/>
      <c r="AD587" s="86"/>
    </row>
    <row r="588" spans="5:30" x14ac:dyDescent="0.2">
      <c r="E588" s="229"/>
      <c r="F588" s="229"/>
      <c r="G588" s="229"/>
      <c r="H588" s="86"/>
      <c r="L588" s="86"/>
      <c r="M588" s="86"/>
      <c r="AA588" s="86"/>
      <c r="AC588" s="86"/>
      <c r="AD588" s="86"/>
    </row>
    <row r="589" spans="5:30" x14ac:dyDescent="0.2">
      <c r="E589" s="229"/>
      <c r="F589" s="229"/>
      <c r="G589" s="229"/>
      <c r="H589" s="86"/>
      <c r="L589" s="86"/>
      <c r="M589" s="86"/>
      <c r="AA589" s="86"/>
      <c r="AC589" s="86"/>
      <c r="AD589" s="86"/>
    </row>
    <row r="590" spans="5:30" x14ac:dyDescent="0.2">
      <c r="E590" s="229"/>
      <c r="F590" s="229"/>
      <c r="G590" s="229"/>
      <c r="H590" s="86"/>
      <c r="L590" s="86"/>
      <c r="M590" s="86"/>
      <c r="AA590" s="86"/>
      <c r="AC590" s="86"/>
      <c r="AD590" s="86"/>
    </row>
    <row r="591" spans="5:30" x14ac:dyDescent="0.2">
      <c r="AA591" s="86"/>
      <c r="AC591" s="86"/>
      <c r="AD591" s="86"/>
    </row>
    <row r="592" spans="5:30" x14ac:dyDescent="0.2">
      <c r="AA592" s="86"/>
      <c r="AC592" s="86"/>
      <c r="AD592" s="86"/>
    </row>
    <row r="593" spans="27:30" x14ac:dyDescent="0.2">
      <c r="AA593" s="86"/>
      <c r="AC593" s="86"/>
      <c r="AD593" s="86"/>
    </row>
    <row r="594" spans="27:30" x14ac:dyDescent="0.2">
      <c r="AA594" s="86"/>
      <c r="AC594" s="86"/>
      <c r="AD594" s="86"/>
    </row>
    <row r="595" spans="27:30" x14ac:dyDescent="0.2">
      <c r="AA595" s="86"/>
      <c r="AC595" s="86"/>
      <c r="AD595" s="86"/>
    </row>
    <row r="596" spans="27:30" x14ac:dyDescent="0.2">
      <c r="AA596" s="86"/>
      <c r="AC596" s="86"/>
      <c r="AD596" s="86"/>
    </row>
    <row r="597" spans="27:30" x14ac:dyDescent="0.2">
      <c r="AA597" s="86"/>
      <c r="AC597" s="86"/>
      <c r="AD597" s="86"/>
    </row>
    <row r="598" spans="27:30" x14ac:dyDescent="0.2">
      <c r="AA598" s="86"/>
      <c r="AC598" s="86"/>
      <c r="AD598" s="86"/>
    </row>
    <row r="599" spans="27:30" x14ac:dyDescent="0.2">
      <c r="AA599" s="86"/>
      <c r="AC599" s="86"/>
      <c r="AD599" s="86"/>
    </row>
    <row r="600" spans="27:30" x14ac:dyDescent="0.2">
      <c r="AA600" s="86"/>
      <c r="AC600" s="86"/>
      <c r="AD600" s="86"/>
    </row>
    <row r="601" spans="27:30" x14ac:dyDescent="0.2">
      <c r="AA601" s="86"/>
      <c r="AC601" s="86"/>
      <c r="AD601" s="86"/>
    </row>
    <row r="602" spans="27:30" x14ac:dyDescent="0.2">
      <c r="AA602" s="86"/>
      <c r="AC602" s="86"/>
      <c r="AD602" s="86"/>
    </row>
    <row r="603" spans="27:30" x14ac:dyDescent="0.2">
      <c r="AA603" s="86"/>
      <c r="AC603" s="86"/>
      <c r="AD603" s="86"/>
    </row>
    <row r="604" spans="27:30" x14ac:dyDescent="0.2">
      <c r="AA604" s="86"/>
      <c r="AC604" s="86"/>
      <c r="AD604" s="86"/>
    </row>
    <row r="605" spans="27:30" x14ac:dyDescent="0.2">
      <c r="AA605" s="86"/>
      <c r="AC605" s="86"/>
      <c r="AD605" s="86"/>
    </row>
    <row r="606" spans="27:30" x14ac:dyDescent="0.2">
      <c r="AA606" s="86"/>
      <c r="AC606" s="86"/>
      <c r="AD606" s="86"/>
    </row>
    <row r="607" spans="27:30" x14ac:dyDescent="0.2">
      <c r="AA607" s="86"/>
      <c r="AC607" s="86"/>
      <c r="AD607" s="86"/>
    </row>
    <row r="608" spans="27:30" x14ac:dyDescent="0.2">
      <c r="AA608" s="86"/>
      <c r="AC608" s="86"/>
      <c r="AD608" s="86"/>
    </row>
    <row r="609" spans="27:30" x14ac:dyDescent="0.2">
      <c r="AA609" s="86"/>
      <c r="AC609" s="86"/>
      <c r="AD609" s="86"/>
    </row>
    <row r="610" spans="27:30" x14ac:dyDescent="0.2">
      <c r="AA610" s="86"/>
      <c r="AC610" s="86"/>
      <c r="AD610" s="86"/>
    </row>
    <row r="611" spans="27:30" x14ac:dyDescent="0.2">
      <c r="AA611" s="86"/>
      <c r="AC611" s="86"/>
      <c r="AD611" s="86"/>
    </row>
    <row r="612" spans="27:30" x14ac:dyDescent="0.2">
      <c r="AA612" s="86"/>
      <c r="AC612" s="86"/>
      <c r="AD612" s="86"/>
    </row>
    <row r="613" spans="27:30" x14ac:dyDescent="0.2">
      <c r="AA613" s="86"/>
      <c r="AC613" s="86"/>
      <c r="AD613" s="86"/>
    </row>
    <row r="614" spans="27:30" x14ac:dyDescent="0.2">
      <c r="AA614" s="86"/>
      <c r="AC614" s="86"/>
      <c r="AD614" s="86"/>
    </row>
    <row r="615" spans="27:30" x14ac:dyDescent="0.2">
      <c r="AA615" s="86"/>
      <c r="AC615" s="86"/>
      <c r="AD615" s="86"/>
    </row>
    <row r="616" spans="27:30" x14ac:dyDescent="0.2">
      <c r="AA616" s="86"/>
      <c r="AC616" s="86"/>
      <c r="AD616" s="86"/>
    </row>
    <row r="617" spans="27:30" x14ac:dyDescent="0.2">
      <c r="AA617" s="86"/>
      <c r="AC617" s="86"/>
      <c r="AD617" s="86"/>
    </row>
    <row r="618" spans="27:30" x14ac:dyDescent="0.2">
      <c r="AA618" s="86"/>
      <c r="AC618" s="86"/>
      <c r="AD618" s="86"/>
    </row>
    <row r="619" spans="27:30" x14ac:dyDescent="0.2">
      <c r="AA619" s="86"/>
      <c r="AC619" s="86"/>
      <c r="AD619" s="86"/>
    </row>
    <row r="620" spans="27:30" x14ac:dyDescent="0.2">
      <c r="AA620" s="86"/>
      <c r="AC620" s="86"/>
      <c r="AD620" s="86"/>
    </row>
    <row r="621" spans="27:30" x14ac:dyDescent="0.2">
      <c r="AA621" s="86"/>
      <c r="AC621" s="86"/>
      <c r="AD621" s="86"/>
    </row>
    <row r="622" spans="27:30" x14ac:dyDescent="0.2">
      <c r="AA622" s="86"/>
      <c r="AC622" s="86"/>
      <c r="AD622" s="86"/>
    </row>
    <row r="623" spans="27:30" x14ac:dyDescent="0.2">
      <c r="AA623" s="86"/>
      <c r="AC623" s="86"/>
      <c r="AD623" s="86"/>
    </row>
    <row r="624" spans="27:30" x14ac:dyDescent="0.2">
      <c r="AA624" s="86"/>
      <c r="AC624" s="86"/>
      <c r="AD624" s="86"/>
    </row>
    <row r="625" spans="27:30" x14ac:dyDescent="0.2">
      <c r="AA625" s="86"/>
      <c r="AC625" s="86"/>
      <c r="AD625" s="86"/>
    </row>
    <row r="626" spans="27:30" x14ac:dyDescent="0.2">
      <c r="AA626" s="86"/>
      <c r="AC626" s="86"/>
      <c r="AD626" s="86"/>
    </row>
    <row r="627" spans="27:30" x14ac:dyDescent="0.2">
      <c r="AA627" s="86"/>
      <c r="AC627" s="86"/>
      <c r="AD627" s="86"/>
    </row>
    <row r="628" spans="27:30" x14ac:dyDescent="0.2">
      <c r="AA628" s="86"/>
      <c r="AC628" s="86"/>
      <c r="AD628" s="86"/>
    </row>
    <row r="629" spans="27:30" x14ac:dyDescent="0.2">
      <c r="AA629" s="86"/>
      <c r="AC629" s="86"/>
      <c r="AD629" s="86"/>
    </row>
    <row r="630" spans="27:30" x14ac:dyDescent="0.2">
      <c r="AA630" s="86"/>
      <c r="AC630" s="86"/>
      <c r="AD630" s="86"/>
    </row>
    <row r="631" spans="27:30" x14ac:dyDescent="0.2">
      <c r="AA631" s="86"/>
      <c r="AC631" s="86"/>
      <c r="AD631" s="86"/>
    </row>
    <row r="632" spans="27:30" x14ac:dyDescent="0.2">
      <c r="AA632" s="86"/>
      <c r="AC632" s="86"/>
      <c r="AD632" s="86"/>
    </row>
    <row r="633" spans="27:30" x14ac:dyDescent="0.2">
      <c r="AA633" s="86"/>
      <c r="AC633" s="86"/>
      <c r="AD633" s="86"/>
    </row>
    <row r="634" spans="27:30" x14ac:dyDescent="0.2">
      <c r="AA634" s="86"/>
      <c r="AC634" s="86"/>
      <c r="AD634" s="86"/>
    </row>
    <row r="635" spans="27:30" x14ac:dyDescent="0.2">
      <c r="AA635" s="86"/>
      <c r="AC635" s="86"/>
      <c r="AD635" s="86"/>
    </row>
    <row r="636" spans="27:30" x14ac:dyDescent="0.2">
      <c r="AA636" s="86"/>
      <c r="AC636" s="86"/>
      <c r="AD636" s="86"/>
    </row>
    <row r="637" spans="27:30" x14ac:dyDescent="0.2">
      <c r="AA637" s="86"/>
      <c r="AC637" s="86"/>
      <c r="AD637" s="86"/>
    </row>
    <row r="638" spans="27:30" x14ac:dyDescent="0.2">
      <c r="AA638" s="86"/>
      <c r="AC638" s="86"/>
      <c r="AD638" s="86"/>
    </row>
    <row r="639" spans="27:30" x14ac:dyDescent="0.2">
      <c r="AA639" s="86"/>
      <c r="AC639" s="86"/>
      <c r="AD639" s="86"/>
    </row>
    <row r="640" spans="27:30" x14ac:dyDescent="0.2">
      <c r="AA640" s="86"/>
      <c r="AC640" s="86"/>
      <c r="AD640" s="86"/>
    </row>
    <row r="641" spans="27:30" x14ac:dyDescent="0.2">
      <c r="AA641" s="86"/>
      <c r="AC641" s="86"/>
      <c r="AD641" s="86"/>
    </row>
    <row r="642" spans="27:30" x14ac:dyDescent="0.2">
      <c r="AA642" s="86"/>
      <c r="AC642" s="86"/>
      <c r="AD642" s="86"/>
    </row>
    <row r="643" spans="27:30" x14ac:dyDescent="0.2">
      <c r="AA643" s="86"/>
      <c r="AC643" s="86"/>
      <c r="AD643" s="86"/>
    </row>
    <row r="644" spans="27:30" x14ac:dyDescent="0.2">
      <c r="AA644" s="86"/>
      <c r="AC644" s="86"/>
      <c r="AD644" s="86"/>
    </row>
    <row r="645" spans="27:30" x14ac:dyDescent="0.2">
      <c r="AA645" s="86"/>
      <c r="AC645" s="86"/>
      <c r="AD645" s="86"/>
    </row>
    <row r="646" spans="27:30" x14ac:dyDescent="0.2">
      <c r="AA646" s="86"/>
      <c r="AC646" s="86"/>
      <c r="AD646" s="86"/>
    </row>
    <row r="647" spans="27:30" x14ac:dyDescent="0.2">
      <c r="AA647" s="86"/>
      <c r="AC647" s="86"/>
      <c r="AD647" s="86"/>
    </row>
    <row r="648" spans="27:30" x14ac:dyDescent="0.2">
      <c r="AA648" s="86"/>
      <c r="AC648" s="86"/>
      <c r="AD648" s="86"/>
    </row>
    <row r="649" spans="27:30" x14ac:dyDescent="0.2">
      <c r="AA649" s="86"/>
      <c r="AC649" s="86"/>
      <c r="AD649" s="86"/>
    </row>
    <row r="650" spans="27:30" x14ac:dyDescent="0.2">
      <c r="AA650" s="86"/>
      <c r="AC650" s="86"/>
      <c r="AD650" s="86"/>
    </row>
    <row r="651" spans="27:30" x14ac:dyDescent="0.2">
      <c r="AA651" s="86"/>
      <c r="AC651" s="86"/>
      <c r="AD651" s="86"/>
    </row>
    <row r="652" spans="27:30" x14ac:dyDescent="0.2">
      <c r="AA652" s="86"/>
      <c r="AC652" s="86"/>
      <c r="AD652" s="86"/>
    </row>
    <row r="653" spans="27:30" x14ac:dyDescent="0.2">
      <c r="AA653" s="86"/>
      <c r="AC653" s="86"/>
      <c r="AD653" s="86"/>
    </row>
    <row r="654" spans="27:30" x14ac:dyDescent="0.2">
      <c r="AA654" s="86"/>
      <c r="AC654" s="86"/>
      <c r="AD654" s="86"/>
    </row>
    <row r="655" spans="27:30" x14ac:dyDescent="0.2">
      <c r="AA655" s="86"/>
      <c r="AC655" s="86"/>
      <c r="AD655" s="86"/>
    </row>
    <row r="656" spans="27:30" x14ac:dyDescent="0.2">
      <c r="AA656" s="86"/>
      <c r="AC656" s="86"/>
      <c r="AD656" s="86"/>
    </row>
    <row r="657" spans="27:30" x14ac:dyDescent="0.2">
      <c r="AA657" s="86"/>
      <c r="AC657" s="86"/>
      <c r="AD657" s="86"/>
    </row>
    <row r="658" spans="27:30" x14ac:dyDescent="0.2">
      <c r="AA658" s="86"/>
      <c r="AC658" s="86"/>
      <c r="AD658" s="86"/>
    </row>
    <row r="659" spans="27:30" x14ac:dyDescent="0.2">
      <c r="AA659" s="86"/>
      <c r="AC659" s="86"/>
      <c r="AD659" s="86"/>
    </row>
    <row r="660" spans="27:30" x14ac:dyDescent="0.2">
      <c r="AA660" s="86"/>
      <c r="AC660" s="86"/>
      <c r="AD660" s="86"/>
    </row>
    <row r="661" spans="27:30" x14ac:dyDescent="0.2">
      <c r="AA661" s="86"/>
      <c r="AC661" s="86"/>
      <c r="AD661" s="86"/>
    </row>
    <row r="662" spans="27:30" x14ac:dyDescent="0.2">
      <c r="AA662" s="86"/>
      <c r="AC662" s="86"/>
      <c r="AD662" s="86"/>
    </row>
    <row r="663" spans="27:30" x14ac:dyDescent="0.2">
      <c r="AA663" s="86"/>
      <c r="AC663" s="86"/>
      <c r="AD663" s="86"/>
    </row>
    <row r="664" spans="27:30" x14ac:dyDescent="0.2">
      <c r="AA664" s="86"/>
      <c r="AC664" s="86"/>
      <c r="AD664" s="86"/>
    </row>
    <row r="665" spans="27:30" x14ac:dyDescent="0.2">
      <c r="AA665" s="86"/>
      <c r="AC665" s="86"/>
      <c r="AD665" s="86"/>
    </row>
    <row r="666" spans="27:30" x14ac:dyDescent="0.2">
      <c r="AA666" s="86"/>
      <c r="AC666" s="86"/>
      <c r="AD666" s="86"/>
    </row>
    <row r="667" spans="27:30" x14ac:dyDescent="0.2">
      <c r="AA667" s="86"/>
      <c r="AC667" s="86"/>
      <c r="AD667" s="86"/>
    </row>
    <row r="668" spans="27:30" x14ac:dyDescent="0.2">
      <c r="AA668" s="86"/>
      <c r="AC668" s="86"/>
      <c r="AD668" s="86"/>
    </row>
    <row r="669" spans="27:30" x14ac:dyDescent="0.2">
      <c r="AA669" s="86"/>
      <c r="AC669" s="86"/>
      <c r="AD669" s="86"/>
    </row>
    <row r="670" spans="27:30" x14ac:dyDescent="0.2">
      <c r="AA670" s="86"/>
      <c r="AC670" s="86"/>
      <c r="AD670" s="86"/>
    </row>
    <row r="671" spans="27:30" x14ac:dyDescent="0.2">
      <c r="AA671" s="86"/>
      <c r="AC671" s="86"/>
      <c r="AD671" s="86"/>
    </row>
    <row r="672" spans="27:30" x14ac:dyDescent="0.2">
      <c r="AA672" s="86"/>
      <c r="AC672" s="86"/>
      <c r="AD672" s="86"/>
    </row>
    <row r="673" spans="27:30" x14ac:dyDescent="0.2">
      <c r="AA673" s="86"/>
      <c r="AC673" s="86"/>
      <c r="AD673" s="86"/>
    </row>
    <row r="674" spans="27:30" x14ac:dyDescent="0.2">
      <c r="AA674" s="86"/>
      <c r="AC674" s="86"/>
      <c r="AD674" s="86"/>
    </row>
    <row r="675" spans="27:30" x14ac:dyDescent="0.2">
      <c r="AA675" s="86"/>
      <c r="AC675" s="86"/>
      <c r="AD675" s="86"/>
    </row>
    <row r="676" spans="27:30" x14ac:dyDescent="0.2">
      <c r="AA676" s="86"/>
      <c r="AC676" s="86"/>
      <c r="AD676" s="86"/>
    </row>
    <row r="677" spans="27:30" x14ac:dyDescent="0.2">
      <c r="AA677" s="86"/>
      <c r="AC677" s="86"/>
      <c r="AD677" s="86"/>
    </row>
    <row r="678" spans="27:30" x14ac:dyDescent="0.2">
      <c r="AA678" s="86"/>
      <c r="AC678" s="86"/>
      <c r="AD678" s="86"/>
    </row>
    <row r="679" spans="27:30" x14ac:dyDescent="0.2">
      <c r="AA679" s="86"/>
      <c r="AC679" s="86"/>
      <c r="AD679" s="86"/>
    </row>
    <row r="680" spans="27:30" x14ac:dyDescent="0.2">
      <c r="AA680" s="86"/>
      <c r="AC680" s="86"/>
      <c r="AD680" s="86"/>
    </row>
    <row r="681" spans="27:30" x14ac:dyDescent="0.2">
      <c r="AA681" s="86"/>
      <c r="AC681" s="86"/>
      <c r="AD681" s="86"/>
    </row>
    <row r="682" spans="27:30" x14ac:dyDescent="0.2">
      <c r="AA682" s="86"/>
      <c r="AC682" s="86"/>
      <c r="AD682" s="86"/>
    </row>
    <row r="683" spans="27:30" x14ac:dyDescent="0.2">
      <c r="AA683" s="86"/>
      <c r="AC683" s="86"/>
      <c r="AD683" s="86"/>
    </row>
    <row r="684" spans="27:30" x14ac:dyDescent="0.2">
      <c r="AA684" s="86"/>
      <c r="AC684" s="86"/>
      <c r="AD684" s="86"/>
    </row>
    <row r="685" spans="27:30" x14ac:dyDescent="0.2">
      <c r="AA685" s="86"/>
      <c r="AC685" s="86"/>
      <c r="AD685" s="86"/>
    </row>
    <row r="686" spans="27:30" x14ac:dyDescent="0.2">
      <c r="AA686" s="86"/>
      <c r="AC686" s="86"/>
      <c r="AD686" s="86"/>
    </row>
    <row r="687" spans="27:30" x14ac:dyDescent="0.2">
      <c r="AA687" s="86"/>
      <c r="AC687" s="86"/>
      <c r="AD687" s="86"/>
    </row>
    <row r="688" spans="27:30" x14ac:dyDescent="0.2">
      <c r="AA688" s="86"/>
      <c r="AC688" s="86"/>
      <c r="AD688" s="86"/>
    </row>
    <row r="689" spans="27:30" x14ac:dyDescent="0.2">
      <c r="AA689" s="86"/>
      <c r="AC689" s="86"/>
      <c r="AD689" s="86"/>
    </row>
    <row r="690" spans="27:30" x14ac:dyDescent="0.2">
      <c r="AA690" s="86"/>
      <c r="AC690" s="86"/>
      <c r="AD690" s="86"/>
    </row>
    <row r="691" spans="27:30" x14ac:dyDescent="0.2">
      <c r="AA691" s="86"/>
      <c r="AC691" s="86"/>
      <c r="AD691" s="86"/>
    </row>
    <row r="692" spans="27:30" x14ac:dyDescent="0.2">
      <c r="AA692" s="86"/>
      <c r="AC692" s="86"/>
      <c r="AD692" s="86"/>
    </row>
    <row r="693" spans="27:30" x14ac:dyDescent="0.2">
      <c r="AA693" s="86"/>
      <c r="AC693" s="86"/>
      <c r="AD693" s="86"/>
    </row>
    <row r="694" spans="27:30" x14ac:dyDescent="0.2">
      <c r="AA694" s="86"/>
      <c r="AC694" s="86"/>
      <c r="AD694" s="86"/>
    </row>
    <row r="695" spans="27:30" x14ac:dyDescent="0.2">
      <c r="AA695" s="86"/>
      <c r="AC695" s="86"/>
      <c r="AD695" s="86"/>
    </row>
    <row r="696" spans="27:30" x14ac:dyDescent="0.2">
      <c r="AA696" s="86"/>
      <c r="AC696" s="86"/>
      <c r="AD696" s="86"/>
    </row>
    <row r="697" spans="27:30" x14ac:dyDescent="0.2">
      <c r="AA697" s="86"/>
      <c r="AC697" s="86"/>
      <c r="AD697" s="86"/>
    </row>
    <row r="698" spans="27:30" x14ac:dyDescent="0.2">
      <c r="AA698" s="86"/>
      <c r="AC698" s="86"/>
      <c r="AD698" s="86"/>
    </row>
    <row r="699" spans="27:30" x14ac:dyDescent="0.2">
      <c r="AA699" s="86"/>
      <c r="AC699" s="86"/>
      <c r="AD699" s="86"/>
    </row>
    <row r="700" spans="27:30" x14ac:dyDescent="0.2">
      <c r="AA700" s="86"/>
      <c r="AC700" s="86"/>
      <c r="AD700" s="86"/>
    </row>
    <row r="701" spans="27:30" x14ac:dyDescent="0.2">
      <c r="AA701" s="86"/>
      <c r="AC701" s="86"/>
      <c r="AD701" s="86"/>
    </row>
    <row r="702" spans="27:30" x14ac:dyDescent="0.2">
      <c r="AA702" s="86"/>
      <c r="AC702" s="86"/>
      <c r="AD702" s="86"/>
    </row>
    <row r="703" spans="27:30" x14ac:dyDescent="0.2">
      <c r="AA703" s="86"/>
      <c r="AC703" s="86"/>
      <c r="AD703" s="86"/>
    </row>
    <row r="704" spans="27:30" x14ac:dyDescent="0.2">
      <c r="AA704" s="86"/>
      <c r="AC704" s="86"/>
      <c r="AD704" s="86"/>
    </row>
    <row r="705" spans="27:30" x14ac:dyDescent="0.2">
      <c r="AA705" s="86"/>
      <c r="AC705" s="86"/>
      <c r="AD705" s="86"/>
    </row>
    <row r="706" spans="27:30" x14ac:dyDescent="0.2">
      <c r="AA706" s="86"/>
      <c r="AC706" s="86"/>
      <c r="AD706" s="86"/>
    </row>
    <row r="707" spans="27:30" x14ac:dyDescent="0.2">
      <c r="AA707" s="86"/>
      <c r="AC707" s="86"/>
      <c r="AD707" s="86"/>
    </row>
    <row r="708" spans="27:30" x14ac:dyDescent="0.2">
      <c r="AA708" s="86"/>
      <c r="AC708" s="86"/>
      <c r="AD708" s="86"/>
    </row>
    <row r="709" spans="27:30" x14ac:dyDescent="0.2">
      <c r="AA709" s="86"/>
      <c r="AC709" s="86"/>
      <c r="AD709" s="86"/>
    </row>
    <row r="710" spans="27:30" x14ac:dyDescent="0.2">
      <c r="AA710" s="86"/>
      <c r="AC710" s="86"/>
      <c r="AD710" s="86"/>
    </row>
    <row r="711" spans="27:30" x14ac:dyDescent="0.2">
      <c r="AA711" s="86"/>
      <c r="AC711" s="86"/>
      <c r="AD711" s="86"/>
    </row>
    <row r="712" spans="27:30" x14ac:dyDescent="0.2">
      <c r="AA712" s="86"/>
      <c r="AC712" s="86"/>
      <c r="AD712" s="86"/>
    </row>
    <row r="713" spans="27:30" x14ac:dyDescent="0.2">
      <c r="AA713" s="86"/>
      <c r="AC713" s="86"/>
      <c r="AD713" s="86"/>
    </row>
    <row r="714" spans="27:30" x14ac:dyDescent="0.2">
      <c r="AA714" s="86"/>
      <c r="AC714" s="86"/>
      <c r="AD714" s="86"/>
    </row>
    <row r="715" spans="27:30" x14ac:dyDescent="0.2">
      <c r="AA715" s="86"/>
      <c r="AC715" s="86"/>
      <c r="AD715" s="86"/>
    </row>
    <row r="716" spans="27:30" x14ac:dyDescent="0.2">
      <c r="AA716" s="86"/>
      <c r="AC716" s="86"/>
      <c r="AD716" s="86"/>
    </row>
    <row r="717" spans="27:30" x14ac:dyDescent="0.2">
      <c r="AA717" s="86"/>
      <c r="AC717" s="86"/>
      <c r="AD717" s="86"/>
    </row>
    <row r="718" spans="27:30" x14ac:dyDescent="0.2">
      <c r="AA718" s="86"/>
      <c r="AC718" s="86"/>
      <c r="AD718" s="86"/>
    </row>
    <row r="719" spans="27:30" x14ac:dyDescent="0.2">
      <c r="AA719" s="86"/>
      <c r="AC719" s="86"/>
      <c r="AD719" s="86"/>
    </row>
    <row r="720" spans="27:30" x14ac:dyDescent="0.2">
      <c r="AA720" s="86"/>
      <c r="AC720" s="86"/>
      <c r="AD720" s="86"/>
    </row>
    <row r="721" spans="27:30" x14ac:dyDescent="0.2">
      <c r="AA721" s="86"/>
      <c r="AC721" s="86"/>
      <c r="AD721" s="86"/>
    </row>
    <row r="722" spans="27:30" x14ac:dyDescent="0.2">
      <c r="AA722" s="86"/>
      <c r="AC722" s="86"/>
      <c r="AD722" s="86"/>
    </row>
    <row r="723" spans="27:30" x14ac:dyDescent="0.2">
      <c r="AA723" s="86"/>
      <c r="AC723" s="86"/>
      <c r="AD723" s="86"/>
    </row>
    <row r="724" spans="27:30" x14ac:dyDescent="0.2">
      <c r="AA724" s="86"/>
      <c r="AC724" s="86"/>
      <c r="AD724" s="86"/>
    </row>
    <row r="725" spans="27:30" x14ac:dyDescent="0.2">
      <c r="AA725" s="86"/>
      <c r="AC725" s="86"/>
      <c r="AD725" s="86"/>
    </row>
    <row r="726" spans="27:30" x14ac:dyDescent="0.2">
      <c r="AA726" s="86"/>
      <c r="AC726" s="86"/>
      <c r="AD726" s="86"/>
    </row>
    <row r="727" spans="27:30" x14ac:dyDescent="0.2">
      <c r="AA727" s="86"/>
      <c r="AC727" s="86"/>
      <c r="AD727" s="86"/>
    </row>
    <row r="728" spans="27:30" x14ac:dyDescent="0.2">
      <c r="AA728" s="86"/>
      <c r="AC728" s="86"/>
      <c r="AD728" s="86"/>
    </row>
    <row r="729" spans="27:30" x14ac:dyDescent="0.2">
      <c r="AA729" s="86"/>
      <c r="AC729" s="86"/>
      <c r="AD729" s="86"/>
    </row>
    <row r="730" spans="27:30" x14ac:dyDescent="0.2">
      <c r="AA730" s="86"/>
      <c r="AC730" s="86"/>
      <c r="AD730" s="86"/>
    </row>
    <row r="731" spans="27:30" x14ac:dyDescent="0.2">
      <c r="AA731" s="86"/>
      <c r="AC731" s="86"/>
      <c r="AD731" s="86"/>
    </row>
    <row r="732" spans="27:30" x14ac:dyDescent="0.2">
      <c r="AA732" s="86"/>
      <c r="AC732" s="86"/>
      <c r="AD732" s="86"/>
    </row>
    <row r="733" spans="27:30" x14ac:dyDescent="0.2">
      <c r="AA733" s="86"/>
      <c r="AC733" s="86"/>
      <c r="AD733" s="86"/>
    </row>
    <row r="734" spans="27:30" x14ac:dyDescent="0.2">
      <c r="AA734" s="86"/>
      <c r="AC734" s="86"/>
      <c r="AD734" s="86"/>
    </row>
    <row r="735" spans="27:30" x14ac:dyDescent="0.2">
      <c r="AA735" s="86"/>
      <c r="AC735" s="86"/>
      <c r="AD735" s="86"/>
    </row>
    <row r="736" spans="27:30" x14ac:dyDescent="0.2">
      <c r="AA736" s="86"/>
      <c r="AC736" s="86"/>
      <c r="AD736" s="86"/>
    </row>
    <row r="737" spans="27:30" x14ac:dyDescent="0.2">
      <c r="AA737" s="86"/>
      <c r="AC737" s="86"/>
      <c r="AD737" s="86"/>
    </row>
    <row r="738" spans="27:30" x14ac:dyDescent="0.2">
      <c r="AA738" s="86"/>
      <c r="AC738" s="86"/>
      <c r="AD738" s="86"/>
    </row>
    <row r="739" spans="27:30" x14ac:dyDescent="0.2">
      <c r="AA739" s="86"/>
      <c r="AC739" s="86"/>
      <c r="AD739" s="86"/>
    </row>
    <row r="740" spans="27:30" x14ac:dyDescent="0.2">
      <c r="AA740" s="86"/>
      <c r="AC740" s="86"/>
      <c r="AD740" s="86"/>
    </row>
    <row r="741" spans="27:30" x14ac:dyDescent="0.2">
      <c r="AA741" s="86"/>
      <c r="AC741" s="86"/>
      <c r="AD741" s="86"/>
    </row>
    <row r="742" spans="27:30" x14ac:dyDescent="0.2">
      <c r="AA742" s="86"/>
      <c r="AC742" s="86"/>
      <c r="AD742" s="86"/>
    </row>
    <row r="743" spans="27:30" x14ac:dyDescent="0.2">
      <c r="AA743" s="86"/>
      <c r="AC743" s="86"/>
      <c r="AD743" s="86"/>
    </row>
    <row r="744" spans="27:30" x14ac:dyDescent="0.2">
      <c r="AA744" s="86"/>
      <c r="AC744" s="86"/>
      <c r="AD744" s="86"/>
    </row>
    <row r="745" spans="27:30" x14ac:dyDescent="0.2">
      <c r="AA745" s="86"/>
      <c r="AC745" s="86"/>
      <c r="AD745" s="86"/>
    </row>
    <row r="746" spans="27:30" x14ac:dyDescent="0.2">
      <c r="AA746" s="86"/>
      <c r="AC746" s="86"/>
      <c r="AD746" s="86"/>
    </row>
    <row r="747" spans="27:30" x14ac:dyDescent="0.2">
      <c r="AA747" s="86"/>
      <c r="AC747" s="86"/>
      <c r="AD747" s="86"/>
    </row>
    <row r="748" spans="27:30" x14ac:dyDescent="0.2">
      <c r="AA748" s="86"/>
      <c r="AC748" s="86"/>
      <c r="AD748" s="86"/>
    </row>
    <row r="749" spans="27:30" x14ac:dyDescent="0.2">
      <c r="AA749" s="86"/>
      <c r="AC749" s="86"/>
      <c r="AD749" s="86"/>
    </row>
    <row r="750" spans="27:30" x14ac:dyDescent="0.2">
      <c r="AA750" s="86"/>
      <c r="AC750" s="86"/>
      <c r="AD750" s="86"/>
    </row>
    <row r="751" spans="27:30" x14ac:dyDescent="0.2">
      <c r="AA751" s="86"/>
      <c r="AC751" s="86"/>
      <c r="AD751" s="86"/>
    </row>
    <row r="752" spans="27:30" x14ac:dyDescent="0.2">
      <c r="AA752" s="86"/>
      <c r="AC752" s="86"/>
      <c r="AD752" s="86"/>
    </row>
    <row r="753" spans="27:30" x14ac:dyDescent="0.2">
      <c r="AA753" s="86"/>
      <c r="AC753" s="86"/>
      <c r="AD753" s="86"/>
    </row>
    <row r="754" spans="27:30" x14ac:dyDescent="0.2">
      <c r="AA754" s="86"/>
      <c r="AC754" s="86"/>
      <c r="AD754" s="86"/>
    </row>
    <row r="755" spans="27:30" x14ac:dyDescent="0.2">
      <c r="AA755" s="86"/>
      <c r="AC755" s="86"/>
      <c r="AD755" s="86"/>
    </row>
    <row r="756" spans="27:30" x14ac:dyDescent="0.2">
      <c r="AA756" s="86"/>
      <c r="AC756" s="86"/>
      <c r="AD756" s="86"/>
    </row>
    <row r="757" spans="27:30" x14ac:dyDescent="0.2">
      <c r="AA757" s="86"/>
      <c r="AC757" s="86"/>
      <c r="AD757" s="86"/>
    </row>
    <row r="758" spans="27:30" x14ac:dyDescent="0.2">
      <c r="AA758" s="86"/>
      <c r="AC758" s="86"/>
      <c r="AD758" s="86"/>
    </row>
    <row r="759" spans="27:30" x14ac:dyDescent="0.2">
      <c r="AA759" s="86"/>
      <c r="AC759" s="86"/>
      <c r="AD759" s="86"/>
    </row>
    <row r="760" spans="27:30" x14ac:dyDescent="0.2">
      <c r="AA760" s="86"/>
      <c r="AC760" s="86"/>
      <c r="AD760" s="86"/>
    </row>
    <row r="761" spans="27:30" x14ac:dyDescent="0.2">
      <c r="AA761" s="86"/>
      <c r="AC761" s="86"/>
      <c r="AD761" s="86"/>
    </row>
    <row r="762" spans="27:30" x14ac:dyDescent="0.2">
      <c r="AA762" s="86"/>
      <c r="AC762" s="86"/>
      <c r="AD762" s="86"/>
    </row>
    <row r="763" spans="27:30" x14ac:dyDescent="0.2">
      <c r="AA763" s="86"/>
      <c r="AC763" s="86"/>
      <c r="AD763" s="86"/>
    </row>
    <row r="764" spans="27:30" x14ac:dyDescent="0.2">
      <c r="AA764" s="86"/>
      <c r="AC764" s="86"/>
      <c r="AD764" s="86"/>
    </row>
    <row r="765" spans="27:30" x14ac:dyDescent="0.2">
      <c r="AA765" s="86"/>
      <c r="AC765" s="86"/>
      <c r="AD765" s="86"/>
    </row>
    <row r="766" spans="27:30" x14ac:dyDescent="0.2">
      <c r="AA766" s="86"/>
      <c r="AC766" s="86"/>
      <c r="AD766" s="86"/>
    </row>
    <row r="767" spans="27:30" x14ac:dyDescent="0.2">
      <c r="AA767" s="86"/>
      <c r="AC767" s="86"/>
      <c r="AD767" s="86"/>
    </row>
    <row r="768" spans="27:30" x14ac:dyDescent="0.2">
      <c r="AA768" s="86"/>
      <c r="AC768" s="86"/>
      <c r="AD768" s="86"/>
    </row>
    <row r="769" spans="27:30" x14ac:dyDescent="0.2">
      <c r="AA769" s="86"/>
      <c r="AC769" s="86"/>
      <c r="AD769" s="86"/>
    </row>
    <row r="770" spans="27:30" x14ac:dyDescent="0.2">
      <c r="AA770" s="86"/>
      <c r="AC770" s="86"/>
      <c r="AD770" s="86"/>
    </row>
    <row r="771" spans="27:30" x14ac:dyDescent="0.2">
      <c r="AA771" s="86"/>
      <c r="AC771" s="86"/>
      <c r="AD771" s="86"/>
    </row>
    <row r="772" spans="27:30" x14ac:dyDescent="0.2">
      <c r="AA772" s="86"/>
      <c r="AC772" s="86"/>
      <c r="AD772" s="86"/>
    </row>
    <row r="773" spans="27:30" x14ac:dyDescent="0.2">
      <c r="AA773" s="86"/>
      <c r="AC773" s="86"/>
      <c r="AD773" s="86"/>
    </row>
    <row r="774" spans="27:30" x14ac:dyDescent="0.2">
      <c r="AA774" s="86"/>
      <c r="AC774" s="86"/>
      <c r="AD774" s="86"/>
    </row>
    <row r="775" spans="27:30" x14ac:dyDescent="0.2">
      <c r="AA775" s="86"/>
      <c r="AC775" s="86"/>
      <c r="AD775" s="86"/>
    </row>
    <row r="776" spans="27:30" x14ac:dyDescent="0.2">
      <c r="AA776" s="86"/>
      <c r="AC776" s="86"/>
      <c r="AD776" s="86"/>
    </row>
    <row r="777" spans="27:30" x14ac:dyDescent="0.2">
      <c r="AA777" s="86"/>
      <c r="AC777" s="86"/>
      <c r="AD777" s="86"/>
    </row>
    <row r="778" spans="27:30" x14ac:dyDescent="0.2">
      <c r="AA778" s="86"/>
      <c r="AC778" s="86"/>
      <c r="AD778" s="86"/>
    </row>
    <row r="779" spans="27:30" x14ac:dyDescent="0.2">
      <c r="AA779" s="86"/>
      <c r="AC779" s="86"/>
      <c r="AD779" s="86"/>
    </row>
    <row r="780" spans="27:30" x14ac:dyDescent="0.2">
      <c r="AA780" s="86"/>
      <c r="AC780" s="86"/>
      <c r="AD780" s="86"/>
    </row>
    <row r="781" spans="27:30" x14ac:dyDescent="0.2">
      <c r="AA781" s="86"/>
      <c r="AC781" s="86"/>
      <c r="AD781" s="86"/>
    </row>
    <row r="782" spans="27:30" x14ac:dyDescent="0.2">
      <c r="AA782" s="86"/>
      <c r="AC782" s="86"/>
      <c r="AD782" s="86"/>
    </row>
    <row r="783" spans="27:30" x14ac:dyDescent="0.2">
      <c r="AA783" s="86"/>
      <c r="AC783" s="86"/>
      <c r="AD783" s="86"/>
    </row>
    <row r="784" spans="27:30" x14ac:dyDescent="0.2">
      <c r="AA784" s="86"/>
      <c r="AC784" s="86"/>
      <c r="AD784" s="86"/>
    </row>
    <row r="785" spans="27:30" x14ac:dyDescent="0.2">
      <c r="AA785" s="86"/>
      <c r="AC785" s="86"/>
      <c r="AD785" s="86"/>
    </row>
    <row r="786" spans="27:30" x14ac:dyDescent="0.2">
      <c r="AA786" s="86"/>
      <c r="AC786" s="86"/>
      <c r="AD786" s="86"/>
    </row>
    <row r="787" spans="27:30" x14ac:dyDescent="0.2">
      <c r="AA787" s="86"/>
      <c r="AC787" s="86"/>
      <c r="AD787" s="86"/>
    </row>
    <row r="788" spans="27:30" x14ac:dyDescent="0.2">
      <c r="AA788" s="86"/>
      <c r="AC788" s="86"/>
      <c r="AD788" s="86"/>
    </row>
    <row r="789" spans="27:30" x14ac:dyDescent="0.2">
      <c r="AA789" s="86"/>
      <c r="AC789" s="86"/>
      <c r="AD789" s="86"/>
    </row>
    <row r="790" spans="27:30" x14ac:dyDescent="0.2">
      <c r="AA790" s="86"/>
      <c r="AC790" s="86"/>
      <c r="AD790" s="86"/>
    </row>
    <row r="791" spans="27:30" x14ac:dyDescent="0.2">
      <c r="AA791" s="86"/>
      <c r="AC791" s="86"/>
      <c r="AD791" s="86"/>
    </row>
    <row r="792" spans="27:30" x14ac:dyDescent="0.2">
      <c r="AA792" s="86"/>
      <c r="AC792" s="86"/>
      <c r="AD792" s="86"/>
    </row>
    <row r="793" spans="27:30" x14ac:dyDescent="0.2">
      <c r="AA793" s="86"/>
      <c r="AC793" s="86"/>
      <c r="AD793" s="86"/>
    </row>
    <row r="794" spans="27:30" x14ac:dyDescent="0.2">
      <c r="AA794" s="86"/>
      <c r="AC794" s="86"/>
      <c r="AD794" s="86"/>
    </row>
    <row r="795" spans="27:30" x14ac:dyDescent="0.2">
      <c r="AA795" s="86"/>
      <c r="AC795" s="86"/>
      <c r="AD795" s="86"/>
    </row>
    <row r="796" spans="27:30" x14ac:dyDescent="0.2">
      <c r="AA796" s="86"/>
      <c r="AC796" s="86"/>
      <c r="AD796" s="86"/>
    </row>
    <row r="797" spans="27:30" x14ac:dyDescent="0.2">
      <c r="AA797" s="86"/>
      <c r="AC797" s="86"/>
      <c r="AD797" s="86"/>
    </row>
    <row r="798" spans="27:30" x14ac:dyDescent="0.2">
      <c r="AA798" s="86"/>
      <c r="AC798" s="86"/>
      <c r="AD798" s="86"/>
    </row>
    <row r="799" spans="27:30" x14ac:dyDescent="0.2">
      <c r="AA799" s="86"/>
      <c r="AC799" s="86"/>
      <c r="AD799" s="86"/>
    </row>
    <row r="800" spans="27:30" x14ac:dyDescent="0.2">
      <c r="AA800" s="86"/>
      <c r="AC800" s="86"/>
      <c r="AD800" s="86"/>
    </row>
    <row r="801" spans="27:30" x14ac:dyDescent="0.2">
      <c r="AA801" s="86"/>
      <c r="AC801" s="86"/>
      <c r="AD801" s="86"/>
    </row>
    <row r="802" spans="27:30" x14ac:dyDescent="0.2">
      <c r="AA802" s="86"/>
      <c r="AC802" s="86"/>
      <c r="AD802" s="86"/>
    </row>
    <row r="803" spans="27:30" x14ac:dyDescent="0.2">
      <c r="AA803" s="86"/>
      <c r="AC803" s="86"/>
      <c r="AD803" s="86"/>
    </row>
    <row r="804" spans="27:30" x14ac:dyDescent="0.2">
      <c r="AA804" s="86"/>
      <c r="AC804" s="86"/>
      <c r="AD804" s="86"/>
    </row>
    <row r="805" spans="27:30" x14ac:dyDescent="0.2">
      <c r="AA805" s="86"/>
      <c r="AC805" s="86"/>
      <c r="AD805" s="86"/>
    </row>
    <row r="806" spans="27:30" x14ac:dyDescent="0.2">
      <c r="AA806" s="86"/>
      <c r="AC806" s="86"/>
      <c r="AD806" s="86"/>
    </row>
    <row r="807" spans="27:30" x14ac:dyDescent="0.2">
      <c r="AA807" s="86"/>
      <c r="AC807" s="86"/>
      <c r="AD807" s="86"/>
    </row>
    <row r="808" spans="27:30" x14ac:dyDescent="0.2">
      <c r="AA808" s="86"/>
      <c r="AC808" s="86"/>
      <c r="AD808" s="86"/>
    </row>
    <row r="809" spans="27:30" x14ac:dyDescent="0.2">
      <c r="AA809" s="86"/>
      <c r="AC809" s="86"/>
      <c r="AD809" s="86"/>
    </row>
    <row r="810" spans="27:30" x14ac:dyDescent="0.2">
      <c r="AA810" s="86"/>
      <c r="AC810" s="86"/>
      <c r="AD810" s="86"/>
    </row>
    <row r="811" spans="27:30" x14ac:dyDescent="0.2">
      <c r="AA811" s="86"/>
      <c r="AC811" s="86"/>
      <c r="AD811" s="86"/>
    </row>
    <row r="812" spans="27:30" x14ac:dyDescent="0.2">
      <c r="AA812" s="86"/>
      <c r="AC812" s="86"/>
      <c r="AD812" s="86"/>
    </row>
    <row r="813" spans="27:30" x14ac:dyDescent="0.2">
      <c r="AA813" s="86"/>
      <c r="AC813" s="86"/>
      <c r="AD813" s="86"/>
    </row>
    <row r="814" spans="27:30" x14ac:dyDescent="0.2">
      <c r="AA814" s="86"/>
      <c r="AC814" s="86"/>
      <c r="AD814" s="86"/>
    </row>
    <row r="815" spans="27:30" x14ac:dyDescent="0.2">
      <c r="AA815" s="86"/>
      <c r="AC815" s="86"/>
      <c r="AD815" s="86"/>
    </row>
    <row r="816" spans="27:30" x14ac:dyDescent="0.2">
      <c r="AA816" s="86"/>
      <c r="AC816" s="86"/>
      <c r="AD816" s="86"/>
    </row>
    <row r="817" spans="27:30" x14ac:dyDescent="0.2">
      <c r="AA817" s="86"/>
      <c r="AC817" s="86"/>
      <c r="AD817" s="86"/>
    </row>
    <row r="818" spans="27:30" x14ac:dyDescent="0.2">
      <c r="AA818" s="86"/>
      <c r="AC818" s="86"/>
      <c r="AD818" s="86"/>
    </row>
    <row r="819" spans="27:30" x14ac:dyDescent="0.2">
      <c r="AA819" s="86"/>
      <c r="AC819" s="86"/>
      <c r="AD819" s="86"/>
    </row>
    <row r="820" spans="27:30" x14ac:dyDescent="0.2">
      <c r="AA820" s="86"/>
      <c r="AC820" s="86"/>
      <c r="AD820" s="86"/>
    </row>
    <row r="821" spans="27:30" x14ac:dyDescent="0.2">
      <c r="AA821" s="86"/>
      <c r="AC821" s="86"/>
      <c r="AD821" s="86"/>
    </row>
    <row r="822" spans="27:30" x14ac:dyDescent="0.2">
      <c r="AA822" s="86"/>
      <c r="AC822" s="86"/>
      <c r="AD822" s="86"/>
    </row>
    <row r="823" spans="27:30" x14ac:dyDescent="0.2">
      <c r="AA823" s="86"/>
      <c r="AC823" s="86"/>
      <c r="AD823" s="86"/>
    </row>
    <row r="824" spans="27:30" x14ac:dyDescent="0.2">
      <c r="AA824" s="86"/>
      <c r="AC824" s="86"/>
      <c r="AD824" s="86"/>
    </row>
    <row r="825" spans="27:30" x14ac:dyDescent="0.2">
      <c r="AA825" s="86"/>
      <c r="AC825" s="86"/>
      <c r="AD825" s="86"/>
    </row>
    <row r="826" spans="27:30" x14ac:dyDescent="0.2">
      <c r="AA826" s="86"/>
      <c r="AC826" s="86"/>
      <c r="AD826" s="86"/>
    </row>
    <row r="827" spans="27:30" x14ac:dyDescent="0.2">
      <c r="AA827" s="86"/>
      <c r="AC827" s="86"/>
      <c r="AD827" s="86"/>
    </row>
    <row r="828" spans="27:30" x14ac:dyDescent="0.2">
      <c r="AA828" s="86"/>
      <c r="AC828" s="86"/>
      <c r="AD828" s="86"/>
    </row>
    <row r="829" spans="27:30" x14ac:dyDescent="0.2">
      <c r="AA829" s="86"/>
      <c r="AC829" s="86"/>
      <c r="AD829" s="86"/>
    </row>
    <row r="830" spans="27:30" x14ac:dyDescent="0.2">
      <c r="AA830" s="86"/>
      <c r="AC830" s="86"/>
      <c r="AD830" s="86"/>
    </row>
    <row r="831" spans="27:30" x14ac:dyDescent="0.2">
      <c r="AA831" s="86"/>
      <c r="AC831" s="86"/>
      <c r="AD831" s="86"/>
    </row>
    <row r="832" spans="27:30" x14ac:dyDescent="0.2">
      <c r="AA832" s="86"/>
      <c r="AC832" s="86"/>
      <c r="AD832" s="86"/>
    </row>
    <row r="833" spans="27:30" x14ac:dyDescent="0.2">
      <c r="AA833" s="86"/>
      <c r="AC833" s="86"/>
      <c r="AD833" s="86"/>
    </row>
    <row r="834" spans="27:30" x14ac:dyDescent="0.2">
      <c r="AA834" s="86"/>
      <c r="AC834" s="86"/>
      <c r="AD834" s="86"/>
    </row>
    <row r="835" spans="27:30" x14ac:dyDescent="0.2">
      <c r="AA835" s="86"/>
      <c r="AC835" s="86"/>
      <c r="AD835" s="86"/>
    </row>
    <row r="836" spans="27:30" x14ac:dyDescent="0.2">
      <c r="AA836" s="86"/>
      <c r="AC836" s="86"/>
      <c r="AD836" s="86"/>
    </row>
    <row r="837" spans="27:30" x14ac:dyDescent="0.2">
      <c r="AA837" s="86"/>
      <c r="AC837" s="86"/>
      <c r="AD837" s="86"/>
    </row>
    <row r="838" spans="27:30" x14ac:dyDescent="0.2">
      <c r="AA838" s="86"/>
      <c r="AC838" s="86"/>
      <c r="AD838" s="86"/>
    </row>
    <row r="839" spans="27:30" x14ac:dyDescent="0.2">
      <c r="AA839" s="86"/>
      <c r="AC839" s="86"/>
      <c r="AD839" s="86"/>
    </row>
    <row r="840" spans="27:30" x14ac:dyDescent="0.2">
      <c r="AA840" s="86"/>
      <c r="AC840" s="86"/>
      <c r="AD840" s="86"/>
    </row>
    <row r="841" spans="27:30" x14ac:dyDescent="0.2">
      <c r="AA841" s="86"/>
      <c r="AC841" s="86"/>
      <c r="AD841" s="86"/>
    </row>
    <row r="842" spans="27:30" x14ac:dyDescent="0.2">
      <c r="AA842" s="86"/>
      <c r="AC842" s="86"/>
      <c r="AD842" s="86"/>
    </row>
    <row r="843" spans="27:30" x14ac:dyDescent="0.2">
      <c r="AA843" s="86"/>
      <c r="AC843" s="86"/>
      <c r="AD843" s="86"/>
    </row>
    <row r="844" spans="27:30" x14ac:dyDescent="0.2">
      <c r="AA844" s="86"/>
      <c r="AC844" s="86"/>
      <c r="AD844" s="86"/>
    </row>
    <row r="845" spans="27:30" x14ac:dyDescent="0.2">
      <c r="AA845" s="86"/>
      <c r="AC845" s="86"/>
      <c r="AD845" s="86"/>
    </row>
    <row r="846" spans="27:30" x14ac:dyDescent="0.2">
      <c r="AA846" s="86"/>
      <c r="AC846" s="86"/>
      <c r="AD846" s="86"/>
    </row>
    <row r="847" spans="27:30" x14ac:dyDescent="0.2">
      <c r="AA847" s="86"/>
      <c r="AC847" s="86"/>
      <c r="AD847" s="86"/>
    </row>
    <row r="848" spans="27:30" x14ac:dyDescent="0.2">
      <c r="AA848" s="86"/>
      <c r="AC848" s="86"/>
      <c r="AD848" s="86"/>
    </row>
    <row r="849" spans="27:30" x14ac:dyDescent="0.2">
      <c r="AA849" s="86"/>
      <c r="AC849" s="86"/>
      <c r="AD849" s="86"/>
    </row>
    <row r="850" spans="27:30" x14ac:dyDescent="0.2">
      <c r="AA850" s="86"/>
      <c r="AC850" s="86"/>
      <c r="AD850" s="86"/>
    </row>
    <row r="851" spans="27:30" x14ac:dyDescent="0.2">
      <c r="AA851" s="86"/>
      <c r="AC851" s="86"/>
      <c r="AD851" s="86"/>
    </row>
    <row r="852" spans="27:30" x14ac:dyDescent="0.2">
      <c r="AA852" s="86"/>
      <c r="AC852" s="86"/>
      <c r="AD852" s="86"/>
    </row>
    <row r="853" spans="27:30" x14ac:dyDescent="0.2">
      <c r="AA853" s="86"/>
      <c r="AC853" s="86"/>
      <c r="AD853" s="86"/>
    </row>
    <row r="854" spans="27:30" x14ac:dyDescent="0.2">
      <c r="AA854" s="86"/>
      <c r="AC854" s="86"/>
      <c r="AD854" s="86"/>
    </row>
    <row r="855" spans="27:30" x14ac:dyDescent="0.2">
      <c r="AA855" s="86"/>
      <c r="AC855" s="86"/>
      <c r="AD855" s="86"/>
    </row>
    <row r="856" spans="27:30" x14ac:dyDescent="0.2">
      <c r="AA856" s="86"/>
      <c r="AC856" s="86"/>
      <c r="AD856" s="86"/>
    </row>
    <row r="857" spans="27:30" x14ac:dyDescent="0.2">
      <c r="AA857" s="86"/>
      <c r="AC857" s="86"/>
      <c r="AD857" s="86"/>
    </row>
    <row r="858" spans="27:30" x14ac:dyDescent="0.2">
      <c r="AA858" s="86"/>
      <c r="AC858" s="86"/>
      <c r="AD858" s="86"/>
    </row>
    <row r="859" spans="27:30" x14ac:dyDescent="0.2">
      <c r="AA859" s="86"/>
      <c r="AC859" s="86"/>
      <c r="AD859" s="86"/>
    </row>
    <row r="860" spans="27:30" x14ac:dyDescent="0.2">
      <c r="AA860" s="86"/>
      <c r="AC860" s="86"/>
      <c r="AD860" s="86"/>
    </row>
    <row r="861" spans="27:30" x14ac:dyDescent="0.2">
      <c r="AA861" s="86"/>
      <c r="AC861" s="86"/>
      <c r="AD861" s="86"/>
    </row>
    <row r="862" spans="27:30" x14ac:dyDescent="0.2">
      <c r="AA862" s="86"/>
      <c r="AC862" s="86"/>
      <c r="AD862" s="86"/>
    </row>
    <row r="863" spans="27:30" x14ac:dyDescent="0.2">
      <c r="AA863" s="86"/>
      <c r="AC863" s="86"/>
      <c r="AD863" s="86"/>
    </row>
    <row r="864" spans="27:30" x14ac:dyDescent="0.2">
      <c r="AA864" s="86"/>
      <c r="AC864" s="86"/>
      <c r="AD864" s="86"/>
    </row>
    <row r="865" spans="27:30" x14ac:dyDescent="0.2">
      <c r="AA865" s="86"/>
      <c r="AC865" s="86"/>
      <c r="AD865" s="86"/>
    </row>
    <row r="866" spans="27:30" x14ac:dyDescent="0.2">
      <c r="AA866" s="86"/>
      <c r="AC866" s="86"/>
      <c r="AD866" s="86"/>
    </row>
    <row r="867" spans="27:30" x14ac:dyDescent="0.2">
      <c r="AA867" s="86"/>
      <c r="AC867" s="86"/>
      <c r="AD867" s="86"/>
    </row>
    <row r="868" spans="27:30" x14ac:dyDescent="0.2">
      <c r="AA868" s="86"/>
      <c r="AC868" s="86"/>
      <c r="AD868" s="86"/>
    </row>
    <row r="869" spans="27:30" x14ac:dyDescent="0.2">
      <c r="AA869" s="86"/>
      <c r="AC869" s="86"/>
      <c r="AD869" s="86"/>
    </row>
    <row r="870" spans="27:30" x14ac:dyDescent="0.2">
      <c r="AA870" s="86"/>
      <c r="AC870" s="86"/>
      <c r="AD870" s="86"/>
    </row>
    <row r="871" spans="27:30" x14ac:dyDescent="0.2">
      <c r="AA871" s="86"/>
      <c r="AC871" s="86"/>
      <c r="AD871" s="86"/>
    </row>
    <row r="872" spans="27:30" x14ac:dyDescent="0.2">
      <c r="AA872" s="86"/>
      <c r="AC872" s="86"/>
      <c r="AD872" s="86"/>
    </row>
    <row r="873" spans="27:30" x14ac:dyDescent="0.2">
      <c r="AA873" s="86"/>
      <c r="AC873" s="86"/>
      <c r="AD873" s="86"/>
    </row>
    <row r="874" spans="27:30" x14ac:dyDescent="0.2">
      <c r="AA874" s="86"/>
      <c r="AC874" s="86"/>
      <c r="AD874" s="86"/>
    </row>
    <row r="875" spans="27:30" x14ac:dyDescent="0.2">
      <c r="AA875" s="86"/>
      <c r="AC875" s="86"/>
      <c r="AD875" s="86"/>
    </row>
    <row r="876" spans="27:30" x14ac:dyDescent="0.2">
      <c r="AA876" s="86"/>
      <c r="AC876" s="86"/>
      <c r="AD876" s="86"/>
    </row>
    <row r="877" spans="27:30" x14ac:dyDescent="0.2">
      <c r="AA877" s="86"/>
      <c r="AC877" s="86"/>
      <c r="AD877" s="86"/>
    </row>
    <row r="878" spans="27:30" x14ac:dyDescent="0.2">
      <c r="AA878" s="86"/>
      <c r="AC878" s="86"/>
      <c r="AD878" s="86"/>
    </row>
    <row r="879" spans="27:30" x14ac:dyDescent="0.2">
      <c r="AA879" s="86"/>
      <c r="AC879" s="86"/>
      <c r="AD879" s="86"/>
    </row>
    <row r="880" spans="27:30" x14ac:dyDescent="0.2">
      <c r="AA880" s="86"/>
      <c r="AC880" s="86"/>
      <c r="AD880" s="86"/>
    </row>
    <row r="881" spans="27:30" x14ac:dyDescent="0.2">
      <c r="AA881" s="86"/>
      <c r="AC881" s="86"/>
      <c r="AD881" s="86"/>
    </row>
    <row r="882" spans="27:30" x14ac:dyDescent="0.2">
      <c r="AA882" s="86"/>
      <c r="AC882" s="86"/>
      <c r="AD882" s="86"/>
    </row>
    <row r="883" spans="27:30" x14ac:dyDescent="0.2">
      <c r="AA883" s="86"/>
      <c r="AC883" s="86"/>
      <c r="AD883" s="86"/>
    </row>
    <row r="884" spans="27:30" x14ac:dyDescent="0.2">
      <c r="AA884" s="86"/>
      <c r="AC884" s="86"/>
      <c r="AD884" s="86"/>
    </row>
    <row r="885" spans="27:30" x14ac:dyDescent="0.2">
      <c r="AA885" s="86"/>
      <c r="AC885" s="86"/>
      <c r="AD885" s="86"/>
    </row>
    <row r="886" spans="27:30" x14ac:dyDescent="0.2">
      <c r="AA886" s="86"/>
      <c r="AC886" s="86"/>
      <c r="AD886" s="86"/>
    </row>
    <row r="887" spans="27:30" x14ac:dyDescent="0.2">
      <c r="AA887" s="86"/>
      <c r="AC887" s="86"/>
      <c r="AD887" s="86"/>
    </row>
    <row r="888" spans="27:30" x14ac:dyDescent="0.2">
      <c r="AA888" s="86"/>
      <c r="AC888" s="86"/>
      <c r="AD888" s="86"/>
    </row>
    <row r="889" spans="27:30" x14ac:dyDescent="0.2">
      <c r="AA889" s="86"/>
      <c r="AC889" s="86"/>
      <c r="AD889" s="86"/>
    </row>
    <row r="890" spans="27:30" x14ac:dyDescent="0.2">
      <c r="AA890" s="86"/>
      <c r="AC890" s="86"/>
      <c r="AD890" s="86"/>
    </row>
    <row r="891" spans="27:30" x14ac:dyDescent="0.2">
      <c r="AA891" s="86"/>
      <c r="AC891" s="86"/>
      <c r="AD891" s="86"/>
    </row>
    <row r="892" spans="27:30" x14ac:dyDescent="0.2">
      <c r="AA892" s="86"/>
      <c r="AC892" s="86"/>
      <c r="AD892" s="86"/>
    </row>
    <row r="893" spans="27:30" x14ac:dyDescent="0.2">
      <c r="AA893" s="86"/>
      <c r="AC893" s="86"/>
      <c r="AD893" s="86"/>
    </row>
    <row r="894" spans="27:30" x14ac:dyDescent="0.2">
      <c r="AA894" s="86"/>
      <c r="AC894" s="86"/>
      <c r="AD894" s="86"/>
    </row>
    <row r="895" spans="27:30" x14ac:dyDescent="0.2">
      <c r="AA895" s="86"/>
      <c r="AC895" s="86"/>
      <c r="AD895" s="86"/>
    </row>
    <row r="896" spans="27:30" x14ac:dyDescent="0.2">
      <c r="AA896" s="86"/>
      <c r="AC896" s="86"/>
      <c r="AD896" s="86"/>
    </row>
    <row r="897" spans="27:30" x14ac:dyDescent="0.2">
      <c r="AA897" s="86"/>
      <c r="AC897" s="86"/>
      <c r="AD897" s="86"/>
    </row>
    <row r="898" spans="27:30" x14ac:dyDescent="0.2">
      <c r="AA898" s="86"/>
      <c r="AC898" s="86"/>
      <c r="AD898" s="86"/>
    </row>
    <row r="899" spans="27:30" x14ac:dyDescent="0.2">
      <c r="AA899" s="86"/>
      <c r="AC899" s="86"/>
      <c r="AD899" s="86"/>
    </row>
    <row r="900" spans="27:30" x14ac:dyDescent="0.2">
      <c r="AA900" s="86"/>
      <c r="AC900" s="86"/>
      <c r="AD900" s="86"/>
    </row>
    <row r="901" spans="27:30" x14ac:dyDescent="0.2">
      <c r="AA901" s="86"/>
      <c r="AC901" s="86"/>
      <c r="AD901" s="86"/>
    </row>
    <row r="902" spans="27:30" x14ac:dyDescent="0.2">
      <c r="AA902" s="86"/>
      <c r="AC902" s="86"/>
      <c r="AD902" s="86"/>
    </row>
    <row r="903" spans="27:30" x14ac:dyDescent="0.2">
      <c r="AA903" s="86"/>
      <c r="AC903" s="86"/>
      <c r="AD903" s="86"/>
    </row>
    <row r="904" spans="27:30" x14ac:dyDescent="0.2">
      <c r="AA904" s="86"/>
      <c r="AC904" s="86"/>
      <c r="AD904" s="86"/>
    </row>
    <row r="905" spans="27:30" x14ac:dyDescent="0.2">
      <c r="AA905" s="86"/>
      <c r="AC905" s="86"/>
      <c r="AD905" s="86"/>
    </row>
    <row r="906" spans="27:30" x14ac:dyDescent="0.2">
      <c r="AA906" s="86"/>
      <c r="AC906" s="86"/>
      <c r="AD906" s="86"/>
    </row>
    <row r="907" spans="27:30" x14ac:dyDescent="0.2">
      <c r="AA907" s="86"/>
      <c r="AC907" s="86"/>
      <c r="AD907" s="86"/>
    </row>
    <row r="908" spans="27:30" x14ac:dyDescent="0.2">
      <c r="AA908" s="86"/>
      <c r="AC908" s="86"/>
      <c r="AD908" s="86"/>
    </row>
    <row r="909" spans="27:30" x14ac:dyDescent="0.2">
      <c r="AA909" s="86"/>
      <c r="AC909" s="86"/>
      <c r="AD909" s="86"/>
    </row>
    <row r="910" spans="27:30" x14ac:dyDescent="0.2">
      <c r="AA910" s="86"/>
      <c r="AC910" s="86"/>
      <c r="AD910" s="86"/>
    </row>
    <row r="911" spans="27:30" x14ac:dyDescent="0.2">
      <c r="AA911" s="86"/>
      <c r="AC911" s="86"/>
      <c r="AD911" s="86"/>
    </row>
    <row r="912" spans="27:30" x14ac:dyDescent="0.2">
      <c r="AA912" s="86"/>
      <c r="AC912" s="86"/>
      <c r="AD912" s="86"/>
    </row>
    <row r="913" spans="27:30" x14ac:dyDescent="0.2">
      <c r="AA913" s="86"/>
      <c r="AC913" s="86"/>
      <c r="AD913" s="86"/>
    </row>
    <row r="914" spans="27:30" x14ac:dyDescent="0.2">
      <c r="AA914" s="86"/>
      <c r="AC914" s="86"/>
      <c r="AD914" s="86"/>
    </row>
    <row r="915" spans="27:30" x14ac:dyDescent="0.2">
      <c r="AA915" s="86"/>
      <c r="AC915" s="86"/>
      <c r="AD915" s="86"/>
    </row>
    <row r="916" spans="27:30" x14ac:dyDescent="0.2">
      <c r="AA916" s="86"/>
      <c r="AC916" s="86"/>
      <c r="AD916" s="86"/>
    </row>
    <row r="917" spans="27:30" x14ac:dyDescent="0.2">
      <c r="AA917" s="86"/>
      <c r="AC917" s="86"/>
      <c r="AD917" s="86"/>
    </row>
    <row r="918" spans="27:30" x14ac:dyDescent="0.2">
      <c r="AA918" s="86"/>
      <c r="AC918" s="86"/>
      <c r="AD918" s="86"/>
    </row>
    <row r="919" spans="27:30" x14ac:dyDescent="0.2">
      <c r="AA919" s="86"/>
      <c r="AC919" s="86"/>
      <c r="AD919" s="86"/>
    </row>
    <row r="920" spans="27:30" x14ac:dyDescent="0.2">
      <c r="AA920" s="86"/>
      <c r="AC920" s="86"/>
      <c r="AD920" s="86"/>
    </row>
    <row r="921" spans="27:30" x14ac:dyDescent="0.2">
      <c r="AA921" s="86"/>
      <c r="AC921" s="86"/>
      <c r="AD921" s="86"/>
    </row>
    <row r="922" spans="27:30" x14ac:dyDescent="0.2">
      <c r="AA922" s="86"/>
      <c r="AC922" s="86"/>
      <c r="AD922" s="86"/>
    </row>
    <row r="923" spans="27:30" x14ac:dyDescent="0.2">
      <c r="AA923" s="86"/>
      <c r="AC923" s="86"/>
      <c r="AD923" s="86"/>
    </row>
    <row r="924" spans="27:30" x14ac:dyDescent="0.2">
      <c r="AA924" s="86"/>
      <c r="AC924" s="86"/>
      <c r="AD924" s="86"/>
    </row>
    <row r="925" spans="27:30" x14ac:dyDescent="0.2">
      <c r="AA925" s="86"/>
      <c r="AC925" s="86"/>
      <c r="AD925" s="86"/>
    </row>
    <row r="926" spans="27:30" x14ac:dyDescent="0.2">
      <c r="AA926" s="86"/>
      <c r="AC926" s="86"/>
      <c r="AD926" s="86"/>
    </row>
    <row r="927" spans="27:30" x14ac:dyDescent="0.2">
      <c r="AA927" s="86"/>
      <c r="AC927" s="86"/>
      <c r="AD927" s="86"/>
    </row>
    <row r="928" spans="27:30" x14ac:dyDescent="0.2">
      <c r="AA928" s="86"/>
      <c r="AC928" s="86"/>
      <c r="AD928" s="86"/>
    </row>
    <row r="929" spans="27:30" x14ac:dyDescent="0.2">
      <c r="AA929" s="86"/>
      <c r="AC929" s="86"/>
      <c r="AD929" s="86"/>
    </row>
    <row r="930" spans="27:30" x14ac:dyDescent="0.2">
      <c r="AA930" s="86"/>
      <c r="AC930" s="86"/>
      <c r="AD930" s="86"/>
    </row>
    <row r="931" spans="27:30" x14ac:dyDescent="0.2">
      <c r="AA931" s="86"/>
      <c r="AC931" s="86"/>
      <c r="AD931" s="86"/>
    </row>
    <row r="932" spans="27:30" x14ac:dyDescent="0.2">
      <c r="AA932" s="86"/>
      <c r="AC932" s="86"/>
      <c r="AD932" s="86"/>
    </row>
    <row r="933" spans="27:30" x14ac:dyDescent="0.2">
      <c r="AA933" s="86"/>
      <c r="AC933" s="86"/>
      <c r="AD933" s="86"/>
    </row>
    <row r="934" spans="27:30" x14ac:dyDescent="0.2">
      <c r="AA934" s="86"/>
      <c r="AC934" s="86"/>
      <c r="AD934" s="86"/>
    </row>
    <row r="935" spans="27:30" x14ac:dyDescent="0.2">
      <c r="AA935" s="86"/>
      <c r="AC935" s="86"/>
      <c r="AD935" s="86"/>
    </row>
    <row r="936" spans="27:30" x14ac:dyDescent="0.2">
      <c r="AA936" s="86"/>
      <c r="AC936" s="86"/>
      <c r="AD936" s="86"/>
    </row>
    <row r="937" spans="27:30" x14ac:dyDescent="0.2">
      <c r="AA937" s="86"/>
      <c r="AC937" s="86"/>
      <c r="AD937" s="86"/>
    </row>
    <row r="938" spans="27:30" x14ac:dyDescent="0.2">
      <c r="AA938" s="86"/>
      <c r="AC938" s="86"/>
      <c r="AD938" s="86"/>
    </row>
    <row r="939" spans="27:30" x14ac:dyDescent="0.2">
      <c r="AA939" s="86"/>
      <c r="AC939" s="86"/>
      <c r="AD939" s="86"/>
    </row>
    <row r="940" spans="27:30" x14ac:dyDescent="0.2">
      <c r="AA940" s="86"/>
      <c r="AC940" s="86"/>
      <c r="AD940" s="86"/>
    </row>
    <row r="941" spans="27:30" x14ac:dyDescent="0.2">
      <c r="AA941" s="86"/>
      <c r="AC941" s="86"/>
      <c r="AD941" s="86"/>
    </row>
    <row r="942" spans="27:30" x14ac:dyDescent="0.2">
      <c r="AA942" s="86"/>
      <c r="AC942" s="86"/>
      <c r="AD942" s="86"/>
    </row>
    <row r="943" spans="27:30" x14ac:dyDescent="0.2">
      <c r="AA943" s="86"/>
      <c r="AC943" s="86"/>
      <c r="AD943" s="86"/>
    </row>
    <row r="944" spans="27:30" x14ac:dyDescent="0.2">
      <c r="AA944" s="86"/>
      <c r="AC944" s="86"/>
      <c r="AD944" s="86"/>
    </row>
    <row r="945" spans="27:30" x14ac:dyDescent="0.2">
      <c r="AA945" s="86"/>
      <c r="AC945" s="86"/>
      <c r="AD945" s="86"/>
    </row>
    <row r="946" spans="27:30" x14ac:dyDescent="0.2">
      <c r="AA946" s="86"/>
      <c r="AC946" s="86"/>
      <c r="AD946" s="86"/>
    </row>
    <row r="947" spans="27:30" x14ac:dyDescent="0.2">
      <c r="AA947" s="86"/>
      <c r="AC947" s="86"/>
      <c r="AD947" s="86"/>
    </row>
    <row r="948" spans="27:30" x14ac:dyDescent="0.2">
      <c r="AA948" s="86"/>
      <c r="AC948" s="86"/>
      <c r="AD948" s="86"/>
    </row>
    <row r="949" spans="27:30" x14ac:dyDescent="0.2">
      <c r="AA949" s="86"/>
      <c r="AC949" s="86"/>
      <c r="AD949" s="86"/>
    </row>
    <row r="950" spans="27:30" x14ac:dyDescent="0.2">
      <c r="AA950" s="86"/>
      <c r="AC950" s="86"/>
      <c r="AD950" s="86"/>
    </row>
    <row r="951" spans="27:30" x14ac:dyDescent="0.2">
      <c r="AA951" s="86"/>
      <c r="AC951" s="86"/>
      <c r="AD951" s="86"/>
    </row>
    <row r="952" spans="27:30" x14ac:dyDescent="0.2">
      <c r="AA952" s="86"/>
      <c r="AC952" s="86"/>
      <c r="AD952" s="86"/>
    </row>
    <row r="953" spans="27:30" x14ac:dyDescent="0.2">
      <c r="AA953" s="86"/>
      <c r="AC953" s="86"/>
      <c r="AD953" s="86"/>
    </row>
    <row r="954" spans="27:30" x14ac:dyDescent="0.2">
      <c r="AA954" s="86"/>
      <c r="AC954" s="86"/>
      <c r="AD954" s="86"/>
    </row>
    <row r="955" spans="27:30" x14ac:dyDescent="0.2">
      <c r="AA955" s="86"/>
      <c r="AC955" s="86"/>
      <c r="AD955" s="86"/>
    </row>
    <row r="956" spans="27:30" x14ac:dyDescent="0.2">
      <c r="AA956" s="86"/>
      <c r="AC956" s="86"/>
      <c r="AD956" s="86"/>
    </row>
    <row r="957" spans="27:30" x14ac:dyDescent="0.2">
      <c r="AA957" s="86"/>
      <c r="AC957" s="86"/>
      <c r="AD957" s="86"/>
    </row>
    <row r="958" spans="27:30" x14ac:dyDescent="0.2">
      <c r="AA958" s="86"/>
      <c r="AC958" s="86"/>
      <c r="AD958" s="86"/>
    </row>
    <row r="959" spans="27:30" x14ac:dyDescent="0.2">
      <c r="AA959" s="86"/>
      <c r="AC959" s="86"/>
      <c r="AD959" s="86"/>
    </row>
    <row r="960" spans="27:30" x14ac:dyDescent="0.2">
      <c r="AA960" s="86"/>
      <c r="AC960" s="86"/>
      <c r="AD960" s="86"/>
    </row>
    <row r="961" spans="27:30" x14ac:dyDescent="0.2">
      <c r="AA961" s="86"/>
      <c r="AC961" s="86"/>
      <c r="AD961" s="86"/>
    </row>
    <row r="962" spans="27:30" x14ac:dyDescent="0.2">
      <c r="AA962" s="86"/>
      <c r="AC962" s="86"/>
      <c r="AD962" s="86"/>
    </row>
    <row r="963" spans="27:30" x14ac:dyDescent="0.2">
      <c r="AA963" s="86"/>
      <c r="AC963" s="86"/>
      <c r="AD963" s="86"/>
    </row>
    <row r="964" spans="27:30" x14ac:dyDescent="0.2">
      <c r="AA964" s="86"/>
      <c r="AC964" s="86"/>
      <c r="AD964" s="86"/>
    </row>
    <row r="965" spans="27:30" x14ac:dyDescent="0.2">
      <c r="AA965" s="86"/>
      <c r="AC965" s="86"/>
      <c r="AD965" s="86"/>
    </row>
    <row r="966" spans="27:30" x14ac:dyDescent="0.2">
      <c r="AA966" s="86"/>
      <c r="AC966" s="86"/>
      <c r="AD966" s="86"/>
    </row>
    <row r="967" spans="27:30" x14ac:dyDescent="0.2">
      <c r="AA967" s="86"/>
      <c r="AC967" s="86"/>
      <c r="AD967" s="86"/>
    </row>
    <row r="968" spans="27:30" x14ac:dyDescent="0.2">
      <c r="AA968" s="86"/>
      <c r="AC968" s="86"/>
      <c r="AD968" s="86"/>
    </row>
    <row r="969" spans="27:30" x14ac:dyDescent="0.2">
      <c r="AA969" s="86"/>
      <c r="AC969" s="86"/>
      <c r="AD969" s="86"/>
    </row>
    <row r="970" spans="27:30" x14ac:dyDescent="0.2">
      <c r="AA970" s="86"/>
      <c r="AC970" s="86"/>
      <c r="AD970" s="86"/>
    </row>
    <row r="971" spans="27:30" x14ac:dyDescent="0.2">
      <c r="AA971" s="86"/>
      <c r="AC971" s="86"/>
      <c r="AD971" s="86"/>
    </row>
    <row r="972" spans="27:30" x14ac:dyDescent="0.2">
      <c r="AA972" s="86"/>
      <c r="AC972" s="86"/>
      <c r="AD972" s="86"/>
    </row>
    <row r="973" spans="27:30" x14ac:dyDescent="0.2">
      <c r="AA973" s="86"/>
      <c r="AC973" s="86"/>
      <c r="AD973" s="86"/>
    </row>
    <row r="974" spans="27:30" x14ac:dyDescent="0.2">
      <c r="AA974" s="86"/>
      <c r="AC974" s="86"/>
      <c r="AD974" s="86"/>
    </row>
    <row r="975" spans="27:30" x14ac:dyDescent="0.2">
      <c r="AA975" s="86"/>
      <c r="AC975" s="86"/>
      <c r="AD975" s="86"/>
    </row>
    <row r="976" spans="27:30" x14ac:dyDescent="0.2">
      <c r="AA976" s="86"/>
      <c r="AC976" s="86"/>
      <c r="AD976" s="86"/>
    </row>
    <row r="977" spans="27:30" x14ac:dyDescent="0.2">
      <c r="AA977" s="86"/>
      <c r="AC977" s="86"/>
      <c r="AD977" s="86"/>
    </row>
    <row r="978" spans="27:30" x14ac:dyDescent="0.2">
      <c r="AA978" s="86"/>
      <c r="AC978" s="86"/>
      <c r="AD978" s="86"/>
    </row>
    <row r="979" spans="27:30" x14ac:dyDescent="0.2">
      <c r="AA979" s="86"/>
      <c r="AC979" s="86"/>
      <c r="AD979" s="86"/>
    </row>
    <row r="980" spans="27:30" x14ac:dyDescent="0.2">
      <c r="AA980" s="86"/>
      <c r="AC980" s="86"/>
      <c r="AD980" s="86"/>
    </row>
    <row r="981" spans="27:30" x14ac:dyDescent="0.2">
      <c r="AA981" s="86"/>
      <c r="AC981" s="86"/>
      <c r="AD981" s="86"/>
    </row>
    <row r="982" spans="27:30" x14ac:dyDescent="0.2">
      <c r="AA982" s="86"/>
      <c r="AC982" s="86"/>
      <c r="AD982" s="86"/>
    </row>
    <row r="983" spans="27:30" x14ac:dyDescent="0.2">
      <c r="AA983" s="86"/>
      <c r="AC983" s="86"/>
      <c r="AD983" s="86"/>
    </row>
    <row r="984" spans="27:30" x14ac:dyDescent="0.2">
      <c r="AA984" s="86"/>
      <c r="AC984" s="86"/>
      <c r="AD984" s="86"/>
    </row>
    <row r="985" spans="27:30" x14ac:dyDescent="0.2">
      <c r="AA985" s="86"/>
      <c r="AC985" s="86"/>
      <c r="AD985" s="86"/>
    </row>
    <row r="986" spans="27:30" x14ac:dyDescent="0.2">
      <c r="AA986" s="86"/>
      <c r="AC986" s="86"/>
      <c r="AD986" s="86"/>
    </row>
    <row r="987" spans="27:30" x14ac:dyDescent="0.2">
      <c r="AA987" s="86"/>
      <c r="AC987" s="86"/>
      <c r="AD987" s="86"/>
    </row>
    <row r="988" spans="27:30" x14ac:dyDescent="0.2">
      <c r="AA988" s="86"/>
      <c r="AC988" s="86"/>
      <c r="AD988" s="86"/>
    </row>
    <row r="989" spans="27:30" x14ac:dyDescent="0.2">
      <c r="AA989" s="86"/>
      <c r="AC989" s="86"/>
      <c r="AD989" s="86"/>
    </row>
    <row r="990" spans="27:30" x14ac:dyDescent="0.2">
      <c r="AA990" s="86"/>
      <c r="AC990" s="86"/>
      <c r="AD990" s="86"/>
    </row>
    <row r="991" spans="27:30" x14ac:dyDescent="0.2">
      <c r="AA991" s="86"/>
      <c r="AC991" s="86"/>
      <c r="AD991" s="86"/>
    </row>
    <row r="992" spans="27:30" x14ac:dyDescent="0.2">
      <c r="AA992" s="86"/>
      <c r="AC992" s="86"/>
      <c r="AD992" s="86"/>
    </row>
    <row r="993" spans="27:30" x14ac:dyDescent="0.2">
      <c r="AA993" s="86"/>
      <c r="AC993" s="86"/>
      <c r="AD993" s="86"/>
    </row>
    <row r="994" spans="27:30" x14ac:dyDescent="0.2">
      <c r="AA994" s="86"/>
      <c r="AC994" s="86"/>
      <c r="AD994" s="86"/>
    </row>
    <row r="995" spans="27:30" x14ac:dyDescent="0.2">
      <c r="AA995" s="86"/>
      <c r="AC995" s="86"/>
      <c r="AD995" s="86"/>
    </row>
    <row r="996" spans="27:30" x14ac:dyDescent="0.2">
      <c r="AA996" s="86"/>
      <c r="AC996" s="86"/>
      <c r="AD996" s="86"/>
    </row>
    <row r="997" spans="27:30" x14ac:dyDescent="0.2">
      <c r="AA997" s="86"/>
      <c r="AC997" s="86"/>
      <c r="AD997" s="86"/>
    </row>
    <row r="998" spans="27:30" x14ac:dyDescent="0.2">
      <c r="AA998" s="86"/>
      <c r="AC998" s="86"/>
      <c r="AD998" s="86"/>
    </row>
    <row r="999" spans="27:30" x14ac:dyDescent="0.2">
      <c r="AA999" s="86"/>
      <c r="AC999" s="86"/>
      <c r="AD999" s="86"/>
    </row>
    <row r="1000" spans="27:30" x14ac:dyDescent="0.2">
      <c r="AA1000" s="86"/>
      <c r="AC1000" s="86"/>
      <c r="AD1000" s="86"/>
    </row>
    <row r="1001" spans="27:30" x14ac:dyDescent="0.2">
      <c r="AA1001" s="86"/>
      <c r="AC1001" s="86"/>
      <c r="AD1001" s="86"/>
    </row>
    <row r="1002" spans="27:30" x14ac:dyDescent="0.2">
      <c r="AA1002" s="86"/>
      <c r="AC1002" s="86"/>
      <c r="AD1002" s="86"/>
    </row>
    <row r="1003" spans="27:30" x14ac:dyDescent="0.2">
      <c r="AA1003" s="86"/>
      <c r="AC1003" s="86"/>
      <c r="AD1003" s="86"/>
    </row>
    <row r="1004" spans="27:30" x14ac:dyDescent="0.2">
      <c r="AA1004" s="86"/>
      <c r="AC1004" s="86"/>
      <c r="AD1004" s="86"/>
    </row>
    <row r="1005" spans="27:30" x14ac:dyDescent="0.2">
      <c r="AA1005" s="86"/>
      <c r="AC1005" s="86"/>
      <c r="AD1005" s="86"/>
    </row>
    <row r="1006" spans="27:30" x14ac:dyDescent="0.2">
      <c r="AA1006" s="86"/>
      <c r="AC1006" s="86"/>
      <c r="AD1006" s="86"/>
    </row>
    <row r="1007" spans="27:30" x14ac:dyDescent="0.2">
      <c r="AA1007" s="86"/>
      <c r="AC1007" s="86"/>
      <c r="AD1007" s="86"/>
    </row>
    <row r="1008" spans="27:30" x14ac:dyDescent="0.2">
      <c r="AA1008" s="86"/>
      <c r="AC1008" s="86"/>
      <c r="AD1008" s="86"/>
    </row>
    <row r="1009" spans="27:30" x14ac:dyDescent="0.2">
      <c r="AA1009" s="86"/>
      <c r="AC1009" s="86"/>
      <c r="AD1009" s="86"/>
    </row>
    <row r="1010" spans="27:30" x14ac:dyDescent="0.2">
      <c r="AA1010" s="86"/>
      <c r="AC1010" s="86"/>
      <c r="AD1010" s="86"/>
    </row>
    <row r="1011" spans="27:30" x14ac:dyDescent="0.2">
      <c r="AA1011" s="86"/>
      <c r="AC1011" s="86"/>
      <c r="AD1011" s="86"/>
    </row>
    <row r="1012" spans="27:30" x14ac:dyDescent="0.2">
      <c r="AA1012" s="86"/>
      <c r="AC1012" s="86"/>
      <c r="AD1012" s="86"/>
    </row>
    <row r="1013" spans="27:30" x14ac:dyDescent="0.2">
      <c r="AA1013" s="86"/>
      <c r="AC1013" s="86"/>
      <c r="AD1013" s="86"/>
    </row>
    <row r="1014" spans="27:30" x14ac:dyDescent="0.2">
      <c r="AA1014" s="86"/>
      <c r="AC1014" s="86"/>
      <c r="AD1014" s="86"/>
    </row>
    <row r="1015" spans="27:30" x14ac:dyDescent="0.2">
      <c r="AA1015" s="86"/>
      <c r="AC1015" s="86"/>
      <c r="AD1015" s="86"/>
    </row>
    <row r="1016" spans="27:30" x14ac:dyDescent="0.2">
      <c r="AA1016" s="86"/>
      <c r="AC1016" s="86"/>
      <c r="AD1016" s="86"/>
    </row>
    <row r="1017" spans="27:30" x14ac:dyDescent="0.2">
      <c r="AA1017" s="86"/>
      <c r="AC1017" s="86"/>
      <c r="AD1017" s="86"/>
    </row>
    <row r="1018" spans="27:30" x14ac:dyDescent="0.2">
      <c r="AA1018" s="86"/>
      <c r="AC1018" s="86"/>
      <c r="AD1018" s="86"/>
    </row>
    <row r="1019" spans="27:30" x14ac:dyDescent="0.2">
      <c r="AA1019" s="86"/>
      <c r="AC1019" s="86"/>
      <c r="AD1019" s="86"/>
    </row>
    <row r="1020" spans="27:30" x14ac:dyDescent="0.2">
      <c r="AA1020" s="86"/>
      <c r="AC1020" s="86"/>
      <c r="AD1020" s="86"/>
    </row>
    <row r="1021" spans="27:30" x14ac:dyDescent="0.2">
      <c r="AA1021" s="86"/>
      <c r="AC1021" s="86"/>
      <c r="AD1021" s="86"/>
    </row>
    <row r="1022" spans="27:30" x14ac:dyDescent="0.2">
      <c r="AA1022" s="86"/>
      <c r="AC1022" s="86"/>
      <c r="AD1022" s="86"/>
    </row>
    <row r="1023" spans="27:30" x14ac:dyDescent="0.2">
      <c r="AA1023" s="86"/>
      <c r="AC1023" s="86"/>
      <c r="AD1023" s="86"/>
    </row>
    <row r="1024" spans="27:30" x14ac:dyDescent="0.2">
      <c r="AA1024" s="86"/>
      <c r="AC1024" s="86"/>
      <c r="AD1024" s="86"/>
    </row>
    <row r="1025" spans="27:30" x14ac:dyDescent="0.2">
      <c r="AA1025" s="86"/>
      <c r="AC1025" s="86"/>
      <c r="AD1025" s="86"/>
    </row>
    <row r="1026" spans="27:30" x14ac:dyDescent="0.2">
      <c r="AA1026" s="86"/>
      <c r="AC1026" s="86"/>
      <c r="AD1026" s="86"/>
    </row>
    <row r="1027" spans="27:30" x14ac:dyDescent="0.2">
      <c r="AA1027" s="86"/>
      <c r="AC1027" s="86"/>
      <c r="AD1027" s="86"/>
    </row>
    <row r="1028" spans="27:30" x14ac:dyDescent="0.2">
      <c r="AA1028" s="86"/>
      <c r="AC1028" s="86"/>
      <c r="AD1028" s="86"/>
    </row>
    <row r="1029" spans="27:30" x14ac:dyDescent="0.2">
      <c r="AA1029" s="86"/>
      <c r="AC1029" s="86"/>
      <c r="AD1029" s="86"/>
    </row>
    <row r="1030" spans="27:30" x14ac:dyDescent="0.2">
      <c r="AA1030" s="86"/>
      <c r="AC1030" s="86"/>
      <c r="AD1030" s="86"/>
    </row>
    <row r="1031" spans="27:30" x14ac:dyDescent="0.2">
      <c r="AA1031" s="86"/>
      <c r="AC1031" s="86"/>
      <c r="AD1031" s="86"/>
    </row>
    <row r="1032" spans="27:30" x14ac:dyDescent="0.2">
      <c r="AA1032" s="86"/>
      <c r="AC1032" s="86"/>
      <c r="AD1032" s="86"/>
    </row>
    <row r="1033" spans="27:30" x14ac:dyDescent="0.2">
      <c r="AA1033" s="86"/>
      <c r="AC1033" s="86"/>
      <c r="AD1033" s="86"/>
    </row>
    <row r="1034" spans="27:30" x14ac:dyDescent="0.2">
      <c r="AA1034" s="86"/>
      <c r="AC1034" s="86"/>
      <c r="AD1034" s="86"/>
    </row>
    <row r="1035" spans="27:30" x14ac:dyDescent="0.2">
      <c r="AA1035" s="86"/>
      <c r="AC1035" s="86"/>
      <c r="AD1035" s="86"/>
    </row>
    <row r="1036" spans="27:30" x14ac:dyDescent="0.2">
      <c r="AA1036" s="86"/>
      <c r="AC1036" s="86"/>
      <c r="AD1036" s="86"/>
    </row>
    <row r="1037" spans="27:30" x14ac:dyDescent="0.2">
      <c r="AA1037" s="86"/>
      <c r="AC1037" s="86"/>
      <c r="AD1037" s="86"/>
    </row>
    <row r="1038" spans="27:30" x14ac:dyDescent="0.2">
      <c r="AA1038" s="86"/>
      <c r="AC1038" s="86"/>
      <c r="AD1038" s="86"/>
    </row>
    <row r="1039" spans="27:30" x14ac:dyDescent="0.2">
      <c r="AA1039" s="86"/>
      <c r="AC1039" s="86"/>
      <c r="AD1039" s="86"/>
    </row>
    <row r="1040" spans="27:30" x14ac:dyDescent="0.2">
      <c r="AA1040" s="86"/>
      <c r="AC1040" s="86"/>
      <c r="AD1040" s="86"/>
    </row>
    <row r="1041" spans="27:30" x14ac:dyDescent="0.2">
      <c r="AA1041" s="86"/>
      <c r="AC1041" s="86"/>
      <c r="AD1041" s="86"/>
    </row>
    <row r="1042" spans="27:30" x14ac:dyDescent="0.2">
      <c r="AA1042" s="86"/>
      <c r="AC1042" s="86"/>
      <c r="AD1042" s="86"/>
    </row>
    <row r="1043" spans="27:30" x14ac:dyDescent="0.2">
      <c r="AA1043" s="86"/>
      <c r="AC1043" s="86"/>
      <c r="AD1043" s="86"/>
    </row>
    <row r="1044" spans="27:30" x14ac:dyDescent="0.2">
      <c r="AA1044" s="86"/>
      <c r="AC1044" s="86"/>
      <c r="AD1044" s="86"/>
    </row>
    <row r="1045" spans="27:30" x14ac:dyDescent="0.2">
      <c r="AA1045" s="86"/>
      <c r="AC1045" s="86"/>
      <c r="AD1045" s="86"/>
    </row>
    <row r="1046" spans="27:30" x14ac:dyDescent="0.2">
      <c r="AA1046" s="86"/>
      <c r="AC1046" s="86"/>
      <c r="AD1046" s="86"/>
    </row>
    <row r="1047" spans="27:30" x14ac:dyDescent="0.2">
      <c r="AA1047" s="86"/>
      <c r="AC1047" s="86"/>
      <c r="AD1047" s="86"/>
    </row>
    <row r="1048" spans="27:30" x14ac:dyDescent="0.2">
      <c r="AA1048" s="86"/>
      <c r="AC1048" s="86"/>
      <c r="AD1048" s="86"/>
    </row>
    <row r="1049" spans="27:30" x14ac:dyDescent="0.2">
      <c r="AA1049" s="86"/>
      <c r="AC1049" s="86"/>
      <c r="AD1049" s="86"/>
    </row>
    <row r="1050" spans="27:30" x14ac:dyDescent="0.2">
      <c r="AA1050" s="86"/>
      <c r="AC1050" s="86"/>
      <c r="AD1050" s="86"/>
    </row>
    <row r="1051" spans="27:30" x14ac:dyDescent="0.2">
      <c r="AA1051" s="86"/>
      <c r="AC1051" s="86"/>
      <c r="AD1051" s="86"/>
    </row>
    <row r="1052" spans="27:30" x14ac:dyDescent="0.2">
      <c r="AA1052" s="86"/>
      <c r="AC1052" s="86"/>
      <c r="AD1052" s="86"/>
    </row>
    <row r="1053" spans="27:30" x14ac:dyDescent="0.2">
      <c r="AA1053" s="86"/>
      <c r="AC1053" s="86"/>
      <c r="AD1053" s="86"/>
    </row>
    <row r="1054" spans="27:30" x14ac:dyDescent="0.2">
      <c r="AA1054" s="86"/>
      <c r="AC1054" s="86"/>
      <c r="AD1054" s="86"/>
    </row>
    <row r="1055" spans="27:30" x14ac:dyDescent="0.2">
      <c r="AA1055" s="86"/>
      <c r="AC1055" s="86"/>
      <c r="AD1055" s="86"/>
    </row>
    <row r="1056" spans="27:30" x14ac:dyDescent="0.2">
      <c r="AA1056" s="86"/>
      <c r="AC1056" s="86"/>
      <c r="AD1056" s="86"/>
    </row>
    <row r="1057" spans="27:30" x14ac:dyDescent="0.2">
      <c r="AA1057" s="86"/>
      <c r="AC1057" s="86"/>
      <c r="AD1057" s="86"/>
    </row>
    <row r="1058" spans="27:30" x14ac:dyDescent="0.2">
      <c r="AA1058" s="86"/>
      <c r="AC1058" s="86"/>
      <c r="AD1058" s="86"/>
    </row>
    <row r="1059" spans="27:30" x14ac:dyDescent="0.2">
      <c r="AA1059" s="86"/>
      <c r="AC1059" s="86"/>
      <c r="AD1059" s="86"/>
    </row>
    <row r="1060" spans="27:30" x14ac:dyDescent="0.2">
      <c r="AA1060" s="86"/>
      <c r="AC1060" s="86"/>
      <c r="AD1060" s="86"/>
    </row>
    <row r="1061" spans="27:30" x14ac:dyDescent="0.2">
      <c r="AA1061" s="86"/>
      <c r="AC1061" s="86"/>
      <c r="AD1061" s="86"/>
    </row>
    <row r="1062" spans="27:30" x14ac:dyDescent="0.2">
      <c r="AA1062" s="86"/>
      <c r="AC1062" s="86"/>
      <c r="AD1062" s="86"/>
    </row>
    <row r="1063" spans="27:30" x14ac:dyDescent="0.2">
      <c r="AA1063" s="86"/>
      <c r="AC1063" s="86"/>
      <c r="AD1063" s="86"/>
    </row>
    <row r="1064" spans="27:30" x14ac:dyDescent="0.2">
      <c r="AA1064" s="86"/>
      <c r="AC1064" s="86"/>
      <c r="AD1064" s="86"/>
    </row>
    <row r="1065" spans="27:30" x14ac:dyDescent="0.2">
      <c r="AA1065" s="86"/>
      <c r="AC1065" s="86"/>
      <c r="AD1065" s="86"/>
    </row>
    <row r="1066" spans="27:30" x14ac:dyDescent="0.2">
      <c r="AA1066" s="86"/>
      <c r="AC1066" s="86"/>
      <c r="AD1066" s="86"/>
    </row>
    <row r="1067" spans="27:30" x14ac:dyDescent="0.2">
      <c r="AA1067" s="86"/>
      <c r="AC1067" s="86"/>
      <c r="AD1067" s="86"/>
    </row>
    <row r="1068" spans="27:30" x14ac:dyDescent="0.2">
      <c r="AA1068" s="86"/>
      <c r="AC1068" s="86"/>
      <c r="AD1068" s="86"/>
    </row>
    <row r="1069" spans="27:30" x14ac:dyDescent="0.2">
      <c r="AA1069" s="86"/>
      <c r="AC1069" s="86"/>
      <c r="AD1069" s="86"/>
    </row>
    <row r="1070" spans="27:30" x14ac:dyDescent="0.2">
      <c r="AA1070" s="86"/>
      <c r="AC1070" s="86"/>
      <c r="AD1070" s="86"/>
    </row>
    <row r="1071" spans="27:30" x14ac:dyDescent="0.2">
      <c r="AA1071" s="86"/>
      <c r="AC1071" s="86"/>
      <c r="AD1071" s="86"/>
    </row>
    <row r="1072" spans="27:30" x14ac:dyDescent="0.2">
      <c r="AA1072" s="86"/>
      <c r="AC1072" s="86"/>
      <c r="AD1072" s="86"/>
    </row>
    <row r="1073" spans="27:30" x14ac:dyDescent="0.2">
      <c r="AA1073" s="86"/>
      <c r="AC1073" s="86"/>
      <c r="AD1073" s="86"/>
    </row>
    <row r="1074" spans="27:30" x14ac:dyDescent="0.2">
      <c r="AA1074" s="86"/>
      <c r="AC1074" s="86"/>
      <c r="AD1074" s="86"/>
    </row>
    <row r="1075" spans="27:30" x14ac:dyDescent="0.2">
      <c r="AA1075" s="86"/>
      <c r="AC1075" s="86"/>
      <c r="AD1075" s="86"/>
    </row>
    <row r="1076" spans="27:30" x14ac:dyDescent="0.2">
      <c r="AA1076" s="86"/>
      <c r="AC1076" s="86"/>
      <c r="AD1076" s="86"/>
    </row>
    <row r="1077" spans="27:30" x14ac:dyDescent="0.2">
      <c r="AA1077" s="86"/>
      <c r="AC1077" s="86"/>
      <c r="AD1077" s="86"/>
    </row>
    <row r="1078" spans="27:30" x14ac:dyDescent="0.2">
      <c r="AA1078" s="86"/>
      <c r="AC1078" s="86"/>
      <c r="AD1078" s="86"/>
    </row>
    <row r="1079" spans="27:30" x14ac:dyDescent="0.2">
      <c r="AA1079" s="86"/>
      <c r="AC1079" s="86"/>
      <c r="AD1079" s="86"/>
    </row>
    <row r="1080" spans="27:30" x14ac:dyDescent="0.2">
      <c r="AA1080" s="86"/>
      <c r="AC1080" s="86"/>
      <c r="AD1080" s="86"/>
    </row>
    <row r="1081" spans="27:30" x14ac:dyDescent="0.2">
      <c r="AA1081" s="86"/>
      <c r="AC1081" s="86"/>
      <c r="AD1081" s="86"/>
    </row>
    <row r="1082" spans="27:30" x14ac:dyDescent="0.2">
      <c r="AA1082" s="86"/>
      <c r="AC1082" s="86"/>
      <c r="AD1082" s="86"/>
    </row>
    <row r="1083" spans="27:30" x14ac:dyDescent="0.2">
      <c r="AA1083" s="86"/>
      <c r="AC1083" s="86"/>
      <c r="AD1083" s="86"/>
    </row>
    <row r="1084" spans="27:30" x14ac:dyDescent="0.2">
      <c r="AA1084" s="86"/>
      <c r="AC1084" s="86"/>
      <c r="AD1084" s="86"/>
    </row>
    <row r="1085" spans="27:30" x14ac:dyDescent="0.2">
      <c r="AA1085" s="86"/>
      <c r="AC1085" s="86"/>
      <c r="AD1085" s="86"/>
    </row>
    <row r="1086" spans="27:30" x14ac:dyDescent="0.2">
      <c r="AA1086" s="86"/>
      <c r="AC1086" s="86"/>
      <c r="AD1086" s="86"/>
    </row>
    <row r="1087" spans="27:30" x14ac:dyDescent="0.2">
      <c r="AA1087" s="86"/>
      <c r="AC1087" s="86"/>
      <c r="AD1087" s="86"/>
    </row>
    <row r="1088" spans="27:30" x14ac:dyDescent="0.2">
      <c r="AA1088" s="86"/>
      <c r="AC1088" s="86"/>
      <c r="AD1088" s="86"/>
    </row>
    <row r="1089" spans="27:30" x14ac:dyDescent="0.2">
      <c r="AA1089" s="86"/>
      <c r="AC1089" s="86"/>
      <c r="AD1089" s="86"/>
    </row>
    <row r="1090" spans="27:30" x14ac:dyDescent="0.2">
      <c r="AA1090" s="86"/>
      <c r="AC1090" s="86"/>
      <c r="AD1090" s="86"/>
    </row>
    <row r="1091" spans="27:30" x14ac:dyDescent="0.2">
      <c r="AA1091" s="86"/>
      <c r="AC1091" s="86"/>
      <c r="AD1091" s="86"/>
    </row>
    <row r="1092" spans="27:30" x14ac:dyDescent="0.2">
      <c r="AA1092" s="86"/>
      <c r="AC1092" s="86"/>
      <c r="AD1092" s="86"/>
    </row>
    <row r="1093" spans="27:30" x14ac:dyDescent="0.2">
      <c r="AA1093" s="86"/>
      <c r="AC1093" s="86"/>
      <c r="AD1093" s="86"/>
    </row>
    <row r="1094" spans="27:30" x14ac:dyDescent="0.2">
      <c r="AA1094" s="86"/>
      <c r="AC1094" s="86"/>
      <c r="AD1094" s="86"/>
    </row>
    <row r="1095" spans="27:30" x14ac:dyDescent="0.2">
      <c r="AA1095" s="86"/>
      <c r="AC1095" s="86"/>
      <c r="AD1095" s="86"/>
    </row>
    <row r="1096" spans="27:30" x14ac:dyDescent="0.2">
      <c r="AA1096" s="86"/>
      <c r="AC1096" s="86"/>
      <c r="AD1096" s="86"/>
    </row>
    <row r="1097" spans="27:30" x14ac:dyDescent="0.2">
      <c r="AA1097" s="86"/>
      <c r="AC1097" s="86"/>
      <c r="AD1097" s="86"/>
    </row>
    <row r="1098" spans="27:30" x14ac:dyDescent="0.2">
      <c r="AA1098" s="86"/>
      <c r="AC1098" s="86"/>
      <c r="AD1098" s="86"/>
    </row>
    <row r="1099" spans="27:30" x14ac:dyDescent="0.2">
      <c r="AA1099" s="86"/>
      <c r="AC1099" s="86"/>
      <c r="AD1099" s="86"/>
    </row>
    <row r="1100" spans="27:30" x14ac:dyDescent="0.2">
      <c r="AA1100" s="86"/>
      <c r="AC1100" s="86"/>
      <c r="AD1100" s="86"/>
    </row>
    <row r="1101" spans="27:30" x14ac:dyDescent="0.2">
      <c r="AA1101" s="86"/>
      <c r="AC1101" s="86"/>
      <c r="AD1101" s="86"/>
    </row>
    <row r="1102" spans="27:30" x14ac:dyDescent="0.2">
      <c r="AA1102" s="86"/>
      <c r="AC1102" s="86"/>
      <c r="AD1102" s="86"/>
    </row>
    <row r="1103" spans="27:30" x14ac:dyDescent="0.2">
      <c r="AA1103" s="86"/>
      <c r="AC1103" s="86"/>
      <c r="AD1103" s="86"/>
    </row>
    <row r="1104" spans="27:30" x14ac:dyDescent="0.2">
      <c r="AA1104" s="86"/>
      <c r="AC1104" s="86"/>
      <c r="AD1104" s="86"/>
    </row>
    <row r="1105" spans="27:30" x14ac:dyDescent="0.2">
      <c r="AA1105" s="86"/>
      <c r="AC1105" s="86"/>
      <c r="AD1105" s="86"/>
    </row>
    <row r="1106" spans="27:30" x14ac:dyDescent="0.2">
      <c r="AA1106" s="86"/>
      <c r="AC1106" s="86"/>
      <c r="AD1106" s="86"/>
    </row>
    <row r="1107" spans="27:30" x14ac:dyDescent="0.2">
      <c r="AA1107" s="86"/>
      <c r="AC1107" s="86"/>
      <c r="AD1107" s="86"/>
    </row>
    <row r="1108" spans="27:30" x14ac:dyDescent="0.2">
      <c r="AA1108" s="86"/>
      <c r="AC1108" s="86"/>
      <c r="AD1108" s="86"/>
    </row>
    <row r="1109" spans="27:30" x14ac:dyDescent="0.2">
      <c r="AA1109" s="86"/>
      <c r="AC1109" s="86"/>
      <c r="AD1109" s="86"/>
    </row>
    <row r="1110" spans="27:30" x14ac:dyDescent="0.2">
      <c r="AA1110" s="86"/>
      <c r="AC1110" s="86"/>
      <c r="AD1110" s="86"/>
    </row>
    <row r="1111" spans="27:30" x14ac:dyDescent="0.2">
      <c r="AA1111" s="86"/>
      <c r="AC1111" s="86"/>
      <c r="AD1111" s="86"/>
    </row>
    <row r="1112" spans="27:30" x14ac:dyDescent="0.2">
      <c r="AA1112" s="86"/>
      <c r="AC1112" s="86"/>
      <c r="AD1112" s="86"/>
    </row>
    <row r="1113" spans="27:30" x14ac:dyDescent="0.2">
      <c r="AA1113" s="86"/>
      <c r="AC1113" s="86"/>
      <c r="AD1113" s="86"/>
    </row>
    <row r="1114" spans="27:30" x14ac:dyDescent="0.2">
      <c r="AA1114" s="86"/>
      <c r="AC1114" s="86"/>
      <c r="AD1114" s="86"/>
    </row>
    <row r="1115" spans="27:30" x14ac:dyDescent="0.2">
      <c r="AA1115" s="86"/>
      <c r="AC1115" s="86"/>
      <c r="AD1115" s="86"/>
    </row>
    <row r="1116" spans="27:30" x14ac:dyDescent="0.2">
      <c r="AA1116" s="86"/>
      <c r="AC1116" s="86"/>
      <c r="AD1116" s="86"/>
    </row>
    <row r="1117" spans="27:30" x14ac:dyDescent="0.2">
      <c r="AA1117" s="86"/>
      <c r="AC1117" s="86"/>
      <c r="AD1117" s="86"/>
    </row>
    <row r="1118" spans="27:30" x14ac:dyDescent="0.2">
      <c r="AA1118" s="86"/>
      <c r="AC1118" s="86"/>
      <c r="AD1118" s="86"/>
    </row>
    <row r="1119" spans="27:30" x14ac:dyDescent="0.2">
      <c r="AA1119" s="86"/>
      <c r="AC1119" s="86"/>
      <c r="AD1119" s="86"/>
    </row>
    <row r="1120" spans="27:30" x14ac:dyDescent="0.2">
      <c r="AA1120" s="86"/>
      <c r="AC1120" s="86"/>
      <c r="AD1120" s="86"/>
    </row>
    <row r="1121" spans="27:30" x14ac:dyDescent="0.2">
      <c r="AA1121" s="86"/>
      <c r="AC1121" s="86"/>
      <c r="AD1121" s="86"/>
    </row>
    <row r="1122" spans="27:30" x14ac:dyDescent="0.2">
      <c r="AA1122" s="86"/>
      <c r="AC1122" s="86"/>
      <c r="AD1122" s="86"/>
    </row>
    <row r="1123" spans="27:30" x14ac:dyDescent="0.2">
      <c r="AA1123" s="86"/>
      <c r="AC1123" s="86"/>
      <c r="AD1123" s="86"/>
    </row>
    <row r="1124" spans="27:30" x14ac:dyDescent="0.2">
      <c r="AA1124" s="86"/>
      <c r="AC1124" s="86"/>
      <c r="AD1124" s="86"/>
    </row>
    <row r="1125" spans="27:30" x14ac:dyDescent="0.2">
      <c r="AA1125" s="86"/>
      <c r="AC1125" s="86"/>
      <c r="AD1125" s="86"/>
    </row>
    <row r="1126" spans="27:30" x14ac:dyDescent="0.2">
      <c r="AA1126" s="86"/>
      <c r="AC1126" s="86"/>
      <c r="AD1126" s="86"/>
    </row>
    <row r="1127" spans="27:30" x14ac:dyDescent="0.2">
      <c r="AA1127" s="86"/>
      <c r="AC1127" s="86"/>
      <c r="AD1127" s="86"/>
    </row>
    <row r="1128" spans="27:30" x14ac:dyDescent="0.2">
      <c r="AA1128" s="86"/>
      <c r="AC1128" s="86"/>
      <c r="AD1128" s="86"/>
    </row>
    <row r="1129" spans="27:30" x14ac:dyDescent="0.2">
      <c r="AA1129" s="86"/>
      <c r="AC1129" s="86"/>
      <c r="AD1129" s="86"/>
    </row>
    <row r="1130" spans="27:30" x14ac:dyDescent="0.2">
      <c r="AA1130" s="86"/>
      <c r="AC1130" s="86"/>
      <c r="AD1130" s="86"/>
    </row>
    <row r="1131" spans="27:30" x14ac:dyDescent="0.2">
      <c r="AA1131" s="86"/>
      <c r="AC1131" s="86"/>
      <c r="AD1131" s="86"/>
    </row>
    <row r="1132" spans="27:30" x14ac:dyDescent="0.2">
      <c r="AA1132" s="86"/>
      <c r="AC1132" s="86"/>
      <c r="AD1132" s="86"/>
    </row>
    <row r="1133" spans="27:30" x14ac:dyDescent="0.2">
      <c r="AA1133" s="86"/>
      <c r="AC1133" s="86"/>
      <c r="AD1133" s="86"/>
    </row>
    <row r="1134" spans="27:30" x14ac:dyDescent="0.2">
      <c r="AA1134" s="86"/>
      <c r="AC1134" s="86"/>
      <c r="AD1134" s="86"/>
    </row>
    <row r="1135" spans="27:30" x14ac:dyDescent="0.2">
      <c r="AA1135" s="86"/>
      <c r="AC1135" s="86"/>
      <c r="AD1135" s="86"/>
    </row>
    <row r="1136" spans="27:30" x14ac:dyDescent="0.2">
      <c r="AA1136" s="86"/>
      <c r="AC1136" s="86"/>
      <c r="AD1136" s="86"/>
    </row>
    <row r="1137" spans="27:30" x14ac:dyDescent="0.2">
      <c r="AA1137" s="86"/>
      <c r="AC1137" s="86"/>
      <c r="AD1137" s="86"/>
    </row>
    <row r="1138" spans="27:30" x14ac:dyDescent="0.2">
      <c r="AA1138" s="86"/>
      <c r="AC1138" s="86"/>
      <c r="AD1138" s="86"/>
    </row>
    <row r="1139" spans="27:30" x14ac:dyDescent="0.2">
      <c r="AA1139" s="86"/>
      <c r="AC1139" s="86"/>
      <c r="AD1139" s="86"/>
    </row>
    <row r="1140" spans="27:30" x14ac:dyDescent="0.2">
      <c r="AA1140" s="86"/>
      <c r="AC1140" s="86"/>
      <c r="AD1140" s="86"/>
    </row>
    <row r="1141" spans="27:30" x14ac:dyDescent="0.2">
      <c r="AA1141" s="86"/>
      <c r="AC1141" s="86"/>
      <c r="AD1141" s="86"/>
    </row>
    <row r="1142" spans="27:30" x14ac:dyDescent="0.2">
      <c r="AA1142" s="86"/>
      <c r="AC1142" s="86"/>
      <c r="AD1142" s="86"/>
    </row>
    <row r="1143" spans="27:30" x14ac:dyDescent="0.2">
      <c r="AA1143" s="86"/>
      <c r="AC1143" s="86"/>
      <c r="AD1143" s="86"/>
    </row>
    <row r="1144" spans="27:30" x14ac:dyDescent="0.2">
      <c r="AA1144" s="86"/>
      <c r="AC1144" s="86"/>
      <c r="AD1144" s="86"/>
    </row>
    <row r="1145" spans="27:30" x14ac:dyDescent="0.2">
      <c r="AA1145" s="86"/>
      <c r="AC1145" s="86"/>
      <c r="AD1145" s="86"/>
    </row>
    <row r="1146" spans="27:30" x14ac:dyDescent="0.2">
      <c r="AA1146" s="86"/>
      <c r="AC1146" s="86"/>
      <c r="AD1146" s="86"/>
    </row>
    <row r="1147" spans="27:30" x14ac:dyDescent="0.2">
      <c r="AA1147" s="86"/>
      <c r="AC1147" s="86"/>
      <c r="AD1147" s="86"/>
    </row>
    <row r="1148" spans="27:30" x14ac:dyDescent="0.2">
      <c r="AA1148" s="86"/>
      <c r="AC1148" s="86"/>
      <c r="AD1148" s="86"/>
    </row>
    <row r="1149" spans="27:30" x14ac:dyDescent="0.2">
      <c r="AA1149" s="86"/>
      <c r="AC1149" s="86"/>
      <c r="AD1149" s="86"/>
    </row>
    <row r="1150" spans="27:30" x14ac:dyDescent="0.2">
      <c r="AA1150" s="86"/>
      <c r="AC1150" s="86"/>
      <c r="AD1150" s="86"/>
    </row>
    <row r="1151" spans="27:30" x14ac:dyDescent="0.2">
      <c r="AA1151" s="86"/>
      <c r="AC1151" s="86"/>
      <c r="AD1151" s="86"/>
    </row>
    <row r="1152" spans="27:30" x14ac:dyDescent="0.2">
      <c r="AA1152" s="86"/>
      <c r="AC1152" s="86"/>
      <c r="AD1152" s="86"/>
    </row>
    <row r="1153" spans="27:30" x14ac:dyDescent="0.2">
      <c r="AA1153" s="86"/>
      <c r="AC1153" s="86"/>
      <c r="AD1153" s="86"/>
    </row>
    <row r="1154" spans="27:30" x14ac:dyDescent="0.2">
      <c r="AA1154" s="86"/>
      <c r="AC1154" s="86"/>
      <c r="AD1154" s="86"/>
    </row>
    <row r="1155" spans="27:30" x14ac:dyDescent="0.2">
      <c r="AA1155" s="86"/>
      <c r="AC1155" s="86"/>
      <c r="AD1155" s="86"/>
    </row>
    <row r="1156" spans="27:30" x14ac:dyDescent="0.2">
      <c r="AA1156" s="86"/>
      <c r="AC1156" s="86"/>
      <c r="AD1156" s="86"/>
    </row>
    <row r="1157" spans="27:30" x14ac:dyDescent="0.2">
      <c r="AA1157" s="86"/>
      <c r="AC1157" s="86"/>
      <c r="AD1157" s="86"/>
    </row>
    <row r="1158" spans="27:30" x14ac:dyDescent="0.2">
      <c r="AA1158" s="86"/>
      <c r="AC1158" s="86"/>
      <c r="AD1158" s="86"/>
    </row>
    <row r="1159" spans="27:30" x14ac:dyDescent="0.2">
      <c r="AA1159" s="86"/>
      <c r="AC1159" s="86"/>
      <c r="AD1159" s="86"/>
    </row>
    <row r="1160" spans="27:30" x14ac:dyDescent="0.2">
      <c r="AA1160" s="86"/>
      <c r="AC1160" s="86"/>
      <c r="AD1160" s="86"/>
    </row>
    <row r="1161" spans="27:30" x14ac:dyDescent="0.2">
      <c r="AA1161" s="86"/>
      <c r="AC1161" s="86"/>
      <c r="AD1161" s="86"/>
    </row>
    <row r="1162" spans="27:30" x14ac:dyDescent="0.2">
      <c r="AA1162" s="86"/>
      <c r="AC1162" s="86"/>
      <c r="AD1162" s="86"/>
    </row>
    <row r="1163" spans="27:30" x14ac:dyDescent="0.2">
      <c r="AA1163" s="86"/>
      <c r="AC1163" s="86"/>
      <c r="AD1163" s="86"/>
    </row>
    <row r="1164" spans="27:30" x14ac:dyDescent="0.2">
      <c r="AA1164" s="86"/>
      <c r="AC1164" s="86"/>
      <c r="AD1164" s="86"/>
    </row>
    <row r="1165" spans="27:30" x14ac:dyDescent="0.2">
      <c r="AA1165" s="86"/>
      <c r="AC1165" s="86"/>
      <c r="AD1165" s="86"/>
    </row>
    <row r="1166" spans="27:30" x14ac:dyDescent="0.2">
      <c r="AA1166" s="86"/>
      <c r="AC1166" s="86"/>
      <c r="AD1166" s="86"/>
    </row>
    <row r="1167" spans="27:30" x14ac:dyDescent="0.2">
      <c r="AA1167" s="86"/>
      <c r="AC1167" s="86"/>
      <c r="AD1167" s="86"/>
    </row>
    <row r="1168" spans="27:30" x14ac:dyDescent="0.2">
      <c r="AA1168" s="86"/>
      <c r="AC1168" s="86"/>
      <c r="AD1168" s="86"/>
    </row>
    <row r="1169" spans="27:30" x14ac:dyDescent="0.2">
      <c r="AA1169" s="86"/>
      <c r="AC1169" s="86"/>
      <c r="AD1169" s="86"/>
    </row>
    <row r="1170" spans="27:30" x14ac:dyDescent="0.2">
      <c r="AA1170" s="86"/>
      <c r="AC1170" s="86"/>
      <c r="AD1170" s="86"/>
    </row>
    <row r="1171" spans="27:30" x14ac:dyDescent="0.2">
      <c r="AA1171" s="86"/>
      <c r="AC1171" s="86"/>
      <c r="AD1171" s="86"/>
    </row>
    <row r="1172" spans="27:30" x14ac:dyDescent="0.2">
      <c r="AA1172" s="86"/>
      <c r="AC1172" s="86"/>
      <c r="AD1172" s="86"/>
    </row>
    <row r="1173" spans="27:30" x14ac:dyDescent="0.2">
      <c r="AA1173" s="86"/>
      <c r="AC1173" s="86"/>
      <c r="AD1173" s="86"/>
    </row>
    <row r="1174" spans="27:30" x14ac:dyDescent="0.2">
      <c r="AA1174" s="86"/>
      <c r="AC1174" s="86"/>
      <c r="AD1174" s="86"/>
    </row>
    <row r="1175" spans="27:30" x14ac:dyDescent="0.2">
      <c r="AA1175" s="86"/>
      <c r="AC1175" s="86"/>
      <c r="AD1175" s="86"/>
    </row>
    <row r="1176" spans="27:30" x14ac:dyDescent="0.2">
      <c r="AA1176" s="86"/>
      <c r="AC1176" s="86"/>
      <c r="AD1176" s="86"/>
    </row>
    <row r="1177" spans="27:30" x14ac:dyDescent="0.2">
      <c r="AA1177" s="86"/>
      <c r="AC1177" s="86"/>
      <c r="AD1177" s="86"/>
    </row>
    <row r="1178" spans="27:30" x14ac:dyDescent="0.2">
      <c r="AA1178" s="86"/>
      <c r="AC1178" s="86"/>
      <c r="AD1178" s="86"/>
    </row>
    <row r="1179" spans="27:30" x14ac:dyDescent="0.2">
      <c r="AA1179" s="86"/>
      <c r="AC1179" s="86"/>
      <c r="AD1179" s="86"/>
    </row>
    <row r="1180" spans="27:30" x14ac:dyDescent="0.2">
      <c r="AA1180" s="86"/>
      <c r="AC1180" s="86"/>
      <c r="AD1180" s="86"/>
    </row>
    <row r="1181" spans="27:30" x14ac:dyDescent="0.2">
      <c r="AA1181" s="86"/>
      <c r="AC1181" s="86"/>
      <c r="AD1181" s="86"/>
    </row>
    <row r="1182" spans="27:30" x14ac:dyDescent="0.2">
      <c r="AA1182" s="86"/>
      <c r="AC1182" s="86"/>
      <c r="AD1182" s="86"/>
    </row>
    <row r="1183" spans="27:30" x14ac:dyDescent="0.2">
      <c r="AA1183" s="86"/>
      <c r="AC1183" s="86"/>
      <c r="AD1183" s="86"/>
    </row>
    <row r="1184" spans="27:30" x14ac:dyDescent="0.2">
      <c r="AA1184" s="86"/>
      <c r="AC1184" s="86"/>
      <c r="AD1184" s="86"/>
    </row>
    <row r="1185" spans="27:30" x14ac:dyDescent="0.2">
      <c r="AA1185" s="86"/>
      <c r="AC1185" s="86"/>
      <c r="AD1185" s="86"/>
    </row>
    <row r="1186" spans="27:30" x14ac:dyDescent="0.2">
      <c r="AA1186" s="86"/>
      <c r="AC1186" s="86"/>
      <c r="AD1186" s="86"/>
    </row>
    <row r="1187" spans="27:30" x14ac:dyDescent="0.2">
      <c r="AA1187" s="86"/>
      <c r="AC1187" s="86"/>
      <c r="AD1187" s="86"/>
    </row>
    <row r="1188" spans="27:30" x14ac:dyDescent="0.2">
      <c r="AA1188" s="86"/>
      <c r="AC1188" s="86"/>
      <c r="AD1188" s="86"/>
    </row>
    <row r="1189" spans="27:30" x14ac:dyDescent="0.2">
      <c r="AA1189" s="86"/>
      <c r="AC1189" s="86"/>
      <c r="AD1189" s="86"/>
    </row>
    <row r="1190" spans="27:30" x14ac:dyDescent="0.2">
      <c r="AA1190" s="86"/>
      <c r="AC1190" s="86"/>
      <c r="AD1190" s="86"/>
    </row>
    <row r="1191" spans="27:30" x14ac:dyDescent="0.2">
      <c r="AA1191" s="86"/>
      <c r="AC1191" s="86"/>
      <c r="AD1191" s="86"/>
    </row>
    <row r="1192" spans="27:30" x14ac:dyDescent="0.2">
      <c r="AA1192" s="86"/>
      <c r="AC1192" s="86"/>
      <c r="AD1192" s="86"/>
    </row>
    <row r="1193" spans="27:30" x14ac:dyDescent="0.2">
      <c r="AA1193" s="86"/>
      <c r="AC1193" s="86"/>
      <c r="AD1193" s="86"/>
    </row>
    <row r="1194" spans="27:30" x14ac:dyDescent="0.2">
      <c r="AA1194" s="86"/>
      <c r="AC1194" s="86"/>
      <c r="AD1194" s="86"/>
    </row>
    <row r="1195" spans="27:30" x14ac:dyDescent="0.2">
      <c r="AA1195" s="86"/>
      <c r="AC1195" s="86"/>
      <c r="AD1195" s="86"/>
    </row>
    <row r="1196" spans="27:30" x14ac:dyDescent="0.2">
      <c r="AA1196" s="86"/>
      <c r="AC1196" s="86"/>
      <c r="AD1196" s="86"/>
    </row>
    <row r="1197" spans="27:30" x14ac:dyDescent="0.2">
      <c r="AA1197" s="86"/>
      <c r="AC1197" s="86"/>
      <c r="AD1197" s="86"/>
    </row>
    <row r="1198" spans="27:30" x14ac:dyDescent="0.2">
      <c r="AA1198" s="86"/>
      <c r="AC1198" s="86"/>
      <c r="AD1198" s="86"/>
    </row>
    <row r="1199" spans="27:30" x14ac:dyDescent="0.2">
      <c r="AA1199" s="86"/>
      <c r="AC1199" s="86"/>
      <c r="AD1199" s="86"/>
    </row>
    <row r="1200" spans="27:30" x14ac:dyDescent="0.2">
      <c r="AA1200" s="86"/>
      <c r="AC1200" s="86"/>
      <c r="AD1200" s="86"/>
    </row>
    <row r="1201" spans="27:30" x14ac:dyDescent="0.2">
      <c r="AA1201" s="86"/>
      <c r="AC1201" s="86"/>
      <c r="AD1201" s="86"/>
    </row>
    <row r="1202" spans="27:30" x14ac:dyDescent="0.2">
      <c r="AA1202" s="86"/>
      <c r="AC1202" s="86"/>
      <c r="AD1202" s="86"/>
    </row>
    <row r="1203" spans="27:30" x14ac:dyDescent="0.2">
      <c r="AA1203" s="86"/>
      <c r="AC1203" s="86"/>
      <c r="AD1203" s="86"/>
    </row>
    <row r="1204" spans="27:30" x14ac:dyDescent="0.2">
      <c r="AA1204" s="86"/>
      <c r="AC1204" s="86"/>
      <c r="AD1204" s="86"/>
    </row>
    <row r="1205" spans="27:30" x14ac:dyDescent="0.2">
      <c r="AA1205" s="86"/>
      <c r="AC1205" s="86"/>
      <c r="AD1205" s="86"/>
    </row>
    <row r="1206" spans="27:30" x14ac:dyDescent="0.2">
      <c r="AA1206" s="86"/>
      <c r="AC1206" s="86"/>
      <c r="AD1206" s="86"/>
    </row>
    <row r="1207" spans="27:30" x14ac:dyDescent="0.2">
      <c r="AA1207" s="86"/>
      <c r="AC1207" s="86"/>
      <c r="AD1207" s="86"/>
    </row>
    <row r="1208" spans="27:30" x14ac:dyDescent="0.2">
      <c r="AA1208" s="86"/>
      <c r="AC1208" s="86"/>
      <c r="AD1208" s="86"/>
    </row>
    <row r="1209" spans="27:30" x14ac:dyDescent="0.2">
      <c r="AA1209" s="86"/>
      <c r="AC1209" s="86"/>
      <c r="AD1209" s="86"/>
    </row>
    <row r="1210" spans="27:30" x14ac:dyDescent="0.2">
      <c r="AA1210" s="86"/>
      <c r="AC1210" s="86"/>
      <c r="AD1210" s="86"/>
    </row>
    <row r="1211" spans="27:30" x14ac:dyDescent="0.2">
      <c r="AA1211" s="86"/>
      <c r="AC1211" s="86"/>
      <c r="AD1211" s="86"/>
    </row>
    <row r="1212" spans="27:30" x14ac:dyDescent="0.2">
      <c r="AA1212" s="86"/>
      <c r="AC1212" s="86"/>
      <c r="AD1212" s="86"/>
    </row>
    <row r="1213" spans="27:30" x14ac:dyDescent="0.2">
      <c r="AA1213" s="86"/>
      <c r="AC1213" s="86"/>
      <c r="AD1213" s="86"/>
    </row>
    <row r="1214" spans="27:30" x14ac:dyDescent="0.2">
      <c r="AA1214" s="86"/>
      <c r="AC1214" s="86"/>
      <c r="AD1214" s="86"/>
    </row>
    <row r="1215" spans="27:30" x14ac:dyDescent="0.2">
      <c r="AA1215" s="86"/>
      <c r="AC1215" s="86"/>
      <c r="AD1215" s="86"/>
    </row>
    <row r="1216" spans="27:30" x14ac:dyDescent="0.2">
      <c r="AA1216" s="86"/>
      <c r="AC1216" s="86"/>
      <c r="AD1216" s="86"/>
    </row>
    <row r="1217" spans="27:30" x14ac:dyDescent="0.2">
      <c r="AA1217" s="86"/>
      <c r="AC1217" s="86"/>
      <c r="AD1217" s="86"/>
    </row>
    <row r="1218" spans="27:30" x14ac:dyDescent="0.2">
      <c r="AA1218" s="86"/>
      <c r="AC1218" s="86"/>
      <c r="AD1218" s="86"/>
    </row>
    <row r="1219" spans="27:30" x14ac:dyDescent="0.2">
      <c r="AA1219" s="86"/>
      <c r="AC1219" s="86"/>
      <c r="AD1219" s="86"/>
    </row>
    <row r="1220" spans="27:30" x14ac:dyDescent="0.2">
      <c r="AA1220" s="86"/>
      <c r="AC1220" s="86"/>
      <c r="AD1220" s="86"/>
    </row>
    <row r="1221" spans="27:30" x14ac:dyDescent="0.2">
      <c r="AA1221" s="86"/>
      <c r="AC1221" s="86"/>
      <c r="AD1221" s="86"/>
    </row>
    <row r="1222" spans="27:30" x14ac:dyDescent="0.2">
      <c r="AA1222" s="86"/>
      <c r="AC1222" s="86"/>
      <c r="AD1222" s="86"/>
    </row>
    <row r="1223" spans="27:30" x14ac:dyDescent="0.2">
      <c r="AA1223" s="86"/>
      <c r="AC1223" s="86"/>
      <c r="AD1223" s="86"/>
    </row>
    <row r="1224" spans="27:30" x14ac:dyDescent="0.2">
      <c r="AA1224" s="86"/>
      <c r="AC1224" s="86"/>
      <c r="AD1224" s="86"/>
    </row>
    <row r="1225" spans="27:30" x14ac:dyDescent="0.2">
      <c r="AA1225" s="86"/>
      <c r="AC1225" s="86"/>
      <c r="AD1225" s="86"/>
    </row>
    <row r="1226" spans="27:30" x14ac:dyDescent="0.2">
      <c r="AA1226" s="86"/>
      <c r="AC1226" s="86"/>
      <c r="AD1226" s="86"/>
    </row>
    <row r="1227" spans="27:30" x14ac:dyDescent="0.2">
      <c r="AA1227" s="86"/>
      <c r="AC1227" s="86"/>
      <c r="AD1227" s="86"/>
    </row>
    <row r="1228" spans="27:30" x14ac:dyDescent="0.2">
      <c r="AA1228" s="86"/>
      <c r="AC1228" s="86"/>
      <c r="AD1228" s="86"/>
    </row>
    <row r="1229" spans="27:30" x14ac:dyDescent="0.2">
      <c r="AA1229" s="86"/>
      <c r="AC1229" s="86"/>
      <c r="AD1229" s="86"/>
    </row>
    <row r="1230" spans="27:30" x14ac:dyDescent="0.2">
      <c r="AA1230" s="86"/>
      <c r="AC1230" s="86"/>
      <c r="AD1230" s="86"/>
    </row>
    <row r="1231" spans="27:30" x14ac:dyDescent="0.2">
      <c r="AA1231" s="86"/>
      <c r="AC1231" s="86"/>
      <c r="AD1231" s="86"/>
    </row>
    <row r="1232" spans="27:30" x14ac:dyDescent="0.2">
      <c r="AA1232" s="86"/>
      <c r="AC1232" s="86"/>
      <c r="AD1232" s="86"/>
    </row>
    <row r="1233" spans="27:30" x14ac:dyDescent="0.2">
      <c r="AA1233" s="86"/>
      <c r="AC1233" s="86"/>
      <c r="AD1233" s="86"/>
    </row>
    <row r="1234" spans="27:30" x14ac:dyDescent="0.2">
      <c r="AA1234" s="86"/>
      <c r="AC1234" s="86"/>
      <c r="AD1234" s="86"/>
    </row>
    <row r="1235" spans="27:30" x14ac:dyDescent="0.2">
      <c r="AA1235" s="86"/>
      <c r="AC1235" s="86"/>
      <c r="AD1235" s="86"/>
    </row>
    <row r="1236" spans="27:30" x14ac:dyDescent="0.2">
      <c r="AA1236" s="86"/>
      <c r="AC1236" s="86"/>
      <c r="AD1236" s="86"/>
    </row>
    <row r="1237" spans="27:30" x14ac:dyDescent="0.2">
      <c r="AA1237" s="86"/>
      <c r="AC1237" s="86"/>
      <c r="AD1237" s="86"/>
    </row>
    <row r="1238" spans="27:30" x14ac:dyDescent="0.2">
      <c r="AA1238" s="86"/>
      <c r="AC1238" s="86"/>
      <c r="AD1238" s="86"/>
    </row>
    <row r="1239" spans="27:30" x14ac:dyDescent="0.2">
      <c r="AA1239" s="86"/>
      <c r="AC1239" s="86"/>
      <c r="AD1239" s="86"/>
    </row>
    <row r="1240" spans="27:30" x14ac:dyDescent="0.2">
      <c r="AA1240" s="86"/>
      <c r="AC1240" s="86"/>
      <c r="AD1240" s="86"/>
    </row>
    <row r="1241" spans="27:30" x14ac:dyDescent="0.2">
      <c r="AA1241" s="86"/>
      <c r="AC1241" s="86"/>
      <c r="AD1241" s="86"/>
    </row>
    <row r="1242" spans="27:30" x14ac:dyDescent="0.2">
      <c r="AA1242" s="86"/>
      <c r="AC1242" s="86"/>
      <c r="AD1242" s="86"/>
    </row>
    <row r="1243" spans="27:30" x14ac:dyDescent="0.2">
      <c r="AA1243" s="86"/>
      <c r="AC1243" s="86"/>
      <c r="AD1243" s="86"/>
    </row>
    <row r="1244" spans="27:30" x14ac:dyDescent="0.2">
      <c r="AA1244" s="86"/>
      <c r="AC1244" s="86"/>
      <c r="AD1244" s="86"/>
    </row>
    <row r="1245" spans="27:30" x14ac:dyDescent="0.2">
      <c r="AA1245" s="86"/>
      <c r="AC1245" s="86"/>
      <c r="AD1245" s="86"/>
    </row>
    <row r="1246" spans="27:30" x14ac:dyDescent="0.2">
      <c r="AA1246" s="86"/>
      <c r="AC1246" s="86"/>
      <c r="AD1246" s="86"/>
    </row>
    <row r="1247" spans="27:30" x14ac:dyDescent="0.2">
      <c r="AA1247" s="86"/>
      <c r="AC1247" s="86"/>
      <c r="AD1247" s="86"/>
    </row>
    <row r="1248" spans="27:30" x14ac:dyDescent="0.2">
      <c r="AA1248" s="86"/>
      <c r="AC1248" s="86"/>
      <c r="AD1248" s="86"/>
    </row>
    <row r="1249" spans="27:30" x14ac:dyDescent="0.2">
      <c r="AA1249" s="86"/>
      <c r="AC1249" s="86"/>
      <c r="AD1249" s="86"/>
    </row>
    <row r="1250" spans="27:30" x14ac:dyDescent="0.2">
      <c r="AA1250" s="86"/>
      <c r="AC1250" s="86"/>
      <c r="AD1250" s="86"/>
    </row>
    <row r="1251" spans="27:30" x14ac:dyDescent="0.2">
      <c r="AA1251" s="86"/>
      <c r="AC1251" s="86"/>
      <c r="AD1251" s="86"/>
    </row>
    <row r="1252" spans="27:30" x14ac:dyDescent="0.2">
      <c r="AA1252" s="86"/>
      <c r="AC1252" s="86"/>
      <c r="AD1252" s="86"/>
    </row>
    <row r="1253" spans="27:30" x14ac:dyDescent="0.2">
      <c r="AA1253" s="86"/>
      <c r="AC1253" s="86"/>
      <c r="AD1253" s="86"/>
    </row>
    <row r="1254" spans="27:30" x14ac:dyDescent="0.2">
      <c r="AA1254" s="86"/>
      <c r="AC1254" s="86"/>
      <c r="AD1254" s="86"/>
    </row>
    <row r="1255" spans="27:30" x14ac:dyDescent="0.2">
      <c r="AA1255" s="86"/>
      <c r="AC1255" s="86"/>
      <c r="AD1255" s="86"/>
    </row>
    <row r="1256" spans="27:30" x14ac:dyDescent="0.2">
      <c r="AA1256" s="86"/>
      <c r="AC1256" s="86"/>
      <c r="AD1256" s="86"/>
    </row>
    <row r="1257" spans="27:30" x14ac:dyDescent="0.2">
      <c r="AA1257" s="86"/>
      <c r="AC1257" s="86"/>
      <c r="AD1257" s="86"/>
    </row>
    <row r="1258" spans="27:30" x14ac:dyDescent="0.2">
      <c r="AA1258" s="86"/>
      <c r="AC1258" s="86"/>
      <c r="AD1258" s="86"/>
    </row>
    <row r="1259" spans="27:30" x14ac:dyDescent="0.2">
      <c r="AA1259" s="86"/>
      <c r="AC1259" s="86"/>
      <c r="AD1259" s="86"/>
    </row>
    <row r="1260" spans="27:30" x14ac:dyDescent="0.2">
      <c r="AA1260" s="86"/>
      <c r="AC1260" s="86"/>
      <c r="AD1260" s="86"/>
    </row>
    <row r="1261" spans="27:30" x14ac:dyDescent="0.2">
      <c r="AA1261" s="86"/>
      <c r="AC1261" s="86"/>
      <c r="AD1261" s="86"/>
    </row>
    <row r="1262" spans="27:30" x14ac:dyDescent="0.2">
      <c r="AA1262" s="86"/>
      <c r="AC1262" s="86"/>
      <c r="AD1262" s="86"/>
    </row>
    <row r="1263" spans="27:30" x14ac:dyDescent="0.2">
      <c r="AA1263" s="86"/>
      <c r="AC1263" s="86"/>
      <c r="AD1263" s="86"/>
    </row>
    <row r="1264" spans="27:30" x14ac:dyDescent="0.2">
      <c r="AA1264" s="86"/>
      <c r="AC1264" s="86"/>
      <c r="AD1264" s="86"/>
    </row>
    <row r="1265" spans="27:30" x14ac:dyDescent="0.2">
      <c r="AA1265" s="86"/>
      <c r="AC1265" s="86"/>
      <c r="AD1265" s="86"/>
    </row>
    <row r="1266" spans="27:30" x14ac:dyDescent="0.2">
      <c r="AA1266" s="86"/>
      <c r="AC1266" s="86"/>
      <c r="AD1266" s="86"/>
    </row>
    <row r="1267" spans="27:30" x14ac:dyDescent="0.2">
      <c r="AA1267" s="86"/>
      <c r="AC1267" s="86"/>
      <c r="AD1267" s="86"/>
    </row>
    <row r="1268" spans="27:30" x14ac:dyDescent="0.2">
      <c r="AA1268" s="86"/>
      <c r="AC1268" s="86"/>
      <c r="AD1268" s="86"/>
    </row>
    <row r="1269" spans="27:30" x14ac:dyDescent="0.2">
      <c r="AA1269" s="86"/>
      <c r="AC1269" s="86"/>
      <c r="AD1269" s="86"/>
    </row>
    <row r="1270" spans="27:30" x14ac:dyDescent="0.2">
      <c r="AA1270" s="86"/>
      <c r="AC1270" s="86"/>
      <c r="AD1270" s="86"/>
    </row>
    <row r="1271" spans="27:30" x14ac:dyDescent="0.2">
      <c r="AA1271" s="86"/>
      <c r="AC1271" s="86"/>
      <c r="AD1271" s="86"/>
    </row>
    <row r="1272" spans="27:30" x14ac:dyDescent="0.2">
      <c r="AA1272" s="86"/>
      <c r="AC1272" s="86"/>
      <c r="AD1272" s="86"/>
    </row>
    <row r="1273" spans="27:30" x14ac:dyDescent="0.2">
      <c r="AA1273" s="86"/>
      <c r="AC1273" s="86"/>
      <c r="AD1273" s="86"/>
    </row>
    <row r="1274" spans="27:30" x14ac:dyDescent="0.2">
      <c r="AA1274" s="86"/>
      <c r="AC1274" s="86"/>
      <c r="AD1274" s="86"/>
    </row>
    <row r="1275" spans="27:30" x14ac:dyDescent="0.2">
      <c r="AA1275" s="86"/>
      <c r="AC1275" s="86"/>
      <c r="AD1275" s="86"/>
    </row>
    <row r="1276" spans="27:30" x14ac:dyDescent="0.2">
      <c r="AA1276" s="86"/>
      <c r="AC1276" s="86"/>
      <c r="AD1276" s="86"/>
    </row>
    <row r="1277" spans="27:30" x14ac:dyDescent="0.2">
      <c r="AA1277" s="86"/>
      <c r="AC1277" s="86"/>
      <c r="AD1277" s="86"/>
    </row>
    <row r="1278" spans="27:30" x14ac:dyDescent="0.2">
      <c r="AA1278" s="86"/>
      <c r="AC1278" s="86"/>
      <c r="AD1278" s="86"/>
    </row>
    <row r="1279" spans="27:30" x14ac:dyDescent="0.2">
      <c r="AA1279" s="86"/>
      <c r="AC1279" s="86"/>
      <c r="AD1279" s="86"/>
    </row>
    <row r="1280" spans="27:30" x14ac:dyDescent="0.2">
      <c r="AA1280" s="86"/>
      <c r="AC1280" s="86"/>
      <c r="AD1280" s="86"/>
    </row>
    <row r="1281" spans="27:30" x14ac:dyDescent="0.2">
      <c r="AA1281" s="86"/>
      <c r="AC1281" s="86"/>
      <c r="AD1281" s="86"/>
    </row>
    <row r="1282" spans="27:30" x14ac:dyDescent="0.2">
      <c r="AA1282" s="86"/>
      <c r="AC1282" s="86"/>
      <c r="AD1282" s="86"/>
    </row>
    <row r="1283" spans="27:30" x14ac:dyDescent="0.2">
      <c r="AA1283" s="86"/>
      <c r="AC1283" s="86"/>
      <c r="AD1283" s="86"/>
    </row>
    <row r="1284" spans="27:30" x14ac:dyDescent="0.2">
      <c r="AA1284" s="86"/>
      <c r="AC1284" s="86"/>
      <c r="AD1284" s="86"/>
    </row>
    <row r="1285" spans="27:30" x14ac:dyDescent="0.2">
      <c r="AA1285" s="86"/>
      <c r="AC1285" s="86"/>
      <c r="AD1285" s="86"/>
    </row>
    <row r="1286" spans="27:30" x14ac:dyDescent="0.2">
      <c r="AA1286" s="86"/>
      <c r="AC1286" s="86"/>
      <c r="AD1286" s="86"/>
    </row>
    <row r="1287" spans="27:30" x14ac:dyDescent="0.2">
      <c r="AA1287" s="86"/>
      <c r="AC1287" s="86"/>
      <c r="AD1287" s="86"/>
    </row>
    <row r="1288" spans="27:30" x14ac:dyDescent="0.2">
      <c r="AA1288" s="86"/>
      <c r="AC1288" s="86"/>
      <c r="AD1288" s="86"/>
    </row>
    <row r="1289" spans="27:30" x14ac:dyDescent="0.2">
      <c r="AA1289" s="86"/>
      <c r="AC1289" s="86"/>
      <c r="AD1289" s="86"/>
    </row>
    <row r="1290" spans="27:30" x14ac:dyDescent="0.2">
      <c r="AA1290" s="86"/>
      <c r="AC1290" s="86"/>
      <c r="AD1290" s="86"/>
    </row>
    <row r="1291" spans="27:30" x14ac:dyDescent="0.2">
      <c r="AA1291" s="86"/>
      <c r="AC1291" s="86"/>
      <c r="AD1291" s="86"/>
    </row>
    <row r="1292" spans="27:30" x14ac:dyDescent="0.2">
      <c r="AA1292" s="86"/>
      <c r="AC1292" s="86"/>
      <c r="AD1292" s="86"/>
    </row>
    <row r="1293" spans="27:30" x14ac:dyDescent="0.2">
      <c r="AA1293" s="86"/>
      <c r="AC1293" s="86"/>
      <c r="AD1293" s="86"/>
    </row>
    <row r="1294" spans="27:30" x14ac:dyDescent="0.2">
      <c r="AA1294" s="86"/>
      <c r="AC1294" s="86"/>
      <c r="AD1294" s="86"/>
    </row>
    <row r="1295" spans="27:30" x14ac:dyDescent="0.2">
      <c r="AA1295" s="86"/>
      <c r="AC1295" s="86"/>
      <c r="AD1295" s="86"/>
    </row>
    <row r="1296" spans="27:30" x14ac:dyDescent="0.2">
      <c r="AA1296" s="86"/>
      <c r="AC1296" s="86"/>
      <c r="AD1296" s="86"/>
    </row>
    <row r="1297" spans="27:30" x14ac:dyDescent="0.2">
      <c r="AA1297" s="86"/>
      <c r="AC1297" s="86"/>
      <c r="AD1297" s="86"/>
    </row>
    <row r="1298" spans="27:30" x14ac:dyDescent="0.2">
      <c r="AA1298" s="86"/>
      <c r="AC1298" s="86"/>
      <c r="AD1298" s="86"/>
    </row>
    <row r="1299" spans="27:30" x14ac:dyDescent="0.2">
      <c r="AA1299" s="86"/>
      <c r="AC1299" s="86"/>
      <c r="AD1299" s="86"/>
    </row>
    <row r="1300" spans="27:30" x14ac:dyDescent="0.2">
      <c r="AA1300" s="86"/>
      <c r="AC1300" s="86"/>
      <c r="AD1300" s="86"/>
    </row>
    <row r="1301" spans="27:30" x14ac:dyDescent="0.2">
      <c r="AA1301" s="86"/>
      <c r="AC1301" s="86"/>
      <c r="AD1301" s="86"/>
    </row>
    <row r="1302" spans="27:30" x14ac:dyDescent="0.2">
      <c r="AA1302" s="86"/>
      <c r="AC1302" s="86"/>
      <c r="AD1302" s="86"/>
    </row>
    <row r="1303" spans="27:30" x14ac:dyDescent="0.2">
      <c r="AA1303" s="86"/>
      <c r="AC1303" s="86"/>
      <c r="AD1303" s="86"/>
    </row>
    <row r="1304" spans="27:30" x14ac:dyDescent="0.2">
      <c r="AA1304" s="86"/>
      <c r="AC1304" s="86"/>
      <c r="AD1304" s="86"/>
    </row>
    <row r="1305" spans="27:30" x14ac:dyDescent="0.2">
      <c r="AA1305" s="86"/>
      <c r="AC1305" s="86"/>
      <c r="AD1305" s="86"/>
    </row>
    <row r="1306" spans="27:30" x14ac:dyDescent="0.2">
      <c r="AA1306" s="86"/>
      <c r="AC1306" s="86"/>
      <c r="AD1306" s="86"/>
    </row>
    <row r="1307" spans="27:30" x14ac:dyDescent="0.2">
      <c r="AA1307" s="86"/>
      <c r="AC1307" s="86"/>
      <c r="AD1307" s="86"/>
    </row>
    <row r="1308" spans="27:30" x14ac:dyDescent="0.2">
      <c r="AA1308" s="86"/>
      <c r="AC1308" s="86"/>
      <c r="AD1308" s="86"/>
    </row>
    <row r="1309" spans="27:30" x14ac:dyDescent="0.2">
      <c r="AA1309" s="86"/>
      <c r="AC1309" s="86"/>
      <c r="AD1309" s="86"/>
    </row>
    <row r="1310" spans="27:30" x14ac:dyDescent="0.2">
      <c r="AA1310" s="86"/>
      <c r="AC1310" s="86"/>
      <c r="AD1310" s="86"/>
    </row>
    <row r="1311" spans="27:30" x14ac:dyDescent="0.2">
      <c r="AA1311" s="86"/>
      <c r="AC1311" s="86"/>
      <c r="AD1311" s="86"/>
    </row>
    <row r="1312" spans="27:30" x14ac:dyDescent="0.2">
      <c r="AA1312" s="86"/>
      <c r="AC1312" s="86"/>
      <c r="AD1312" s="86"/>
    </row>
    <row r="1313" spans="27:30" x14ac:dyDescent="0.2">
      <c r="AA1313" s="86"/>
      <c r="AC1313" s="86"/>
      <c r="AD1313" s="86"/>
    </row>
    <row r="1314" spans="27:30" x14ac:dyDescent="0.2">
      <c r="AA1314" s="86"/>
      <c r="AC1314" s="86"/>
      <c r="AD1314" s="86"/>
    </row>
    <row r="1315" spans="27:30" x14ac:dyDescent="0.2">
      <c r="AA1315" s="86"/>
      <c r="AC1315" s="86"/>
      <c r="AD1315" s="86"/>
    </row>
    <row r="1316" spans="27:30" x14ac:dyDescent="0.2">
      <c r="AA1316" s="86"/>
      <c r="AC1316" s="86"/>
      <c r="AD1316" s="86"/>
    </row>
    <row r="1317" spans="27:30" x14ac:dyDescent="0.2">
      <c r="AA1317" s="86"/>
      <c r="AC1317" s="86"/>
      <c r="AD1317" s="86"/>
    </row>
    <row r="1318" spans="27:30" x14ac:dyDescent="0.2">
      <c r="AA1318" s="86"/>
      <c r="AC1318" s="86"/>
      <c r="AD1318" s="86"/>
    </row>
    <row r="1319" spans="27:30" x14ac:dyDescent="0.2">
      <c r="AA1319" s="86"/>
      <c r="AC1319" s="86"/>
      <c r="AD1319" s="86"/>
    </row>
    <row r="1320" spans="27:30" x14ac:dyDescent="0.2">
      <c r="AA1320" s="86"/>
      <c r="AC1320" s="86"/>
      <c r="AD1320" s="86"/>
    </row>
    <row r="1321" spans="27:30" x14ac:dyDescent="0.2">
      <c r="AA1321" s="86"/>
      <c r="AC1321" s="86"/>
      <c r="AD1321" s="86"/>
    </row>
    <row r="1322" spans="27:30" x14ac:dyDescent="0.2">
      <c r="AA1322" s="86"/>
      <c r="AC1322" s="86"/>
      <c r="AD1322" s="86"/>
    </row>
    <row r="1323" spans="27:30" x14ac:dyDescent="0.2">
      <c r="AA1323" s="86"/>
      <c r="AC1323" s="86"/>
      <c r="AD1323" s="86"/>
    </row>
    <row r="1324" spans="27:30" x14ac:dyDescent="0.2">
      <c r="AA1324" s="86"/>
      <c r="AC1324" s="86"/>
      <c r="AD1324" s="86"/>
    </row>
    <row r="1325" spans="27:30" x14ac:dyDescent="0.2">
      <c r="AA1325" s="86"/>
      <c r="AC1325" s="86"/>
      <c r="AD1325" s="86"/>
    </row>
    <row r="1326" spans="27:30" x14ac:dyDescent="0.2">
      <c r="AA1326" s="86"/>
      <c r="AC1326" s="86"/>
      <c r="AD1326" s="86"/>
    </row>
    <row r="1327" spans="27:30" x14ac:dyDescent="0.2">
      <c r="AA1327" s="86"/>
      <c r="AC1327" s="86"/>
      <c r="AD1327" s="86"/>
    </row>
    <row r="1328" spans="27:30" x14ac:dyDescent="0.2">
      <c r="AA1328" s="86"/>
      <c r="AC1328" s="86"/>
      <c r="AD1328" s="86"/>
    </row>
    <row r="1329" spans="27:30" x14ac:dyDescent="0.2">
      <c r="AA1329" s="86"/>
      <c r="AC1329" s="86"/>
      <c r="AD1329" s="86"/>
    </row>
    <row r="1330" spans="27:30" x14ac:dyDescent="0.2">
      <c r="AA1330" s="86"/>
      <c r="AC1330" s="86"/>
      <c r="AD1330" s="86"/>
    </row>
    <row r="1331" spans="27:30" x14ac:dyDescent="0.2">
      <c r="AA1331" s="86"/>
      <c r="AC1331" s="86"/>
      <c r="AD1331" s="86"/>
    </row>
    <row r="1332" spans="27:30" x14ac:dyDescent="0.2">
      <c r="AA1332" s="86"/>
      <c r="AC1332" s="86"/>
      <c r="AD1332" s="86"/>
    </row>
    <row r="1333" spans="27:30" x14ac:dyDescent="0.2">
      <c r="AA1333" s="86"/>
      <c r="AC1333" s="86"/>
      <c r="AD1333" s="86"/>
    </row>
    <row r="1334" spans="27:30" x14ac:dyDescent="0.2">
      <c r="AA1334" s="86"/>
      <c r="AC1334" s="86"/>
      <c r="AD1334" s="86"/>
    </row>
    <row r="1335" spans="27:30" x14ac:dyDescent="0.2">
      <c r="AA1335" s="86"/>
      <c r="AC1335" s="86"/>
      <c r="AD1335" s="86"/>
    </row>
    <row r="1336" spans="27:30" x14ac:dyDescent="0.2">
      <c r="AA1336" s="86"/>
      <c r="AC1336" s="86"/>
      <c r="AD1336" s="86"/>
    </row>
    <row r="1337" spans="27:30" x14ac:dyDescent="0.2">
      <c r="AA1337" s="86"/>
      <c r="AC1337" s="86"/>
      <c r="AD1337" s="86"/>
    </row>
    <row r="1338" spans="27:30" x14ac:dyDescent="0.2">
      <c r="AA1338" s="86"/>
      <c r="AC1338" s="86"/>
      <c r="AD1338" s="86"/>
    </row>
    <row r="1339" spans="27:30" x14ac:dyDescent="0.2">
      <c r="AA1339" s="86"/>
      <c r="AC1339" s="86"/>
      <c r="AD1339" s="86"/>
    </row>
    <row r="1340" spans="27:30" x14ac:dyDescent="0.2">
      <c r="AA1340" s="86"/>
      <c r="AC1340" s="86"/>
      <c r="AD1340" s="86"/>
    </row>
    <row r="1341" spans="27:30" x14ac:dyDescent="0.2">
      <c r="AA1341" s="86"/>
      <c r="AC1341" s="86"/>
      <c r="AD1341" s="86"/>
    </row>
    <row r="1342" spans="27:30" x14ac:dyDescent="0.2">
      <c r="AA1342" s="86"/>
      <c r="AC1342" s="86"/>
      <c r="AD1342" s="86"/>
    </row>
    <row r="1343" spans="27:30" x14ac:dyDescent="0.2">
      <c r="AA1343" s="86"/>
      <c r="AC1343" s="86"/>
      <c r="AD1343" s="86"/>
    </row>
    <row r="1344" spans="27:30" x14ac:dyDescent="0.2">
      <c r="AA1344" s="86"/>
      <c r="AC1344" s="86"/>
      <c r="AD1344" s="86"/>
    </row>
    <row r="1345" spans="27:30" x14ac:dyDescent="0.2">
      <c r="AA1345" s="86"/>
      <c r="AC1345" s="86"/>
      <c r="AD1345" s="86"/>
    </row>
    <row r="1346" spans="27:30" x14ac:dyDescent="0.2">
      <c r="AA1346" s="86"/>
      <c r="AC1346" s="86"/>
      <c r="AD1346" s="86"/>
    </row>
    <row r="1347" spans="27:30" x14ac:dyDescent="0.2">
      <c r="AA1347" s="86"/>
      <c r="AC1347" s="86"/>
      <c r="AD1347" s="86"/>
    </row>
    <row r="1348" spans="27:30" x14ac:dyDescent="0.2">
      <c r="AA1348" s="86"/>
      <c r="AC1348" s="86"/>
      <c r="AD1348" s="86"/>
    </row>
    <row r="1349" spans="27:30" x14ac:dyDescent="0.2">
      <c r="AA1349" s="86"/>
      <c r="AC1349" s="86"/>
      <c r="AD1349" s="86"/>
    </row>
    <row r="1350" spans="27:30" x14ac:dyDescent="0.2">
      <c r="AA1350" s="86"/>
      <c r="AC1350" s="86"/>
      <c r="AD1350" s="86"/>
    </row>
    <row r="1351" spans="27:30" x14ac:dyDescent="0.2">
      <c r="AA1351" s="86"/>
      <c r="AC1351" s="86"/>
      <c r="AD1351" s="86"/>
    </row>
    <row r="1352" spans="27:30" x14ac:dyDescent="0.2">
      <c r="AA1352" s="86"/>
      <c r="AC1352" s="86"/>
      <c r="AD1352" s="86"/>
    </row>
    <row r="1353" spans="27:30" x14ac:dyDescent="0.2">
      <c r="AA1353" s="86"/>
      <c r="AC1353" s="86"/>
      <c r="AD1353" s="86"/>
    </row>
    <row r="1354" spans="27:30" x14ac:dyDescent="0.2">
      <c r="AA1354" s="86"/>
      <c r="AC1354" s="86"/>
      <c r="AD1354" s="86"/>
    </row>
    <row r="1355" spans="27:30" x14ac:dyDescent="0.2">
      <c r="AA1355" s="86"/>
      <c r="AC1355" s="86"/>
      <c r="AD1355" s="86"/>
    </row>
    <row r="1356" spans="27:30" x14ac:dyDescent="0.2">
      <c r="AA1356" s="86"/>
      <c r="AC1356" s="86"/>
      <c r="AD1356" s="86"/>
    </row>
    <row r="1357" spans="27:30" x14ac:dyDescent="0.2">
      <c r="AA1357" s="86"/>
      <c r="AC1357" s="86"/>
      <c r="AD1357" s="86"/>
    </row>
    <row r="1358" spans="27:30" x14ac:dyDescent="0.2">
      <c r="AA1358" s="86"/>
      <c r="AC1358" s="86"/>
      <c r="AD1358" s="86"/>
    </row>
    <row r="1359" spans="27:30" x14ac:dyDescent="0.2">
      <c r="AA1359" s="86"/>
      <c r="AC1359" s="86"/>
      <c r="AD1359" s="86"/>
    </row>
    <row r="1360" spans="27:30" x14ac:dyDescent="0.2">
      <c r="AA1360" s="86"/>
      <c r="AC1360" s="86"/>
      <c r="AD1360" s="86"/>
    </row>
    <row r="1361" spans="27:30" x14ac:dyDescent="0.2">
      <c r="AA1361" s="86"/>
      <c r="AC1361" s="86"/>
      <c r="AD1361" s="86"/>
    </row>
    <row r="1362" spans="27:30" x14ac:dyDescent="0.2">
      <c r="AA1362" s="86"/>
      <c r="AC1362" s="86"/>
      <c r="AD1362" s="86"/>
    </row>
    <row r="1363" spans="27:30" x14ac:dyDescent="0.2">
      <c r="AA1363" s="86"/>
      <c r="AC1363" s="86"/>
      <c r="AD1363" s="86"/>
    </row>
    <row r="1364" spans="27:30" x14ac:dyDescent="0.2">
      <c r="AA1364" s="86"/>
      <c r="AC1364" s="86"/>
      <c r="AD1364" s="86"/>
    </row>
    <row r="1365" spans="27:30" x14ac:dyDescent="0.2">
      <c r="AA1365" s="86"/>
      <c r="AC1365" s="86"/>
      <c r="AD1365" s="86"/>
    </row>
    <row r="1366" spans="27:30" x14ac:dyDescent="0.2">
      <c r="AA1366" s="86"/>
      <c r="AC1366" s="86"/>
      <c r="AD1366" s="86"/>
    </row>
    <row r="1367" spans="27:30" x14ac:dyDescent="0.2">
      <c r="AA1367" s="86"/>
      <c r="AC1367" s="86"/>
      <c r="AD1367" s="86"/>
    </row>
    <row r="1368" spans="27:30" x14ac:dyDescent="0.2">
      <c r="AA1368" s="86"/>
      <c r="AC1368" s="86"/>
      <c r="AD1368" s="86"/>
    </row>
    <row r="1369" spans="27:30" x14ac:dyDescent="0.2">
      <c r="AA1369" s="86"/>
      <c r="AC1369" s="86"/>
      <c r="AD1369" s="86"/>
    </row>
    <row r="1370" spans="27:30" x14ac:dyDescent="0.2">
      <c r="AA1370" s="86"/>
      <c r="AC1370" s="86"/>
      <c r="AD1370" s="86"/>
    </row>
    <row r="1371" spans="27:30" x14ac:dyDescent="0.2">
      <c r="AA1371" s="86"/>
      <c r="AC1371" s="86"/>
      <c r="AD1371" s="86"/>
    </row>
    <row r="1372" spans="27:30" x14ac:dyDescent="0.2">
      <c r="AA1372" s="86"/>
      <c r="AC1372" s="86"/>
      <c r="AD1372" s="86"/>
    </row>
    <row r="1373" spans="27:30" x14ac:dyDescent="0.2">
      <c r="AA1373" s="86"/>
      <c r="AC1373" s="86"/>
      <c r="AD1373" s="86"/>
    </row>
    <row r="1374" spans="27:30" x14ac:dyDescent="0.2">
      <c r="AA1374" s="86"/>
      <c r="AC1374" s="86"/>
      <c r="AD1374" s="86"/>
    </row>
    <row r="1375" spans="27:30" x14ac:dyDescent="0.2">
      <c r="AA1375" s="86"/>
      <c r="AC1375" s="86"/>
      <c r="AD1375" s="86"/>
    </row>
    <row r="1376" spans="27:30" x14ac:dyDescent="0.2">
      <c r="AA1376" s="86"/>
      <c r="AC1376" s="86"/>
      <c r="AD1376" s="86"/>
    </row>
    <row r="1377" spans="27:30" x14ac:dyDescent="0.2">
      <c r="AA1377" s="86"/>
      <c r="AC1377" s="86"/>
      <c r="AD1377" s="86"/>
    </row>
    <row r="1378" spans="27:30" x14ac:dyDescent="0.2">
      <c r="AA1378" s="86"/>
      <c r="AC1378" s="86"/>
      <c r="AD1378" s="86"/>
    </row>
    <row r="1379" spans="27:30" x14ac:dyDescent="0.2">
      <c r="AA1379" s="86"/>
      <c r="AC1379" s="86"/>
      <c r="AD1379" s="86"/>
    </row>
    <row r="1380" spans="27:30" x14ac:dyDescent="0.2">
      <c r="AA1380" s="86"/>
      <c r="AC1380" s="86"/>
      <c r="AD1380" s="86"/>
    </row>
    <row r="1381" spans="27:30" x14ac:dyDescent="0.2">
      <c r="AA1381" s="86"/>
      <c r="AC1381" s="86"/>
      <c r="AD1381" s="86"/>
    </row>
    <row r="1382" spans="27:30" x14ac:dyDescent="0.2">
      <c r="AA1382" s="86"/>
      <c r="AC1382" s="86"/>
      <c r="AD1382" s="86"/>
    </row>
    <row r="1383" spans="27:30" x14ac:dyDescent="0.2">
      <c r="AA1383" s="86"/>
      <c r="AC1383" s="86"/>
      <c r="AD1383" s="86"/>
    </row>
    <row r="1384" spans="27:30" x14ac:dyDescent="0.2">
      <c r="AA1384" s="86"/>
      <c r="AC1384" s="86"/>
      <c r="AD1384" s="86"/>
    </row>
    <row r="1385" spans="27:30" x14ac:dyDescent="0.2">
      <c r="AA1385" s="86"/>
      <c r="AC1385" s="86"/>
      <c r="AD1385" s="86"/>
    </row>
    <row r="1386" spans="27:30" x14ac:dyDescent="0.2">
      <c r="AA1386" s="86"/>
      <c r="AC1386" s="86"/>
      <c r="AD1386" s="86"/>
    </row>
    <row r="1387" spans="27:30" x14ac:dyDescent="0.2">
      <c r="AA1387" s="86"/>
      <c r="AC1387" s="86"/>
      <c r="AD1387" s="86"/>
    </row>
    <row r="1388" spans="27:30" x14ac:dyDescent="0.2">
      <c r="AA1388" s="86"/>
      <c r="AC1388" s="86"/>
      <c r="AD1388" s="86"/>
    </row>
    <row r="1389" spans="27:30" x14ac:dyDescent="0.2">
      <c r="AA1389" s="86"/>
      <c r="AC1389" s="86"/>
      <c r="AD1389" s="86"/>
    </row>
    <row r="1390" spans="27:30" x14ac:dyDescent="0.2">
      <c r="AA1390" s="86"/>
      <c r="AC1390" s="86"/>
      <c r="AD1390" s="86"/>
    </row>
    <row r="1391" spans="27:30" x14ac:dyDescent="0.2">
      <c r="AA1391" s="86"/>
      <c r="AC1391" s="86"/>
      <c r="AD1391" s="86"/>
    </row>
    <row r="1392" spans="27:30" x14ac:dyDescent="0.2">
      <c r="AA1392" s="86"/>
      <c r="AC1392" s="86"/>
      <c r="AD1392" s="86"/>
    </row>
    <row r="1393" spans="27:30" x14ac:dyDescent="0.2">
      <c r="AA1393" s="86"/>
      <c r="AC1393" s="86"/>
      <c r="AD1393" s="86"/>
    </row>
    <row r="1394" spans="27:30" x14ac:dyDescent="0.2">
      <c r="AA1394" s="86"/>
      <c r="AC1394" s="86"/>
      <c r="AD1394" s="86"/>
    </row>
    <row r="1395" spans="27:30" x14ac:dyDescent="0.2">
      <c r="AA1395" s="86"/>
      <c r="AC1395" s="86"/>
      <c r="AD1395" s="86"/>
    </row>
    <row r="1396" spans="27:30" x14ac:dyDescent="0.2">
      <c r="AA1396" s="86"/>
      <c r="AC1396" s="86"/>
      <c r="AD1396" s="86"/>
    </row>
    <row r="1397" spans="27:30" x14ac:dyDescent="0.2">
      <c r="AA1397" s="86"/>
      <c r="AC1397" s="86"/>
      <c r="AD1397" s="86"/>
    </row>
    <row r="1398" spans="27:30" x14ac:dyDescent="0.2">
      <c r="AA1398" s="86"/>
      <c r="AC1398" s="86"/>
      <c r="AD1398" s="86"/>
    </row>
    <row r="1399" spans="27:30" x14ac:dyDescent="0.2">
      <c r="AA1399" s="86"/>
      <c r="AC1399" s="86"/>
      <c r="AD1399" s="86"/>
    </row>
    <row r="1400" spans="27:30" x14ac:dyDescent="0.2">
      <c r="AA1400" s="86"/>
      <c r="AC1400" s="86"/>
      <c r="AD1400" s="86"/>
    </row>
    <row r="1401" spans="27:30" x14ac:dyDescent="0.2">
      <c r="AA1401" s="86"/>
      <c r="AC1401" s="86"/>
      <c r="AD1401" s="86"/>
    </row>
    <row r="1402" spans="27:30" x14ac:dyDescent="0.2">
      <c r="AA1402" s="86"/>
      <c r="AC1402" s="86"/>
      <c r="AD1402" s="86"/>
    </row>
    <row r="1403" spans="27:30" x14ac:dyDescent="0.2">
      <c r="AA1403" s="86"/>
      <c r="AC1403" s="86"/>
      <c r="AD1403" s="86"/>
    </row>
    <row r="1404" spans="27:30" x14ac:dyDescent="0.2">
      <c r="AA1404" s="86"/>
      <c r="AC1404" s="86"/>
      <c r="AD1404" s="86"/>
    </row>
    <row r="1405" spans="27:30" x14ac:dyDescent="0.2">
      <c r="AA1405" s="86"/>
      <c r="AC1405" s="86"/>
      <c r="AD1405" s="86"/>
    </row>
    <row r="1406" spans="27:30" x14ac:dyDescent="0.2">
      <c r="AA1406" s="86"/>
      <c r="AC1406" s="86"/>
      <c r="AD1406" s="86"/>
    </row>
    <row r="1407" spans="27:30" x14ac:dyDescent="0.2">
      <c r="AA1407" s="86"/>
      <c r="AC1407" s="86"/>
      <c r="AD1407" s="86"/>
    </row>
    <row r="1408" spans="27:30" x14ac:dyDescent="0.2">
      <c r="AA1408" s="86"/>
      <c r="AC1408" s="86"/>
      <c r="AD1408" s="86"/>
    </row>
    <row r="1409" spans="27:30" x14ac:dyDescent="0.2">
      <c r="AA1409" s="86"/>
      <c r="AC1409" s="86"/>
      <c r="AD1409" s="86"/>
    </row>
    <row r="1410" spans="27:30" x14ac:dyDescent="0.2">
      <c r="AA1410" s="86"/>
      <c r="AC1410" s="86"/>
      <c r="AD1410" s="86"/>
    </row>
    <row r="1411" spans="27:30" x14ac:dyDescent="0.2">
      <c r="AA1411" s="86"/>
      <c r="AC1411" s="86"/>
      <c r="AD1411" s="86"/>
    </row>
    <row r="1412" spans="27:30" x14ac:dyDescent="0.2">
      <c r="AA1412" s="86"/>
      <c r="AC1412" s="86"/>
      <c r="AD1412" s="86"/>
    </row>
    <row r="1413" spans="27:30" x14ac:dyDescent="0.2">
      <c r="AA1413" s="86"/>
      <c r="AC1413" s="86"/>
      <c r="AD1413" s="86"/>
    </row>
    <row r="1414" spans="27:30" x14ac:dyDescent="0.2">
      <c r="AA1414" s="86"/>
      <c r="AC1414" s="86"/>
      <c r="AD1414" s="86"/>
    </row>
    <row r="1415" spans="27:30" x14ac:dyDescent="0.2">
      <c r="AA1415" s="86"/>
      <c r="AC1415" s="86"/>
      <c r="AD1415" s="86"/>
    </row>
    <row r="1416" spans="27:30" x14ac:dyDescent="0.2">
      <c r="AA1416" s="86"/>
      <c r="AC1416" s="86"/>
      <c r="AD1416" s="86"/>
    </row>
    <row r="1417" spans="27:30" x14ac:dyDescent="0.2">
      <c r="AA1417" s="86"/>
      <c r="AC1417" s="86"/>
      <c r="AD1417" s="86"/>
    </row>
    <row r="1418" spans="27:30" x14ac:dyDescent="0.2">
      <c r="AA1418" s="86"/>
      <c r="AC1418" s="86"/>
      <c r="AD1418" s="86"/>
    </row>
    <row r="1419" spans="27:30" x14ac:dyDescent="0.2">
      <c r="AA1419" s="86"/>
      <c r="AC1419" s="86"/>
      <c r="AD1419" s="86"/>
    </row>
    <row r="1420" spans="27:30" x14ac:dyDescent="0.2">
      <c r="AA1420" s="86"/>
      <c r="AC1420" s="86"/>
      <c r="AD1420" s="86"/>
    </row>
    <row r="1421" spans="27:30" x14ac:dyDescent="0.2">
      <c r="AA1421" s="86"/>
      <c r="AC1421" s="86"/>
      <c r="AD1421" s="86"/>
    </row>
    <row r="1422" spans="27:30" x14ac:dyDescent="0.2">
      <c r="AA1422" s="86"/>
      <c r="AC1422" s="86"/>
      <c r="AD1422" s="86"/>
    </row>
    <row r="1423" spans="27:30" x14ac:dyDescent="0.2">
      <c r="AA1423" s="86"/>
      <c r="AC1423" s="86"/>
      <c r="AD1423" s="86"/>
    </row>
    <row r="1424" spans="27:30" x14ac:dyDescent="0.2">
      <c r="AA1424" s="86"/>
      <c r="AC1424" s="86"/>
      <c r="AD1424" s="86"/>
    </row>
    <row r="1425" spans="27:30" x14ac:dyDescent="0.2">
      <c r="AA1425" s="86"/>
      <c r="AC1425" s="86"/>
      <c r="AD1425" s="86"/>
    </row>
    <row r="1426" spans="27:30" x14ac:dyDescent="0.2">
      <c r="AA1426" s="86"/>
      <c r="AC1426" s="86"/>
      <c r="AD1426" s="86"/>
    </row>
    <row r="1427" spans="27:30" x14ac:dyDescent="0.2">
      <c r="AA1427" s="86"/>
      <c r="AC1427" s="86"/>
      <c r="AD1427" s="86"/>
    </row>
    <row r="1428" spans="27:30" x14ac:dyDescent="0.2">
      <c r="AA1428" s="86"/>
      <c r="AC1428" s="86"/>
      <c r="AD1428" s="86"/>
    </row>
    <row r="1429" spans="27:30" x14ac:dyDescent="0.2">
      <c r="AA1429" s="86"/>
      <c r="AC1429" s="86"/>
      <c r="AD1429" s="86"/>
    </row>
    <row r="1430" spans="27:30" x14ac:dyDescent="0.2">
      <c r="AA1430" s="86"/>
      <c r="AC1430" s="86"/>
      <c r="AD1430" s="86"/>
    </row>
    <row r="1431" spans="27:30" x14ac:dyDescent="0.2">
      <c r="AA1431" s="86"/>
      <c r="AC1431" s="86"/>
      <c r="AD1431" s="86"/>
    </row>
    <row r="1432" spans="27:30" x14ac:dyDescent="0.2">
      <c r="AA1432" s="86"/>
      <c r="AC1432" s="86"/>
      <c r="AD1432" s="86"/>
    </row>
    <row r="1433" spans="27:30" x14ac:dyDescent="0.2">
      <c r="AA1433" s="86"/>
      <c r="AC1433" s="86"/>
      <c r="AD1433" s="86"/>
    </row>
    <row r="1434" spans="27:30" x14ac:dyDescent="0.2">
      <c r="AA1434" s="86"/>
      <c r="AC1434" s="86"/>
      <c r="AD1434" s="86"/>
    </row>
    <row r="1435" spans="27:30" x14ac:dyDescent="0.2">
      <c r="AA1435" s="86"/>
      <c r="AC1435" s="86"/>
      <c r="AD1435" s="86"/>
    </row>
    <row r="1436" spans="27:30" x14ac:dyDescent="0.2">
      <c r="AA1436" s="86"/>
      <c r="AC1436" s="86"/>
      <c r="AD1436" s="86"/>
    </row>
    <row r="1437" spans="27:30" x14ac:dyDescent="0.2">
      <c r="AA1437" s="86"/>
      <c r="AC1437" s="86"/>
      <c r="AD1437" s="86"/>
    </row>
    <row r="1438" spans="27:30" x14ac:dyDescent="0.2">
      <c r="AA1438" s="86"/>
      <c r="AC1438" s="86"/>
      <c r="AD1438" s="86"/>
    </row>
    <row r="1439" spans="27:30" x14ac:dyDescent="0.2">
      <c r="AA1439" s="86"/>
      <c r="AC1439" s="86"/>
      <c r="AD1439" s="86"/>
    </row>
    <row r="1440" spans="27:30" x14ac:dyDescent="0.2">
      <c r="AA1440" s="86"/>
      <c r="AC1440" s="86"/>
      <c r="AD1440" s="86"/>
    </row>
    <row r="1441" spans="27:30" x14ac:dyDescent="0.2">
      <c r="AA1441" s="86"/>
      <c r="AC1441" s="86"/>
      <c r="AD1441" s="86"/>
    </row>
    <row r="1442" spans="27:30" x14ac:dyDescent="0.2">
      <c r="AA1442" s="86"/>
      <c r="AC1442" s="86"/>
      <c r="AD1442" s="86"/>
    </row>
    <row r="1443" spans="27:30" x14ac:dyDescent="0.2">
      <c r="AA1443" s="86"/>
      <c r="AC1443" s="86"/>
      <c r="AD1443" s="86"/>
    </row>
    <row r="1444" spans="27:30" x14ac:dyDescent="0.2">
      <c r="AA1444" s="86"/>
      <c r="AC1444" s="86"/>
      <c r="AD1444" s="86"/>
    </row>
    <row r="1445" spans="27:30" x14ac:dyDescent="0.2">
      <c r="AA1445" s="86"/>
      <c r="AC1445" s="86"/>
      <c r="AD1445" s="86"/>
    </row>
    <row r="1446" spans="27:30" x14ac:dyDescent="0.2">
      <c r="AA1446" s="86"/>
      <c r="AC1446" s="86"/>
      <c r="AD1446" s="86"/>
    </row>
    <row r="1447" spans="27:30" x14ac:dyDescent="0.2">
      <c r="AA1447" s="86"/>
      <c r="AC1447" s="86"/>
      <c r="AD1447" s="86"/>
    </row>
    <row r="1448" spans="27:30" x14ac:dyDescent="0.2">
      <c r="AA1448" s="86"/>
      <c r="AC1448" s="86"/>
      <c r="AD1448" s="86"/>
    </row>
    <row r="1449" spans="27:30" x14ac:dyDescent="0.2">
      <c r="AA1449" s="86"/>
      <c r="AC1449" s="86"/>
      <c r="AD1449" s="86"/>
    </row>
    <row r="1450" spans="27:30" x14ac:dyDescent="0.2">
      <c r="AA1450" s="86"/>
      <c r="AC1450" s="86"/>
      <c r="AD1450" s="86"/>
    </row>
    <row r="1451" spans="27:30" x14ac:dyDescent="0.2">
      <c r="AA1451" s="86"/>
      <c r="AC1451" s="86"/>
      <c r="AD1451" s="86"/>
    </row>
    <row r="1452" spans="27:30" x14ac:dyDescent="0.2">
      <c r="AA1452" s="86"/>
      <c r="AC1452" s="86"/>
      <c r="AD1452" s="86"/>
    </row>
    <row r="1453" spans="27:30" x14ac:dyDescent="0.2">
      <c r="AA1453" s="86"/>
      <c r="AC1453" s="86"/>
      <c r="AD1453" s="86"/>
    </row>
    <row r="1454" spans="27:30" x14ac:dyDescent="0.2">
      <c r="AA1454" s="86"/>
      <c r="AC1454" s="86"/>
      <c r="AD1454" s="86"/>
    </row>
    <row r="1455" spans="27:30" x14ac:dyDescent="0.2">
      <c r="AA1455" s="86"/>
      <c r="AC1455" s="86"/>
      <c r="AD1455" s="86"/>
    </row>
    <row r="1456" spans="27:30" x14ac:dyDescent="0.2">
      <c r="AA1456" s="86"/>
      <c r="AC1456" s="86"/>
      <c r="AD1456" s="86"/>
    </row>
    <row r="1457" spans="27:30" x14ac:dyDescent="0.2">
      <c r="AA1457" s="86"/>
      <c r="AC1457" s="86"/>
      <c r="AD1457" s="86"/>
    </row>
    <row r="1458" spans="27:30" x14ac:dyDescent="0.2">
      <c r="AA1458" s="86"/>
      <c r="AC1458" s="86"/>
      <c r="AD1458" s="86"/>
    </row>
    <row r="1459" spans="27:30" x14ac:dyDescent="0.2">
      <c r="AA1459" s="86"/>
      <c r="AC1459" s="86"/>
      <c r="AD1459" s="86"/>
    </row>
    <row r="1460" spans="27:30" x14ac:dyDescent="0.2">
      <c r="AA1460" s="86"/>
      <c r="AC1460" s="86"/>
      <c r="AD1460" s="86"/>
    </row>
    <row r="1461" spans="27:30" x14ac:dyDescent="0.2">
      <c r="AA1461" s="86"/>
      <c r="AC1461" s="86"/>
      <c r="AD1461" s="86"/>
    </row>
    <row r="1462" spans="27:30" x14ac:dyDescent="0.2">
      <c r="AA1462" s="86"/>
      <c r="AC1462" s="86"/>
      <c r="AD1462" s="86"/>
    </row>
    <row r="1463" spans="27:30" x14ac:dyDescent="0.2">
      <c r="AA1463" s="86"/>
      <c r="AC1463" s="86"/>
      <c r="AD1463" s="86"/>
    </row>
    <row r="1464" spans="27:30" x14ac:dyDescent="0.2">
      <c r="AA1464" s="86"/>
      <c r="AC1464" s="86"/>
      <c r="AD1464" s="86"/>
    </row>
    <row r="1465" spans="27:30" x14ac:dyDescent="0.2">
      <c r="AA1465" s="86"/>
      <c r="AC1465" s="86"/>
      <c r="AD1465" s="86"/>
    </row>
    <row r="1466" spans="27:30" x14ac:dyDescent="0.2">
      <c r="AA1466" s="86"/>
      <c r="AC1466" s="86"/>
      <c r="AD1466" s="86"/>
    </row>
    <row r="1467" spans="27:30" x14ac:dyDescent="0.2">
      <c r="AA1467" s="86"/>
      <c r="AC1467" s="86"/>
      <c r="AD1467" s="86"/>
    </row>
    <row r="1468" spans="27:30" x14ac:dyDescent="0.2">
      <c r="AA1468" s="86"/>
      <c r="AC1468" s="86"/>
      <c r="AD1468" s="86"/>
    </row>
    <row r="1469" spans="27:30" x14ac:dyDescent="0.2">
      <c r="AA1469" s="86"/>
      <c r="AC1469" s="86"/>
      <c r="AD1469" s="86"/>
    </row>
    <row r="1470" spans="27:30" x14ac:dyDescent="0.2">
      <c r="AA1470" s="86"/>
      <c r="AC1470" s="86"/>
      <c r="AD1470" s="86"/>
    </row>
    <row r="1471" spans="27:30" x14ac:dyDescent="0.2">
      <c r="AA1471" s="86"/>
      <c r="AC1471" s="86"/>
      <c r="AD1471" s="86"/>
    </row>
    <row r="1472" spans="27:30" x14ac:dyDescent="0.2">
      <c r="AA1472" s="86"/>
      <c r="AC1472" s="86"/>
      <c r="AD1472" s="86"/>
    </row>
    <row r="1473" spans="27:30" x14ac:dyDescent="0.2">
      <c r="AA1473" s="86"/>
      <c r="AC1473" s="86"/>
      <c r="AD1473" s="86"/>
    </row>
    <row r="1474" spans="27:30" x14ac:dyDescent="0.2">
      <c r="AA1474" s="86"/>
      <c r="AC1474" s="86"/>
      <c r="AD1474" s="86"/>
    </row>
    <row r="1475" spans="27:30" x14ac:dyDescent="0.2">
      <c r="AA1475" s="86"/>
      <c r="AC1475" s="86"/>
      <c r="AD1475" s="86"/>
    </row>
    <row r="1476" spans="27:30" x14ac:dyDescent="0.2">
      <c r="AA1476" s="86"/>
      <c r="AC1476" s="86"/>
      <c r="AD1476" s="86"/>
    </row>
    <row r="1477" spans="27:30" x14ac:dyDescent="0.2">
      <c r="AA1477" s="86"/>
      <c r="AC1477" s="86"/>
      <c r="AD1477" s="86"/>
    </row>
    <row r="1478" spans="27:30" x14ac:dyDescent="0.2">
      <c r="AA1478" s="86"/>
      <c r="AC1478" s="86"/>
      <c r="AD1478" s="86"/>
    </row>
    <row r="1479" spans="27:30" x14ac:dyDescent="0.2">
      <c r="AA1479" s="86"/>
      <c r="AC1479" s="86"/>
      <c r="AD1479" s="86"/>
    </row>
    <row r="1480" spans="27:30" x14ac:dyDescent="0.2">
      <c r="AA1480" s="86"/>
      <c r="AC1480" s="86"/>
      <c r="AD1480" s="86"/>
    </row>
    <row r="1481" spans="27:30" x14ac:dyDescent="0.2">
      <c r="AA1481" s="86"/>
      <c r="AC1481" s="86"/>
      <c r="AD1481" s="86"/>
    </row>
    <row r="1482" spans="27:30" x14ac:dyDescent="0.2">
      <c r="AA1482" s="86"/>
      <c r="AC1482" s="86"/>
      <c r="AD1482" s="86"/>
    </row>
    <row r="1483" spans="27:30" x14ac:dyDescent="0.2">
      <c r="AA1483" s="86"/>
      <c r="AC1483" s="86"/>
      <c r="AD1483" s="86"/>
    </row>
    <row r="1484" spans="27:30" x14ac:dyDescent="0.2">
      <c r="AA1484" s="86"/>
      <c r="AC1484" s="86"/>
      <c r="AD1484" s="86"/>
    </row>
    <row r="1485" spans="27:30" x14ac:dyDescent="0.2">
      <c r="AA1485" s="86"/>
      <c r="AC1485" s="86"/>
      <c r="AD1485" s="86"/>
    </row>
    <row r="1486" spans="27:30" x14ac:dyDescent="0.2">
      <c r="AA1486" s="86"/>
      <c r="AC1486" s="86"/>
      <c r="AD1486" s="86"/>
    </row>
    <row r="1487" spans="27:30" x14ac:dyDescent="0.2">
      <c r="AA1487" s="86"/>
      <c r="AC1487" s="86"/>
      <c r="AD1487" s="86"/>
    </row>
    <row r="1488" spans="27:30" x14ac:dyDescent="0.2">
      <c r="AA1488" s="86"/>
      <c r="AC1488" s="86"/>
      <c r="AD1488" s="86"/>
    </row>
    <row r="1489" spans="27:30" x14ac:dyDescent="0.2">
      <c r="AA1489" s="86"/>
      <c r="AC1489" s="86"/>
      <c r="AD1489" s="86"/>
    </row>
    <row r="1490" spans="27:30" x14ac:dyDescent="0.2">
      <c r="AA1490" s="86"/>
      <c r="AC1490" s="86"/>
      <c r="AD1490" s="86"/>
    </row>
    <row r="1491" spans="27:30" x14ac:dyDescent="0.2">
      <c r="AA1491" s="86"/>
      <c r="AC1491" s="86"/>
      <c r="AD1491" s="86"/>
    </row>
    <row r="1492" spans="27:30" x14ac:dyDescent="0.2">
      <c r="AA1492" s="86"/>
      <c r="AC1492" s="86"/>
      <c r="AD1492" s="86"/>
    </row>
    <row r="1493" spans="27:30" x14ac:dyDescent="0.2">
      <c r="AA1493" s="86"/>
      <c r="AC1493" s="86"/>
      <c r="AD1493" s="86"/>
    </row>
    <row r="1494" spans="27:30" x14ac:dyDescent="0.2">
      <c r="AA1494" s="86"/>
      <c r="AC1494" s="86"/>
      <c r="AD1494" s="86"/>
    </row>
    <row r="1495" spans="27:30" x14ac:dyDescent="0.2">
      <c r="AA1495" s="86"/>
      <c r="AC1495" s="86"/>
      <c r="AD1495" s="86"/>
    </row>
    <row r="1496" spans="27:30" x14ac:dyDescent="0.2">
      <c r="AA1496" s="86"/>
      <c r="AC1496" s="86"/>
      <c r="AD1496" s="86"/>
    </row>
    <row r="1497" spans="27:30" x14ac:dyDescent="0.2">
      <c r="AA1497" s="86"/>
      <c r="AC1497" s="86"/>
      <c r="AD1497" s="86"/>
    </row>
    <row r="1498" spans="27:30" x14ac:dyDescent="0.2">
      <c r="AA1498" s="86"/>
      <c r="AC1498" s="86"/>
      <c r="AD1498" s="86"/>
    </row>
    <row r="1499" spans="27:30" x14ac:dyDescent="0.2">
      <c r="AA1499" s="86"/>
      <c r="AC1499" s="86"/>
      <c r="AD1499" s="86"/>
    </row>
    <row r="1500" spans="27:30" x14ac:dyDescent="0.2">
      <c r="AA1500" s="86"/>
      <c r="AC1500" s="86"/>
      <c r="AD1500" s="86"/>
    </row>
    <row r="1501" spans="27:30" x14ac:dyDescent="0.2">
      <c r="AA1501" s="86"/>
      <c r="AC1501" s="86"/>
      <c r="AD1501" s="86"/>
    </row>
    <row r="1502" spans="27:30" x14ac:dyDescent="0.2">
      <c r="AA1502" s="86"/>
      <c r="AC1502" s="86"/>
      <c r="AD1502" s="86"/>
    </row>
    <row r="1503" spans="27:30" x14ac:dyDescent="0.2">
      <c r="AA1503" s="86"/>
      <c r="AC1503" s="86"/>
      <c r="AD1503" s="86"/>
    </row>
    <row r="1504" spans="27:30" x14ac:dyDescent="0.2">
      <c r="AA1504" s="86"/>
      <c r="AC1504" s="86"/>
      <c r="AD1504" s="86"/>
    </row>
    <row r="1505" spans="27:30" x14ac:dyDescent="0.2">
      <c r="AA1505" s="86"/>
      <c r="AC1505" s="86"/>
      <c r="AD1505" s="86"/>
    </row>
    <row r="1506" spans="27:30" x14ac:dyDescent="0.2">
      <c r="AA1506" s="86"/>
      <c r="AC1506" s="86"/>
      <c r="AD1506" s="86"/>
    </row>
    <row r="1507" spans="27:30" x14ac:dyDescent="0.2">
      <c r="AA1507" s="86"/>
      <c r="AC1507" s="86"/>
      <c r="AD1507" s="86"/>
    </row>
    <row r="1508" spans="27:30" x14ac:dyDescent="0.2">
      <c r="AA1508" s="86"/>
      <c r="AC1508" s="86"/>
      <c r="AD1508" s="86"/>
    </row>
    <row r="1509" spans="27:30" x14ac:dyDescent="0.2">
      <c r="AA1509" s="86"/>
      <c r="AC1509" s="86"/>
      <c r="AD1509" s="86"/>
    </row>
    <row r="1510" spans="27:30" x14ac:dyDescent="0.2">
      <c r="AA1510" s="86"/>
      <c r="AC1510" s="86"/>
      <c r="AD1510" s="86"/>
    </row>
    <row r="1511" spans="27:30" x14ac:dyDescent="0.2">
      <c r="AA1511" s="86"/>
      <c r="AC1511" s="86"/>
      <c r="AD1511" s="86"/>
    </row>
    <row r="1512" spans="27:30" x14ac:dyDescent="0.2">
      <c r="AA1512" s="86"/>
      <c r="AC1512" s="86"/>
      <c r="AD1512" s="86"/>
    </row>
    <row r="1513" spans="27:30" x14ac:dyDescent="0.2">
      <c r="AA1513" s="86"/>
      <c r="AC1513" s="86"/>
      <c r="AD1513" s="86"/>
    </row>
    <row r="1514" spans="27:30" x14ac:dyDescent="0.2">
      <c r="AA1514" s="86"/>
      <c r="AC1514" s="86"/>
      <c r="AD1514" s="86"/>
    </row>
    <row r="1515" spans="27:30" x14ac:dyDescent="0.2">
      <c r="AA1515" s="86"/>
      <c r="AC1515" s="86"/>
      <c r="AD1515" s="86"/>
    </row>
    <row r="1516" spans="27:30" x14ac:dyDescent="0.2">
      <c r="AA1516" s="86"/>
      <c r="AC1516" s="86"/>
      <c r="AD1516" s="86"/>
    </row>
    <row r="1517" spans="27:30" x14ac:dyDescent="0.2">
      <c r="AA1517" s="86"/>
      <c r="AC1517" s="86"/>
      <c r="AD1517" s="86"/>
    </row>
    <row r="1518" spans="27:30" x14ac:dyDescent="0.2">
      <c r="AA1518" s="86"/>
      <c r="AC1518" s="86"/>
      <c r="AD1518" s="86"/>
    </row>
    <row r="1519" spans="27:30" x14ac:dyDescent="0.2">
      <c r="AA1519" s="86"/>
      <c r="AC1519" s="86"/>
      <c r="AD1519" s="86"/>
    </row>
    <row r="1520" spans="27:30" x14ac:dyDescent="0.2">
      <c r="AA1520" s="86"/>
      <c r="AC1520" s="86"/>
      <c r="AD1520" s="86"/>
    </row>
    <row r="1521" spans="27:30" x14ac:dyDescent="0.2">
      <c r="AA1521" s="86"/>
      <c r="AC1521" s="86"/>
      <c r="AD1521" s="86"/>
    </row>
    <row r="1522" spans="27:30" x14ac:dyDescent="0.2">
      <c r="AA1522" s="86"/>
      <c r="AC1522" s="86"/>
      <c r="AD1522" s="86"/>
    </row>
    <row r="1523" spans="27:30" x14ac:dyDescent="0.2">
      <c r="AA1523" s="86"/>
      <c r="AC1523" s="86"/>
      <c r="AD1523" s="86"/>
    </row>
    <row r="1524" spans="27:30" x14ac:dyDescent="0.2">
      <c r="AA1524" s="86"/>
      <c r="AC1524" s="86"/>
      <c r="AD1524" s="86"/>
    </row>
    <row r="1525" spans="27:30" x14ac:dyDescent="0.2">
      <c r="AA1525" s="86"/>
      <c r="AC1525" s="86"/>
      <c r="AD1525" s="86"/>
    </row>
    <row r="1526" spans="27:30" x14ac:dyDescent="0.2">
      <c r="AA1526" s="86"/>
      <c r="AC1526" s="86"/>
      <c r="AD1526" s="86"/>
    </row>
    <row r="1527" spans="27:30" x14ac:dyDescent="0.2">
      <c r="AA1527" s="86"/>
      <c r="AC1527" s="86"/>
      <c r="AD1527" s="86"/>
    </row>
    <row r="1528" spans="27:30" x14ac:dyDescent="0.2">
      <c r="AA1528" s="86"/>
      <c r="AC1528" s="86"/>
      <c r="AD1528" s="86"/>
    </row>
    <row r="1529" spans="27:30" x14ac:dyDescent="0.2">
      <c r="AA1529" s="86"/>
      <c r="AC1529" s="86"/>
      <c r="AD1529" s="86"/>
    </row>
    <row r="1530" spans="27:30" x14ac:dyDescent="0.2">
      <c r="AA1530" s="86"/>
      <c r="AC1530" s="86"/>
      <c r="AD1530" s="86"/>
    </row>
    <row r="1531" spans="27:30" x14ac:dyDescent="0.2">
      <c r="AA1531" s="86"/>
      <c r="AC1531" s="86"/>
      <c r="AD1531" s="86"/>
    </row>
    <row r="1532" spans="27:30" x14ac:dyDescent="0.2">
      <c r="AA1532" s="86"/>
      <c r="AC1532" s="86"/>
      <c r="AD1532" s="86"/>
    </row>
    <row r="1533" spans="27:30" x14ac:dyDescent="0.2">
      <c r="AA1533" s="86"/>
      <c r="AC1533" s="86"/>
      <c r="AD1533" s="86"/>
    </row>
    <row r="1534" spans="27:30" x14ac:dyDescent="0.2">
      <c r="AA1534" s="86"/>
      <c r="AC1534" s="86"/>
      <c r="AD1534" s="86"/>
    </row>
    <row r="1535" spans="27:30" x14ac:dyDescent="0.2">
      <c r="AA1535" s="86"/>
      <c r="AC1535" s="86"/>
      <c r="AD1535" s="86"/>
    </row>
    <row r="1536" spans="27:30" x14ac:dyDescent="0.2">
      <c r="AA1536" s="86"/>
      <c r="AC1536" s="86"/>
      <c r="AD1536" s="86"/>
    </row>
    <row r="1537" spans="27:30" x14ac:dyDescent="0.2">
      <c r="AA1537" s="86"/>
      <c r="AC1537" s="86"/>
      <c r="AD1537" s="86"/>
    </row>
    <row r="1538" spans="27:30" x14ac:dyDescent="0.2">
      <c r="AA1538" s="86"/>
      <c r="AC1538" s="86"/>
      <c r="AD1538" s="86"/>
    </row>
    <row r="1539" spans="27:30" x14ac:dyDescent="0.2">
      <c r="AA1539" s="86"/>
      <c r="AC1539" s="86"/>
      <c r="AD1539" s="86"/>
    </row>
    <row r="1540" spans="27:30" x14ac:dyDescent="0.2">
      <c r="AA1540" s="86"/>
      <c r="AC1540" s="86"/>
      <c r="AD1540" s="86"/>
    </row>
    <row r="1541" spans="27:30" x14ac:dyDescent="0.2">
      <c r="AA1541" s="86"/>
      <c r="AC1541" s="86"/>
      <c r="AD1541" s="86"/>
    </row>
    <row r="1542" spans="27:30" x14ac:dyDescent="0.2">
      <c r="AA1542" s="86"/>
      <c r="AC1542" s="86"/>
      <c r="AD1542" s="86"/>
    </row>
    <row r="1543" spans="27:30" x14ac:dyDescent="0.2">
      <c r="AA1543" s="86"/>
      <c r="AC1543" s="86"/>
      <c r="AD1543" s="86"/>
    </row>
    <row r="1544" spans="27:30" x14ac:dyDescent="0.2">
      <c r="AA1544" s="86"/>
      <c r="AC1544" s="86"/>
      <c r="AD1544" s="86"/>
    </row>
    <row r="1545" spans="27:30" x14ac:dyDescent="0.2">
      <c r="AA1545" s="86"/>
      <c r="AC1545" s="86"/>
      <c r="AD1545" s="86"/>
    </row>
    <row r="1546" spans="27:30" x14ac:dyDescent="0.2">
      <c r="AA1546" s="86"/>
      <c r="AC1546" s="86"/>
      <c r="AD1546" s="86"/>
    </row>
    <row r="1547" spans="27:30" x14ac:dyDescent="0.2">
      <c r="AA1547" s="86"/>
      <c r="AC1547" s="86"/>
      <c r="AD1547" s="86"/>
    </row>
    <row r="1548" spans="27:30" x14ac:dyDescent="0.2">
      <c r="AA1548" s="86"/>
      <c r="AC1548" s="86"/>
      <c r="AD1548" s="86"/>
    </row>
    <row r="1549" spans="27:30" x14ac:dyDescent="0.2">
      <c r="AA1549" s="86"/>
      <c r="AC1549" s="86"/>
      <c r="AD1549" s="86"/>
    </row>
    <row r="1550" spans="27:30" x14ac:dyDescent="0.2">
      <c r="AA1550" s="86"/>
      <c r="AC1550" s="86"/>
      <c r="AD1550" s="86"/>
    </row>
    <row r="1551" spans="27:30" x14ac:dyDescent="0.2">
      <c r="AA1551" s="86"/>
      <c r="AC1551" s="86"/>
      <c r="AD1551" s="86"/>
    </row>
    <row r="1552" spans="27:30" x14ac:dyDescent="0.2">
      <c r="AA1552" s="86"/>
      <c r="AC1552" s="86"/>
      <c r="AD1552" s="86"/>
    </row>
    <row r="1553" spans="27:30" x14ac:dyDescent="0.2">
      <c r="AA1553" s="86"/>
      <c r="AC1553" s="86"/>
      <c r="AD1553" s="86"/>
    </row>
    <row r="1554" spans="27:30" x14ac:dyDescent="0.2">
      <c r="AA1554" s="86"/>
      <c r="AC1554" s="86"/>
      <c r="AD1554" s="86"/>
    </row>
    <row r="1555" spans="27:30" x14ac:dyDescent="0.2">
      <c r="AA1555" s="86"/>
      <c r="AC1555" s="86"/>
      <c r="AD1555" s="86"/>
    </row>
    <row r="1556" spans="27:30" x14ac:dyDescent="0.2">
      <c r="AA1556" s="86"/>
      <c r="AC1556" s="86"/>
      <c r="AD1556" s="86"/>
    </row>
    <row r="1557" spans="27:30" x14ac:dyDescent="0.2">
      <c r="AA1557" s="86"/>
      <c r="AC1557" s="86"/>
      <c r="AD1557" s="86"/>
    </row>
    <row r="1558" spans="27:30" x14ac:dyDescent="0.2">
      <c r="AA1558" s="86"/>
      <c r="AC1558" s="86"/>
      <c r="AD1558" s="86"/>
    </row>
    <row r="1559" spans="27:30" x14ac:dyDescent="0.2">
      <c r="AA1559" s="86"/>
      <c r="AC1559" s="86"/>
      <c r="AD1559" s="86"/>
    </row>
    <row r="1560" spans="27:30" x14ac:dyDescent="0.2">
      <c r="AA1560" s="86"/>
      <c r="AC1560" s="86"/>
      <c r="AD1560" s="86"/>
    </row>
    <row r="1561" spans="27:30" x14ac:dyDescent="0.2">
      <c r="AA1561" s="86"/>
      <c r="AC1561" s="86"/>
      <c r="AD1561" s="86"/>
    </row>
    <row r="1562" spans="27:30" x14ac:dyDescent="0.2">
      <c r="AA1562" s="86"/>
      <c r="AC1562" s="86"/>
      <c r="AD1562" s="86"/>
    </row>
    <row r="1563" spans="27:30" x14ac:dyDescent="0.2">
      <c r="AA1563" s="86"/>
      <c r="AC1563" s="86"/>
      <c r="AD1563" s="86"/>
    </row>
    <row r="1564" spans="27:30" x14ac:dyDescent="0.2">
      <c r="AA1564" s="86"/>
      <c r="AC1564" s="86"/>
      <c r="AD1564" s="86"/>
    </row>
    <row r="1565" spans="27:30" x14ac:dyDescent="0.2">
      <c r="AA1565" s="86"/>
      <c r="AC1565" s="86"/>
      <c r="AD1565" s="86"/>
    </row>
    <row r="1566" spans="27:30" x14ac:dyDescent="0.2">
      <c r="AA1566" s="86"/>
      <c r="AC1566" s="86"/>
      <c r="AD1566" s="86"/>
    </row>
    <row r="1567" spans="27:30" x14ac:dyDescent="0.2">
      <c r="AA1567" s="86"/>
      <c r="AC1567" s="86"/>
      <c r="AD1567" s="86"/>
    </row>
    <row r="1568" spans="27:30" x14ac:dyDescent="0.2">
      <c r="AA1568" s="86"/>
      <c r="AC1568" s="86"/>
      <c r="AD1568" s="86"/>
    </row>
    <row r="1569" spans="27:30" x14ac:dyDescent="0.2">
      <c r="AA1569" s="86"/>
      <c r="AC1569" s="86"/>
      <c r="AD1569" s="86"/>
    </row>
    <row r="1570" spans="27:30" x14ac:dyDescent="0.2">
      <c r="AA1570" s="86"/>
      <c r="AC1570" s="86"/>
      <c r="AD1570" s="86"/>
    </row>
    <row r="1571" spans="27:30" x14ac:dyDescent="0.2">
      <c r="AA1571" s="86"/>
      <c r="AC1571" s="86"/>
      <c r="AD1571" s="86"/>
    </row>
    <row r="1572" spans="27:30" x14ac:dyDescent="0.2">
      <c r="AA1572" s="86"/>
      <c r="AC1572" s="86"/>
      <c r="AD1572" s="86"/>
    </row>
    <row r="1573" spans="27:30" x14ac:dyDescent="0.2">
      <c r="AA1573" s="86"/>
      <c r="AC1573" s="86"/>
      <c r="AD1573" s="86"/>
    </row>
    <row r="1574" spans="27:30" x14ac:dyDescent="0.2">
      <c r="AA1574" s="86"/>
      <c r="AC1574" s="86"/>
      <c r="AD1574" s="86"/>
    </row>
    <row r="1575" spans="27:30" x14ac:dyDescent="0.2">
      <c r="AA1575" s="86"/>
      <c r="AC1575" s="86"/>
      <c r="AD1575" s="86"/>
    </row>
    <row r="1576" spans="27:30" x14ac:dyDescent="0.2">
      <c r="AA1576" s="86"/>
      <c r="AC1576" s="86"/>
      <c r="AD1576" s="86"/>
    </row>
    <row r="1577" spans="27:30" x14ac:dyDescent="0.2">
      <c r="AA1577" s="86"/>
      <c r="AC1577" s="86"/>
      <c r="AD1577" s="86"/>
    </row>
    <row r="1578" spans="27:30" x14ac:dyDescent="0.2">
      <c r="AA1578" s="86"/>
      <c r="AC1578" s="86"/>
      <c r="AD1578" s="86"/>
    </row>
    <row r="1579" spans="27:30" x14ac:dyDescent="0.2">
      <c r="AA1579" s="86"/>
      <c r="AC1579" s="86"/>
      <c r="AD1579" s="86"/>
    </row>
    <row r="1580" spans="27:30" x14ac:dyDescent="0.2">
      <c r="AA1580" s="86"/>
      <c r="AC1580" s="86"/>
      <c r="AD1580" s="86"/>
    </row>
    <row r="1581" spans="27:30" x14ac:dyDescent="0.2">
      <c r="AA1581" s="86"/>
      <c r="AC1581" s="86"/>
      <c r="AD1581" s="86"/>
    </row>
    <row r="1582" spans="27:30" x14ac:dyDescent="0.2">
      <c r="AA1582" s="86"/>
      <c r="AC1582" s="86"/>
      <c r="AD1582" s="86"/>
    </row>
    <row r="1583" spans="27:30" x14ac:dyDescent="0.2">
      <c r="AA1583" s="86"/>
      <c r="AC1583" s="86"/>
      <c r="AD1583" s="86"/>
    </row>
    <row r="1584" spans="27:30" x14ac:dyDescent="0.2">
      <c r="AA1584" s="86"/>
      <c r="AC1584" s="86"/>
      <c r="AD1584" s="86"/>
    </row>
    <row r="1585" spans="27:30" x14ac:dyDescent="0.2">
      <c r="AA1585" s="86"/>
      <c r="AC1585" s="86"/>
      <c r="AD1585" s="86"/>
    </row>
    <row r="1586" spans="27:30" x14ac:dyDescent="0.2">
      <c r="AA1586" s="86"/>
      <c r="AC1586" s="86"/>
      <c r="AD1586" s="86"/>
    </row>
    <row r="1587" spans="27:30" x14ac:dyDescent="0.2">
      <c r="AA1587" s="86"/>
      <c r="AC1587" s="86"/>
      <c r="AD1587" s="86"/>
    </row>
    <row r="1588" spans="27:30" x14ac:dyDescent="0.2">
      <c r="AA1588" s="86"/>
      <c r="AC1588" s="86"/>
      <c r="AD1588" s="86"/>
    </row>
    <row r="1589" spans="27:30" x14ac:dyDescent="0.2">
      <c r="AA1589" s="86"/>
      <c r="AC1589" s="86"/>
      <c r="AD1589" s="86"/>
    </row>
    <row r="1590" spans="27:30" x14ac:dyDescent="0.2">
      <c r="AA1590" s="86"/>
      <c r="AC1590" s="86"/>
      <c r="AD1590" s="86"/>
    </row>
    <row r="1591" spans="27:30" x14ac:dyDescent="0.2">
      <c r="AA1591" s="86"/>
      <c r="AC1591" s="86"/>
      <c r="AD1591" s="86"/>
    </row>
    <row r="1592" spans="27:30" x14ac:dyDescent="0.2">
      <c r="AA1592" s="86"/>
      <c r="AC1592" s="86"/>
      <c r="AD1592" s="86"/>
    </row>
    <row r="1593" spans="27:30" x14ac:dyDescent="0.2">
      <c r="AA1593" s="86"/>
      <c r="AC1593" s="86"/>
      <c r="AD1593" s="86"/>
    </row>
    <row r="1594" spans="27:30" x14ac:dyDescent="0.2">
      <c r="AA1594" s="86"/>
      <c r="AC1594" s="86"/>
      <c r="AD1594" s="86"/>
    </row>
    <row r="1595" spans="27:30" x14ac:dyDescent="0.2">
      <c r="AA1595" s="86"/>
      <c r="AC1595" s="86"/>
      <c r="AD1595" s="86"/>
    </row>
    <row r="1596" spans="27:30" x14ac:dyDescent="0.2">
      <c r="AA1596" s="86"/>
      <c r="AC1596" s="86"/>
      <c r="AD1596" s="86"/>
    </row>
    <row r="1597" spans="27:30" x14ac:dyDescent="0.2">
      <c r="AA1597" s="86"/>
      <c r="AC1597" s="86"/>
      <c r="AD1597" s="86"/>
    </row>
    <row r="1598" spans="27:30" x14ac:dyDescent="0.2">
      <c r="AA1598" s="86"/>
      <c r="AC1598" s="86"/>
      <c r="AD1598" s="86"/>
    </row>
    <row r="1599" spans="27:30" x14ac:dyDescent="0.2">
      <c r="AA1599" s="86"/>
      <c r="AC1599" s="86"/>
      <c r="AD1599" s="86"/>
    </row>
    <row r="1600" spans="27:30" x14ac:dyDescent="0.2">
      <c r="AA1600" s="86"/>
      <c r="AC1600" s="86"/>
      <c r="AD1600" s="86"/>
    </row>
    <row r="1601" spans="27:30" x14ac:dyDescent="0.2">
      <c r="AA1601" s="86"/>
      <c r="AC1601" s="86"/>
      <c r="AD1601" s="86"/>
    </row>
    <row r="1602" spans="27:30" x14ac:dyDescent="0.2">
      <c r="AA1602" s="86"/>
      <c r="AC1602" s="86"/>
      <c r="AD1602" s="86"/>
    </row>
    <row r="1603" spans="27:30" x14ac:dyDescent="0.2">
      <c r="AA1603" s="86"/>
      <c r="AC1603" s="86"/>
      <c r="AD1603" s="86"/>
    </row>
    <row r="1604" spans="27:30" x14ac:dyDescent="0.2">
      <c r="AA1604" s="86"/>
      <c r="AC1604" s="86"/>
      <c r="AD1604" s="86"/>
    </row>
    <row r="1605" spans="27:30" x14ac:dyDescent="0.2">
      <c r="AA1605" s="86"/>
      <c r="AC1605" s="86"/>
      <c r="AD1605" s="86"/>
    </row>
    <row r="1606" spans="27:30" x14ac:dyDescent="0.2">
      <c r="AA1606" s="86"/>
      <c r="AC1606" s="86"/>
      <c r="AD1606" s="86"/>
    </row>
    <row r="1607" spans="27:30" x14ac:dyDescent="0.2">
      <c r="AA1607" s="86"/>
      <c r="AC1607" s="86"/>
      <c r="AD1607" s="86"/>
    </row>
    <row r="1608" spans="27:30" x14ac:dyDescent="0.2">
      <c r="AA1608" s="86"/>
      <c r="AC1608" s="86"/>
      <c r="AD1608" s="86"/>
    </row>
    <row r="1609" spans="27:30" x14ac:dyDescent="0.2">
      <c r="AA1609" s="86"/>
      <c r="AC1609" s="86"/>
      <c r="AD1609" s="86"/>
    </row>
    <row r="1610" spans="27:30" x14ac:dyDescent="0.2">
      <c r="AA1610" s="86"/>
      <c r="AC1610" s="86"/>
      <c r="AD1610" s="86"/>
    </row>
    <row r="1611" spans="27:30" x14ac:dyDescent="0.2">
      <c r="AA1611" s="86"/>
      <c r="AC1611" s="86"/>
      <c r="AD1611" s="86"/>
    </row>
    <row r="1612" spans="27:30" x14ac:dyDescent="0.2">
      <c r="AA1612" s="86"/>
      <c r="AC1612" s="86"/>
      <c r="AD1612" s="86"/>
    </row>
    <row r="1613" spans="27:30" x14ac:dyDescent="0.2">
      <c r="AA1613" s="86"/>
      <c r="AC1613" s="86"/>
      <c r="AD1613" s="86"/>
    </row>
    <row r="1614" spans="27:30" x14ac:dyDescent="0.2">
      <c r="AA1614" s="86"/>
      <c r="AC1614" s="86"/>
      <c r="AD1614" s="86"/>
    </row>
    <row r="1615" spans="27:30" x14ac:dyDescent="0.2">
      <c r="AA1615" s="86"/>
      <c r="AC1615" s="86"/>
      <c r="AD1615" s="86"/>
    </row>
    <row r="1616" spans="27:30" x14ac:dyDescent="0.2">
      <c r="AA1616" s="86"/>
      <c r="AC1616" s="86"/>
      <c r="AD1616" s="86"/>
    </row>
    <row r="1617" spans="27:30" x14ac:dyDescent="0.2">
      <c r="AA1617" s="86"/>
      <c r="AC1617" s="86"/>
      <c r="AD1617" s="86"/>
    </row>
    <row r="1618" spans="27:30" x14ac:dyDescent="0.2">
      <c r="AA1618" s="86"/>
      <c r="AC1618" s="86"/>
      <c r="AD1618" s="86"/>
    </row>
    <row r="1619" spans="27:30" x14ac:dyDescent="0.2">
      <c r="AA1619" s="86"/>
      <c r="AC1619" s="86"/>
      <c r="AD1619" s="86"/>
    </row>
    <row r="1620" spans="27:30" x14ac:dyDescent="0.2">
      <c r="AA1620" s="86"/>
      <c r="AC1620" s="86"/>
      <c r="AD1620" s="86"/>
    </row>
    <row r="1621" spans="27:30" x14ac:dyDescent="0.2">
      <c r="AA1621" s="86"/>
      <c r="AC1621" s="86"/>
      <c r="AD1621" s="86"/>
    </row>
    <row r="1622" spans="27:30" x14ac:dyDescent="0.2">
      <c r="AA1622" s="86"/>
      <c r="AC1622" s="86"/>
      <c r="AD1622" s="86"/>
    </row>
    <row r="1623" spans="27:30" x14ac:dyDescent="0.2">
      <c r="AA1623" s="86"/>
      <c r="AC1623" s="86"/>
      <c r="AD1623" s="86"/>
    </row>
    <row r="1624" spans="27:30" x14ac:dyDescent="0.2">
      <c r="AA1624" s="86"/>
      <c r="AC1624" s="86"/>
      <c r="AD1624" s="86"/>
    </row>
    <row r="1625" spans="27:30" x14ac:dyDescent="0.2">
      <c r="AA1625" s="86"/>
      <c r="AC1625" s="86"/>
      <c r="AD1625" s="86"/>
    </row>
    <row r="1626" spans="27:30" x14ac:dyDescent="0.2">
      <c r="AA1626" s="86"/>
      <c r="AC1626" s="86"/>
      <c r="AD1626" s="86"/>
    </row>
    <row r="1627" spans="27:30" x14ac:dyDescent="0.2">
      <c r="AA1627" s="86"/>
      <c r="AC1627" s="86"/>
      <c r="AD1627" s="86"/>
    </row>
    <row r="1628" spans="27:30" x14ac:dyDescent="0.2">
      <c r="AA1628" s="86"/>
      <c r="AC1628" s="86"/>
      <c r="AD1628" s="86"/>
    </row>
    <row r="1629" spans="27:30" x14ac:dyDescent="0.2">
      <c r="AA1629" s="86"/>
      <c r="AC1629" s="86"/>
      <c r="AD1629" s="86"/>
    </row>
    <row r="1630" spans="27:30" x14ac:dyDescent="0.2">
      <c r="AA1630" s="86"/>
      <c r="AC1630" s="86"/>
      <c r="AD1630" s="86"/>
    </row>
    <row r="1631" spans="27:30" x14ac:dyDescent="0.2">
      <c r="AA1631" s="86"/>
      <c r="AC1631" s="86"/>
      <c r="AD1631" s="86"/>
    </row>
    <row r="1632" spans="27:30" x14ac:dyDescent="0.2">
      <c r="AA1632" s="86"/>
      <c r="AC1632" s="86"/>
      <c r="AD1632" s="86"/>
    </row>
    <row r="1633" spans="27:30" x14ac:dyDescent="0.2">
      <c r="AA1633" s="86"/>
      <c r="AC1633" s="86"/>
      <c r="AD1633" s="86"/>
    </row>
    <row r="1634" spans="27:30" x14ac:dyDescent="0.2">
      <c r="AA1634" s="86"/>
      <c r="AC1634" s="86"/>
      <c r="AD1634" s="86"/>
    </row>
    <row r="1635" spans="27:30" x14ac:dyDescent="0.2">
      <c r="AA1635" s="86"/>
      <c r="AC1635" s="86"/>
      <c r="AD1635" s="86"/>
    </row>
    <row r="1636" spans="27:30" x14ac:dyDescent="0.2">
      <c r="AA1636" s="86"/>
      <c r="AC1636" s="86"/>
      <c r="AD1636" s="86"/>
    </row>
    <row r="1637" spans="27:30" x14ac:dyDescent="0.2">
      <c r="AA1637" s="86"/>
      <c r="AC1637" s="86"/>
      <c r="AD1637" s="86"/>
    </row>
    <row r="1638" spans="27:30" x14ac:dyDescent="0.2">
      <c r="AA1638" s="86"/>
      <c r="AC1638" s="86"/>
      <c r="AD1638" s="86"/>
    </row>
    <row r="1639" spans="27:30" x14ac:dyDescent="0.2">
      <c r="AA1639" s="86"/>
      <c r="AC1639" s="86"/>
      <c r="AD1639" s="86"/>
    </row>
    <row r="1640" spans="27:30" x14ac:dyDescent="0.2">
      <c r="AA1640" s="86"/>
      <c r="AC1640" s="86"/>
      <c r="AD1640" s="86"/>
    </row>
    <row r="1641" spans="27:30" x14ac:dyDescent="0.2">
      <c r="AA1641" s="86"/>
      <c r="AC1641" s="86"/>
      <c r="AD1641" s="86"/>
    </row>
    <row r="1642" spans="27:30" x14ac:dyDescent="0.2">
      <c r="AA1642" s="86"/>
      <c r="AC1642" s="86"/>
      <c r="AD1642" s="86"/>
    </row>
    <row r="1643" spans="27:30" x14ac:dyDescent="0.2">
      <c r="AA1643" s="86"/>
      <c r="AC1643" s="86"/>
      <c r="AD1643" s="86"/>
    </row>
    <row r="1644" spans="27:30" x14ac:dyDescent="0.2">
      <c r="AA1644" s="86"/>
      <c r="AC1644" s="86"/>
      <c r="AD1644" s="86"/>
    </row>
    <row r="1645" spans="27:30" x14ac:dyDescent="0.2">
      <c r="AA1645" s="86"/>
      <c r="AC1645" s="86"/>
      <c r="AD1645" s="86"/>
    </row>
    <row r="1646" spans="27:30" x14ac:dyDescent="0.2">
      <c r="AA1646" s="86"/>
      <c r="AC1646" s="86"/>
      <c r="AD1646" s="86"/>
    </row>
    <row r="1647" spans="27:30" x14ac:dyDescent="0.2">
      <c r="AA1647" s="86"/>
      <c r="AC1647" s="86"/>
      <c r="AD1647" s="86"/>
    </row>
    <row r="1648" spans="27:30" x14ac:dyDescent="0.2">
      <c r="AA1648" s="86"/>
      <c r="AC1648" s="86"/>
      <c r="AD1648" s="86"/>
    </row>
    <row r="1649" spans="27:30" x14ac:dyDescent="0.2">
      <c r="AA1649" s="86"/>
      <c r="AC1649" s="86"/>
      <c r="AD1649" s="86"/>
    </row>
    <row r="1650" spans="27:30" x14ac:dyDescent="0.2">
      <c r="AA1650" s="86"/>
      <c r="AC1650" s="86"/>
      <c r="AD1650" s="86"/>
    </row>
    <row r="1651" spans="27:30" x14ac:dyDescent="0.2">
      <c r="AA1651" s="86"/>
      <c r="AC1651" s="86"/>
      <c r="AD1651" s="86"/>
    </row>
    <row r="1652" spans="27:30" x14ac:dyDescent="0.2">
      <c r="AA1652" s="86"/>
      <c r="AC1652" s="86"/>
      <c r="AD1652" s="86"/>
    </row>
    <row r="1653" spans="27:30" x14ac:dyDescent="0.2">
      <c r="AA1653" s="86"/>
      <c r="AC1653" s="86"/>
      <c r="AD1653" s="86"/>
    </row>
    <row r="1654" spans="27:30" x14ac:dyDescent="0.2">
      <c r="AA1654" s="86"/>
      <c r="AC1654" s="86"/>
      <c r="AD1654" s="86"/>
    </row>
    <row r="1655" spans="27:30" x14ac:dyDescent="0.2">
      <c r="AA1655" s="86"/>
      <c r="AC1655" s="86"/>
      <c r="AD1655" s="86"/>
    </row>
    <row r="1656" spans="27:30" x14ac:dyDescent="0.2">
      <c r="AA1656" s="86"/>
      <c r="AC1656" s="86"/>
      <c r="AD1656" s="86"/>
    </row>
    <row r="1657" spans="27:30" x14ac:dyDescent="0.2">
      <c r="AA1657" s="86"/>
      <c r="AC1657" s="86"/>
      <c r="AD1657" s="86"/>
    </row>
    <row r="1658" spans="27:30" x14ac:dyDescent="0.2">
      <c r="AA1658" s="86"/>
      <c r="AC1658" s="86"/>
      <c r="AD1658" s="86"/>
    </row>
    <row r="1659" spans="27:30" x14ac:dyDescent="0.2">
      <c r="AA1659" s="86"/>
      <c r="AC1659" s="86"/>
      <c r="AD1659" s="86"/>
    </row>
    <row r="1660" spans="27:30" x14ac:dyDescent="0.2">
      <c r="AA1660" s="86"/>
      <c r="AC1660" s="86"/>
      <c r="AD1660" s="86"/>
    </row>
    <row r="1661" spans="27:30" x14ac:dyDescent="0.2">
      <c r="AA1661" s="86"/>
      <c r="AC1661" s="86"/>
      <c r="AD1661" s="86"/>
    </row>
    <row r="1662" spans="27:30" x14ac:dyDescent="0.2">
      <c r="AA1662" s="86"/>
      <c r="AC1662" s="86"/>
      <c r="AD1662" s="86"/>
    </row>
    <row r="1663" spans="27:30" x14ac:dyDescent="0.2">
      <c r="AA1663" s="86"/>
      <c r="AC1663" s="86"/>
      <c r="AD1663" s="86"/>
    </row>
    <row r="1664" spans="27:30" x14ac:dyDescent="0.2">
      <c r="AA1664" s="86"/>
      <c r="AC1664" s="86"/>
      <c r="AD1664" s="86"/>
    </row>
    <row r="1665" spans="27:30" x14ac:dyDescent="0.2">
      <c r="AA1665" s="86"/>
      <c r="AC1665" s="86"/>
      <c r="AD1665" s="86"/>
    </row>
    <row r="1666" spans="27:30" x14ac:dyDescent="0.2">
      <c r="AA1666" s="86"/>
      <c r="AC1666" s="86"/>
      <c r="AD1666" s="86"/>
    </row>
    <row r="1667" spans="27:30" x14ac:dyDescent="0.2">
      <c r="AA1667" s="86"/>
      <c r="AC1667" s="86"/>
      <c r="AD1667" s="86"/>
    </row>
    <row r="1668" spans="27:30" x14ac:dyDescent="0.2">
      <c r="AA1668" s="86"/>
      <c r="AC1668" s="86"/>
      <c r="AD1668" s="86"/>
    </row>
    <row r="1669" spans="27:30" x14ac:dyDescent="0.2">
      <c r="AA1669" s="86"/>
      <c r="AC1669" s="86"/>
      <c r="AD1669" s="86"/>
    </row>
    <row r="1670" spans="27:30" x14ac:dyDescent="0.2">
      <c r="AA1670" s="86"/>
      <c r="AC1670" s="86"/>
      <c r="AD1670" s="86"/>
    </row>
    <row r="1671" spans="27:30" x14ac:dyDescent="0.2">
      <c r="AA1671" s="86"/>
      <c r="AC1671" s="86"/>
      <c r="AD1671" s="86"/>
    </row>
    <row r="1672" spans="27:30" x14ac:dyDescent="0.2">
      <c r="AA1672" s="86"/>
      <c r="AC1672" s="86"/>
      <c r="AD1672" s="86"/>
    </row>
    <row r="1673" spans="27:30" x14ac:dyDescent="0.2">
      <c r="AA1673" s="86"/>
      <c r="AC1673" s="86"/>
      <c r="AD1673" s="86"/>
    </row>
    <row r="1674" spans="27:30" x14ac:dyDescent="0.2">
      <c r="AA1674" s="86"/>
      <c r="AC1674" s="86"/>
      <c r="AD1674" s="86"/>
    </row>
    <row r="1675" spans="27:30" x14ac:dyDescent="0.2">
      <c r="AA1675" s="86"/>
      <c r="AC1675" s="86"/>
      <c r="AD1675" s="86"/>
    </row>
    <row r="1676" spans="27:30" x14ac:dyDescent="0.2">
      <c r="AA1676" s="86"/>
      <c r="AC1676" s="86"/>
      <c r="AD1676" s="86"/>
    </row>
    <row r="1677" spans="27:30" x14ac:dyDescent="0.2">
      <c r="AA1677" s="86"/>
      <c r="AC1677" s="86"/>
      <c r="AD1677" s="86"/>
    </row>
    <row r="1678" spans="27:30" x14ac:dyDescent="0.2">
      <c r="AA1678" s="86"/>
      <c r="AC1678" s="86"/>
      <c r="AD1678" s="86"/>
    </row>
    <row r="1679" spans="27:30" x14ac:dyDescent="0.2">
      <c r="AA1679" s="86"/>
      <c r="AC1679" s="86"/>
      <c r="AD1679" s="86"/>
    </row>
    <row r="1680" spans="27:30" x14ac:dyDescent="0.2">
      <c r="AA1680" s="86"/>
      <c r="AC1680" s="86"/>
      <c r="AD1680" s="86"/>
    </row>
    <row r="1681" spans="27:30" x14ac:dyDescent="0.2">
      <c r="AA1681" s="86"/>
      <c r="AC1681" s="86"/>
      <c r="AD1681" s="86"/>
    </row>
    <row r="1682" spans="27:30" x14ac:dyDescent="0.2">
      <c r="AA1682" s="86"/>
      <c r="AC1682" s="86"/>
      <c r="AD1682" s="86"/>
    </row>
    <row r="1683" spans="27:30" x14ac:dyDescent="0.2">
      <c r="AA1683" s="86"/>
      <c r="AC1683" s="86"/>
      <c r="AD1683" s="86"/>
    </row>
    <row r="1684" spans="27:30" x14ac:dyDescent="0.2">
      <c r="AA1684" s="86"/>
      <c r="AC1684" s="86"/>
      <c r="AD1684" s="86"/>
    </row>
    <row r="1685" spans="27:30" x14ac:dyDescent="0.2">
      <c r="AA1685" s="86"/>
      <c r="AC1685" s="86"/>
      <c r="AD1685" s="86"/>
    </row>
    <row r="1686" spans="27:30" x14ac:dyDescent="0.2">
      <c r="AA1686" s="86"/>
      <c r="AC1686" s="86"/>
      <c r="AD1686" s="86"/>
    </row>
    <row r="1687" spans="27:30" x14ac:dyDescent="0.2">
      <c r="AA1687" s="86"/>
      <c r="AC1687" s="86"/>
      <c r="AD1687" s="86"/>
    </row>
    <row r="1688" spans="27:30" x14ac:dyDescent="0.2">
      <c r="AA1688" s="86"/>
      <c r="AC1688" s="86"/>
      <c r="AD1688" s="86"/>
    </row>
    <row r="1689" spans="27:30" x14ac:dyDescent="0.2">
      <c r="AA1689" s="86"/>
      <c r="AC1689" s="86"/>
      <c r="AD1689" s="86"/>
    </row>
    <row r="1690" spans="27:30" x14ac:dyDescent="0.2">
      <c r="AA1690" s="86"/>
      <c r="AC1690" s="86"/>
      <c r="AD1690" s="86"/>
    </row>
    <row r="1691" spans="27:30" x14ac:dyDescent="0.2">
      <c r="AA1691" s="86"/>
      <c r="AC1691" s="86"/>
      <c r="AD1691" s="86"/>
    </row>
    <row r="1692" spans="27:30" x14ac:dyDescent="0.2">
      <c r="AA1692" s="86"/>
      <c r="AC1692" s="86"/>
      <c r="AD1692" s="86"/>
    </row>
    <row r="1693" spans="27:30" x14ac:dyDescent="0.2">
      <c r="AA1693" s="86"/>
      <c r="AC1693" s="86"/>
      <c r="AD1693" s="86"/>
    </row>
    <row r="1694" spans="27:30" x14ac:dyDescent="0.2">
      <c r="AA1694" s="86"/>
      <c r="AC1694" s="86"/>
      <c r="AD1694" s="86"/>
    </row>
    <row r="1695" spans="27:30" x14ac:dyDescent="0.2">
      <c r="AA1695" s="86"/>
      <c r="AC1695" s="86"/>
      <c r="AD1695" s="86"/>
    </row>
    <row r="1696" spans="27:30" x14ac:dyDescent="0.2">
      <c r="AA1696" s="86"/>
      <c r="AC1696" s="86"/>
      <c r="AD1696" s="86"/>
    </row>
    <row r="1697" spans="27:30" x14ac:dyDescent="0.2">
      <c r="AA1697" s="86"/>
      <c r="AC1697" s="86"/>
      <c r="AD1697" s="86"/>
    </row>
    <row r="1698" spans="27:30" x14ac:dyDescent="0.2">
      <c r="AA1698" s="86"/>
      <c r="AC1698" s="86"/>
      <c r="AD1698" s="86"/>
    </row>
    <row r="1699" spans="27:30" x14ac:dyDescent="0.2">
      <c r="AA1699" s="86"/>
      <c r="AC1699" s="86"/>
      <c r="AD1699" s="86"/>
    </row>
    <row r="1700" spans="27:30" x14ac:dyDescent="0.2">
      <c r="AA1700" s="86"/>
      <c r="AC1700" s="86"/>
      <c r="AD1700" s="86"/>
    </row>
    <row r="1701" spans="27:30" x14ac:dyDescent="0.2">
      <c r="AA1701" s="86"/>
      <c r="AC1701" s="86"/>
      <c r="AD1701" s="86"/>
    </row>
    <row r="1702" spans="27:30" x14ac:dyDescent="0.2">
      <c r="AA1702" s="86"/>
      <c r="AC1702" s="86"/>
      <c r="AD1702" s="86"/>
    </row>
    <row r="1703" spans="27:30" x14ac:dyDescent="0.2">
      <c r="AA1703" s="86"/>
      <c r="AC1703" s="86"/>
      <c r="AD1703" s="86"/>
    </row>
    <row r="1704" spans="27:30" x14ac:dyDescent="0.2">
      <c r="AA1704" s="86"/>
      <c r="AC1704" s="86"/>
      <c r="AD1704" s="86"/>
    </row>
    <row r="1705" spans="27:30" x14ac:dyDescent="0.2">
      <c r="AA1705" s="86"/>
      <c r="AC1705" s="86"/>
      <c r="AD1705" s="86"/>
    </row>
    <row r="1706" spans="27:30" x14ac:dyDescent="0.2">
      <c r="AA1706" s="86"/>
      <c r="AC1706" s="86"/>
      <c r="AD1706" s="86"/>
    </row>
    <row r="1707" spans="27:30" x14ac:dyDescent="0.2">
      <c r="AA1707" s="86"/>
      <c r="AC1707" s="86"/>
      <c r="AD1707" s="86"/>
    </row>
    <row r="1708" spans="27:30" x14ac:dyDescent="0.2">
      <c r="AA1708" s="86"/>
      <c r="AC1708" s="86"/>
      <c r="AD1708" s="86"/>
    </row>
    <row r="1709" spans="27:30" x14ac:dyDescent="0.2">
      <c r="AA1709" s="86"/>
      <c r="AC1709" s="86"/>
      <c r="AD1709" s="86"/>
    </row>
    <row r="1710" spans="27:30" x14ac:dyDescent="0.2">
      <c r="AA1710" s="86"/>
      <c r="AC1710" s="86"/>
      <c r="AD1710" s="86"/>
    </row>
    <row r="1711" spans="27:30" x14ac:dyDescent="0.2">
      <c r="AA1711" s="86"/>
      <c r="AC1711" s="86"/>
      <c r="AD1711" s="86"/>
    </row>
    <row r="1712" spans="27:30" x14ac:dyDescent="0.2">
      <c r="AA1712" s="86"/>
      <c r="AC1712" s="86"/>
      <c r="AD1712" s="86"/>
    </row>
    <row r="1713" spans="27:30" x14ac:dyDescent="0.2">
      <c r="AA1713" s="86"/>
      <c r="AC1713" s="86"/>
      <c r="AD1713" s="86"/>
    </row>
    <row r="1714" spans="27:30" x14ac:dyDescent="0.2">
      <c r="AA1714" s="86"/>
      <c r="AC1714" s="86"/>
      <c r="AD1714" s="86"/>
    </row>
    <row r="1715" spans="27:30" x14ac:dyDescent="0.2">
      <c r="AA1715" s="86"/>
      <c r="AC1715" s="86"/>
      <c r="AD1715" s="86"/>
    </row>
    <row r="1716" spans="27:30" x14ac:dyDescent="0.2">
      <c r="AA1716" s="86"/>
      <c r="AC1716" s="86"/>
      <c r="AD1716" s="86"/>
    </row>
    <row r="1717" spans="27:30" x14ac:dyDescent="0.2">
      <c r="AA1717" s="86"/>
      <c r="AC1717" s="86"/>
      <c r="AD1717" s="86"/>
    </row>
    <row r="1718" spans="27:30" x14ac:dyDescent="0.2">
      <c r="AA1718" s="86"/>
      <c r="AC1718" s="86"/>
      <c r="AD1718" s="86"/>
    </row>
    <row r="1719" spans="27:30" x14ac:dyDescent="0.2">
      <c r="AA1719" s="86"/>
      <c r="AC1719" s="86"/>
      <c r="AD1719" s="86"/>
    </row>
    <row r="1720" spans="27:30" x14ac:dyDescent="0.2">
      <c r="AA1720" s="86"/>
      <c r="AC1720" s="86"/>
      <c r="AD1720" s="86"/>
    </row>
    <row r="1721" spans="27:30" x14ac:dyDescent="0.2">
      <c r="AA1721" s="86"/>
      <c r="AC1721" s="86"/>
      <c r="AD1721" s="86"/>
    </row>
    <row r="1722" spans="27:30" x14ac:dyDescent="0.2">
      <c r="AA1722" s="86"/>
      <c r="AC1722" s="86"/>
      <c r="AD1722" s="86"/>
    </row>
    <row r="1723" spans="27:30" x14ac:dyDescent="0.2">
      <c r="AA1723" s="86"/>
      <c r="AC1723" s="86"/>
      <c r="AD1723" s="86"/>
    </row>
    <row r="1724" spans="27:30" x14ac:dyDescent="0.2">
      <c r="AA1724" s="86"/>
      <c r="AC1724" s="86"/>
      <c r="AD1724" s="86"/>
    </row>
    <row r="1725" spans="27:30" x14ac:dyDescent="0.2">
      <c r="AA1725" s="86"/>
      <c r="AC1725" s="86"/>
      <c r="AD1725" s="86"/>
    </row>
    <row r="1726" spans="27:30" x14ac:dyDescent="0.2">
      <c r="AA1726" s="86"/>
      <c r="AC1726" s="86"/>
      <c r="AD1726" s="86"/>
    </row>
    <row r="1727" spans="27:30" x14ac:dyDescent="0.2">
      <c r="AA1727" s="86"/>
      <c r="AC1727" s="86"/>
      <c r="AD1727" s="86"/>
    </row>
    <row r="1728" spans="27:30" x14ac:dyDescent="0.2">
      <c r="AA1728" s="86"/>
      <c r="AC1728" s="86"/>
      <c r="AD1728" s="86"/>
    </row>
    <row r="1729" spans="27:30" x14ac:dyDescent="0.2">
      <c r="AA1729" s="86"/>
      <c r="AC1729" s="86"/>
      <c r="AD1729" s="86"/>
    </row>
    <row r="1730" spans="27:30" x14ac:dyDescent="0.2">
      <c r="AA1730" s="86"/>
      <c r="AC1730" s="86"/>
      <c r="AD1730" s="86"/>
    </row>
    <row r="1731" spans="27:30" x14ac:dyDescent="0.2">
      <c r="AA1731" s="86"/>
      <c r="AC1731" s="86"/>
      <c r="AD1731" s="86"/>
    </row>
    <row r="1732" spans="27:30" x14ac:dyDescent="0.2">
      <c r="AA1732" s="86"/>
      <c r="AC1732" s="86"/>
      <c r="AD1732" s="86"/>
    </row>
    <row r="1733" spans="27:30" x14ac:dyDescent="0.2">
      <c r="AA1733" s="86"/>
      <c r="AC1733" s="86"/>
      <c r="AD1733" s="86"/>
    </row>
    <row r="1734" spans="27:30" x14ac:dyDescent="0.2">
      <c r="AA1734" s="86"/>
      <c r="AC1734" s="86"/>
      <c r="AD1734" s="86"/>
    </row>
    <row r="1735" spans="27:30" x14ac:dyDescent="0.2">
      <c r="AA1735" s="86"/>
      <c r="AC1735" s="86"/>
      <c r="AD1735" s="86"/>
    </row>
    <row r="1736" spans="27:30" x14ac:dyDescent="0.2">
      <c r="AA1736" s="86"/>
      <c r="AC1736" s="86"/>
      <c r="AD1736" s="86"/>
    </row>
    <row r="1737" spans="27:30" x14ac:dyDescent="0.2">
      <c r="AA1737" s="86"/>
      <c r="AC1737" s="86"/>
      <c r="AD1737" s="86"/>
    </row>
    <row r="1738" spans="27:30" x14ac:dyDescent="0.2">
      <c r="AA1738" s="86"/>
      <c r="AC1738" s="86"/>
      <c r="AD1738" s="86"/>
    </row>
    <row r="1739" spans="27:30" x14ac:dyDescent="0.2">
      <c r="AA1739" s="86"/>
      <c r="AC1739" s="86"/>
      <c r="AD1739" s="86"/>
    </row>
    <row r="1740" spans="27:30" x14ac:dyDescent="0.2">
      <c r="AA1740" s="86"/>
      <c r="AC1740" s="86"/>
      <c r="AD1740" s="86"/>
    </row>
    <row r="1741" spans="27:30" x14ac:dyDescent="0.2">
      <c r="AA1741" s="86"/>
      <c r="AC1741" s="86"/>
      <c r="AD1741" s="86"/>
    </row>
    <row r="1742" spans="27:30" x14ac:dyDescent="0.2">
      <c r="AA1742" s="86"/>
      <c r="AC1742" s="86"/>
      <c r="AD1742" s="86"/>
    </row>
    <row r="1743" spans="27:30" x14ac:dyDescent="0.2">
      <c r="AA1743" s="86"/>
      <c r="AC1743" s="86"/>
      <c r="AD1743" s="86"/>
    </row>
    <row r="1744" spans="27:30" x14ac:dyDescent="0.2">
      <c r="AA1744" s="86"/>
      <c r="AC1744" s="86"/>
      <c r="AD1744" s="86"/>
    </row>
    <row r="1745" spans="27:30" x14ac:dyDescent="0.2">
      <c r="AA1745" s="86"/>
      <c r="AC1745" s="86"/>
      <c r="AD1745" s="86"/>
    </row>
    <row r="1746" spans="27:30" x14ac:dyDescent="0.2">
      <c r="AA1746" s="86"/>
      <c r="AC1746" s="86"/>
      <c r="AD1746" s="86"/>
    </row>
    <row r="1747" spans="27:30" x14ac:dyDescent="0.2">
      <c r="AA1747" s="86"/>
      <c r="AC1747" s="86"/>
      <c r="AD1747" s="86"/>
    </row>
    <row r="1748" spans="27:30" x14ac:dyDescent="0.2">
      <c r="AA1748" s="86"/>
      <c r="AC1748" s="86"/>
      <c r="AD1748" s="86"/>
    </row>
    <row r="1749" spans="27:30" x14ac:dyDescent="0.2">
      <c r="AA1749" s="86"/>
      <c r="AC1749" s="86"/>
      <c r="AD1749" s="86"/>
    </row>
    <row r="1750" spans="27:30" x14ac:dyDescent="0.2">
      <c r="AA1750" s="86"/>
      <c r="AC1750" s="86"/>
      <c r="AD1750" s="86"/>
    </row>
    <row r="1751" spans="27:30" x14ac:dyDescent="0.2">
      <c r="AA1751" s="86"/>
      <c r="AC1751" s="86"/>
      <c r="AD1751" s="86"/>
    </row>
    <row r="1752" spans="27:30" x14ac:dyDescent="0.2">
      <c r="AA1752" s="86"/>
      <c r="AC1752" s="86"/>
      <c r="AD1752" s="86"/>
    </row>
    <row r="1753" spans="27:30" x14ac:dyDescent="0.2">
      <c r="AA1753" s="86"/>
      <c r="AC1753" s="86"/>
      <c r="AD1753" s="86"/>
    </row>
    <row r="1754" spans="27:30" x14ac:dyDescent="0.2">
      <c r="AA1754" s="86"/>
      <c r="AC1754" s="86"/>
      <c r="AD1754" s="86"/>
    </row>
    <row r="1755" spans="27:30" x14ac:dyDescent="0.2">
      <c r="AA1755" s="86"/>
      <c r="AC1755" s="86"/>
      <c r="AD1755" s="86"/>
    </row>
    <row r="1756" spans="27:30" x14ac:dyDescent="0.2">
      <c r="AA1756" s="86"/>
      <c r="AC1756" s="86"/>
      <c r="AD1756" s="86"/>
    </row>
    <row r="1757" spans="27:30" x14ac:dyDescent="0.2">
      <c r="AA1757" s="86"/>
      <c r="AC1757" s="86"/>
      <c r="AD1757" s="86"/>
    </row>
    <row r="1758" spans="27:30" x14ac:dyDescent="0.2">
      <c r="AA1758" s="86"/>
      <c r="AC1758" s="86"/>
      <c r="AD1758" s="86"/>
    </row>
    <row r="1759" spans="27:30" x14ac:dyDescent="0.2">
      <c r="AA1759" s="86"/>
      <c r="AC1759" s="86"/>
      <c r="AD1759" s="86"/>
    </row>
    <row r="1760" spans="27:30" x14ac:dyDescent="0.2">
      <c r="AA1760" s="86"/>
      <c r="AC1760" s="86"/>
      <c r="AD1760" s="86"/>
    </row>
    <row r="1761" spans="27:30" x14ac:dyDescent="0.2">
      <c r="AA1761" s="86"/>
      <c r="AC1761" s="86"/>
      <c r="AD1761" s="86"/>
    </row>
    <row r="1762" spans="27:30" x14ac:dyDescent="0.2">
      <c r="AA1762" s="86"/>
      <c r="AC1762" s="86"/>
      <c r="AD1762" s="86"/>
    </row>
    <row r="1763" spans="27:30" x14ac:dyDescent="0.2">
      <c r="AA1763" s="86"/>
      <c r="AC1763" s="86"/>
      <c r="AD1763" s="86"/>
    </row>
    <row r="1764" spans="27:30" x14ac:dyDescent="0.2">
      <c r="AA1764" s="86"/>
      <c r="AC1764" s="86"/>
      <c r="AD1764" s="86"/>
    </row>
    <row r="1765" spans="27:30" x14ac:dyDescent="0.2">
      <c r="AA1765" s="86"/>
      <c r="AC1765" s="86"/>
      <c r="AD1765" s="86"/>
    </row>
    <row r="1766" spans="27:30" x14ac:dyDescent="0.2">
      <c r="AA1766" s="86"/>
      <c r="AC1766" s="86"/>
      <c r="AD1766" s="86"/>
    </row>
    <row r="1767" spans="27:30" x14ac:dyDescent="0.2">
      <c r="AA1767" s="86"/>
      <c r="AC1767" s="86"/>
      <c r="AD1767" s="86"/>
    </row>
    <row r="1768" spans="27:30" x14ac:dyDescent="0.2">
      <c r="AA1768" s="86"/>
      <c r="AC1768" s="86"/>
      <c r="AD1768" s="86"/>
    </row>
    <row r="1769" spans="27:30" x14ac:dyDescent="0.2">
      <c r="AA1769" s="86"/>
      <c r="AC1769" s="86"/>
      <c r="AD1769" s="86"/>
    </row>
    <row r="1770" spans="27:30" x14ac:dyDescent="0.2">
      <c r="AA1770" s="86"/>
      <c r="AC1770" s="86"/>
      <c r="AD1770" s="86"/>
    </row>
    <row r="1771" spans="27:30" x14ac:dyDescent="0.2">
      <c r="AA1771" s="86"/>
      <c r="AC1771" s="86"/>
      <c r="AD1771" s="86"/>
    </row>
    <row r="1772" spans="27:30" x14ac:dyDescent="0.2">
      <c r="AA1772" s="86"/>
      <c r="AC1772" s="86"/>
      <c r="AD1772" s="86"/>
    </row>
    <row r="1773" spans="27:30" x14ac:dyDescent="0.2">
      <c r="AA1773" s="86"/>
      <c r="AC1773" s="86"/>
      <c r="AD1773" s="86"/>
    </row>
    <row r="1774" spans="27:30" x14ac:dyDescent="0.2">
      <c r="AA1774" s="86"/>
      <c r="AC1774" s="86"/>
      <c r="AD1774" s="86"/>
    </row>
    <row r="1775" spans="27:30" x14ac:dyDescent="0.2">
      <c r="AA1775" s="86"/>
      <c r="AC1775" s="86"/>
      <c r="AD1775" s="86"/>
    </row>
    <row r="1776" spans="27:30" x14ac:dyDescent="0.2">
      <c r="AA1776" s="86"/>
      <c r="AC1776" s="86"/>
      <c r="AD1776" s="86"/>
    </row>
    <row r="1777" spans="27:30" x14ac:dyDescent="0.2">
      <c r="AA1777" s="86"/>
      <c r="AC1777" s="86"/>
      <c r="AD1777" s="86"/>
    </row>
    <row r="1778" spans="27:30" x14ac:dyDescent="0.2">
      <c r="AA1778" s="86"/>
      <c r="AC1778" s="86"/>
      <c r="AD1778" s="86"/>
    </row>
    <row r="1779" spans="27:30" x14ac:dyDescent="0.2">
      <c r="AA1779" s="86"/>
      <c r="AC1779" s="86"/>
      <c r="AD1779" s="86"/>
    </row>
    <row r="1780" spans="27:30" x14ac:dyDescent="0.2">
      <c r="AA1780" s="86"/>
      <c r="AC1780" s="86"/>
      <c r="AD1780" s="86"/>
    </row>
    <row r="1781" spans="27:30" x14ac:dyDescent="0.2">
      <c r="AA1781" s="86"/>
      <c r="AC1781" s="86"/>
      <c r="AD1781" s="86"/>
    </row>
    <row r="1782" spans="27:30" x14ac:dyDescent="0.2">
      <c r="AA1782" s="86"/>
      <c r="AC1782" s="86"/>
      <c r="AD1782" s="86"/>
    </row>
    <row r="1783" spans="27:30" x14ac:dyDescent="0.2">
      <c r="AA1783" s="86"/>
      <c r="AC1783" s="86"/>
      <c r="AD1783" s="86"/>
    </row>
    <row r="1784" spans="27:30" x14ac:dyDescent="0.2">
      <c r="AA1784" s="86"/>
      <c r="AC1784" s="86"/>
      <c r="AD1784" s="86"/>
    </row>
    <row r="1785" spans="27:30" x14ac:dyDescent="0.2">
      <c r="AA1785" s="86"/>
      <c r="AC1785" s="86"/>
      <c r="AD1785" s="86"/>
    </row>
    <row r="1786" spans="27:30" x14ac:dyDescent="0.2">
      <c r="AA1786" s="86"/>
      <c r="AC1786" s="86"/>
      <c r="AD1786" s="86"/>
    </row>
    <row r="1787" spans="27:30" x14ac:dyDescent="0.2">
      <c r="AA1787" s="86"/>
      <c r="AC1787" s="86"/>
      <c r="AD1787" s="86"/>
    </row>
    <row r="1788" spans="27:30" x14ac:dyDescent="0.2">
      <c r="AA1788" s="86"/>
      <c r="AC1788" s="86"/>
      <c r="AD1788" s="86"/>
    </row>
    <row r="1789" spans="27:30" x14ac:dyDescent="0.2">
      <c r="AA1789" s="86"/>
      <c r="AC1789" s="86"/>
      <c r="AD1789" s="86"/>
    </row>
    <row r="1790" spans="27:30" x14ac:dyDescent="0.2">
      <c r="AA1790" s="86"/>
      <c r="AC1790" s="86"/>
      <c r="AD1790" s="86"/>
    </row>
    <row r="1791" spans="27:30" x14ac:dyDescent="0.2">
      <c r="AA1791" s="86"/>
      <c r="AC1791" s="86"/>
      <c r="AD1791" s="86"/>
    </row>
    <row r="1792" spans="27:30" x14ac:dyDescent="0.2">
      <c r="AA1792" s="86"/>
      <c r="AC1792" s="86"/>
      <c r="AD1792" s="86"/>
    </row>
    <row r="1793" spans="27:30" x14ac:dyDescent="0.2">
      <c r="AA1793" s="86"/>
      <c r="AC1793" s="86"/>
      <c r="AD1793" s="86"/>
    </row>
    <row r="1794" spans="27:30" x14ac:dyDescent="0.2">
      <c r="AA1794" s="86"/>
      <c r="AC1794" s="86"/>
      <c r="AD1794" s="86"/>
    </row>
    <row r="1795" spans="27:30" x14ac:dyDescent="0.2">
      <c r="AA1795" s="86"/>
      <c r="AC1795" s="86"/>
      <c r="AD1795" s="86"/>
    </row>
    <row r="1796" spans="27:30" x14ac:dyDescent="0.2">
      <c r="AA1796" s="86"/>
      <c r="AC1796" s="86"/>
      <c r="AD1796" s="86"/>
    </row>
    <row r="1797" spans="27:30" x14ac:dyDescent="0.2">
      <c r="AA1797" s="86"/>
      <c r="AC1797" s="86"/>
      <c r="AD1797" s="86"/>
    </row>
    <row r="1798" spans="27:30" x14ac:dyDescent="0.2">
      <c r="AA1798" s="86"/>
      <c r="AC1798" s="86"/>
      <c r="AD1798" s="86"/>
    </row>
    <row r="1799" spans="27:30" x14ac:dyDescent="0.2">
      <c r="AA1799" s="86"/>
      <c r="AC1799" s="86"/>
      <c r="AD1799" s="86"/>
    </row>
    <row r="1800" spans="27:30" x14ac:dyDescent="0.2">
      <c r="AA1800" s="86"/>
      <c r="AC1800" s="86"/>
      <c r="AD1800" s="86"/>
    </row>
    <row r="1801" spans="27:30" x14ac:dyDescent="0.2">
      <c r="AA1801" s="86"/>
      <c r="AC1801" s="86"/>
      <c r="AD1801" s="86"/>
    </row>
    <row r="1802" spans="27:30" x14ac:dyDescent="0.2">
      <c r="AA1802" s="86"/>
      <c r="AC1802" s="86"/>
      <c r="AD1802" s="86"/>
    </row>
    <row r="1803" spans="27:30" x14ac:dyDescent="0.2">
      <c r="AA1803" s="86"/>
      <c r="AC1803" s="86"/>
      <c r="AD1803" s="86"/>
    </row>
    <row r="1804" spans="27:30" x14ac:dyDescent="0.2">
      <c r="AA1804" s="86"/>
      <c r="AC1804" s="86"/>
      <c r="AD1804" s="86"/>
    </row>
    <row r="1805" spans="27:30" x14ac:dyDescent="0.2">
      <c r="AA1805" s="86"/>
      <c r="AC1805" s="86"/>
      <c r="AD1805" s="86"/>
    </row>
    <row r="1806" spans="27:30" x14ac:dyDescent="0.2">
      <c r="AA1806" s="86"/>
      <c r="AC1806" s="86"/>
      <c r="AD1806" s="86"/>
    </row>
    <row r="1807" spans="27:30" x14ac:dyDescent="0.2">
      <c r="AA1807" s="86"/>
      <c r="AC1807" s="86"/>
      <c r="AD1807" s="86"/>
    </row>
    <row r="1808" spans="27:30" x14ac:dyDescent="0.2">
      <c r="AA1808" s="86"/>
      <c r="AC1808" s="86"/>
      <c r="AD1808" s="86"/>
    </row>
    <row r="1809" spans="27:30" x14ac:dyDescent="0.2">
      <c r="AA1809" s="86"/>
      <c r="AC1809" s="86"/>
      <c r="AD1809" s="86"/>
    </row>
    <row r="1810" spans="27:30" x14ac:dyDescent="0.2">
      <c r="AA1810" s="86"/>
      <c r="AC1810" s="86"/>
      <c r="AD1810" s="86"/>
    </row>
    <row r="1811" spans="27:30" x14ac:dyDescent="0.2">
      <c r="AA1811" s="86"/>
      <c r="AC1811" s="86"/>
      <c r="AD1811" s="86"/>
    </row>
    <row r="1812" spans="27:30" x14ac:dyDescent="0.2">
      <c r="AA1812" s="86"/>
      <c r="AC1812" s="86"/>
      <c r="AD1812" s="86"/>
    </row>
    <row r="1813" spans="27:30" x14ac:dyDescent="0.2">
      <c r="AA1813" s="86"/>
      <c r="AC1813" s="86"/>
      <c r="AD1813" s="86"/>
    </row>
    <row r="1814" spans="27:30" x14ac:dyDescent="0.2">
      <c r="AA1814" s="86"/>
      <c r="AC1814" s="86"/>
      <c r="AD1814" s="86"/>
    </row>
    <row r="1815" spans="27:30" x14ac:dyDescent="0.2">
      <c r="AA1815" s="86"/>
      <c r="AC1815" s="86"/>
      <c r="AD1815" s="86"/>
    </row>
    <row r="1816" spans="27:30" x14ac:dyDescent="0.2">
      <c r="AA1816" s="86"/>
      <c r="AC1816" s="86"/>
      <c r="AD1816" s="86"/>
    </row>
    <row r="1817" spans="27:30" x14ac:dyDescent="0.2">
      <c r="AA1817" s="86"/>
      <c r="AC1817" s="86"/>
      <c r="AD1817" s="86"/>
    </row>
    <row r="1818" spans="27:30" x14ac:dyDescent="0.2">
      <c r="AA1818" s="86"/>
      <c r="AC1818" s="86"/>
      <c r="AD1818" s="86"/>
    </row>
    <row r="1819" spans="27:30" x14ac:dyDescent="0.2">
      <c r="AA1819" s="86"/>
      <c r="AC1819" s="86"/>
      <c r="AD1819" s="86"/>
    </row>
    <row r="1820" spans="27:30" x14ac:dyDescent="0.2">
      <c r="AA1820" s="86"/>
      <c r="AC1820" s="86"/>
      <c r="AD1820" s="86"/>
    </row>
    <row r="1821" spans="27:30" x14ac:dyDescent="0.2">
      <c r="AA1821" s="86"/>
      <c r="AC1821" s="86"/>
      <c r="AD1821" s="86"/>
    </row>
    <row r="1822" spans="27:30" x14ac:dyDescent="0.2">
      <c r="AA1822" s="86"/>
      <c r="AC1822" s="86"/>
      <c r="AD1822" s="86"/>
    </row>
    <row r="1823" spans="27:30" x14ac:dyDescent="0.2">
      <c r="AA1823" s="86"/>
      <c r="AC1823" s="86"/>
      <c r="AD1823" s="86"/>
    </row>
    <row r="1824" spans="27:30" x14ac:dyDescent="0.2">
      <c r="AA1824" s="86"/>
      <c r="AC1824" s="86"/>
      <c r="AD1824" s="86"/>
    </row>
    <row r="1825" spans="27:30" x14ac:dyDescent="0.2">
      <c r="AA1825" s="86"/>
      <c r="AC1825" s="86"/>
      <c r="AD1825" s="86"/>
    </row>
    <row r="1826" spans="27:30" x14ac:dyDescent="0.2">
      <c r="AA1826" s="86"/>
      <c r="AC1826" s="86"/>
      <c r="AD1826" s="86"/>
    </row>
    <row r="1827" spans="27:30" x14ac:dyDescent="0.2">
      <c r="AA1827" s="86"/>
      <c r="AC1827" s="86"/>
      <c r="AD1827" s="86"/>
    </row>
    <row r="1828" spans="27:30" x14ac:dyDescent="0.2">
      <c r="AA1828" s="86"/>
      <c r="AC1828" s="86"/>
      <c r="AD1828" s="86"/>
    </row>
    <row r="1829" spans="27:30" x14ac:dyDescent="0.2">
      <c r="AA1829" s="86"/>
      <c r="AC1829" s="86"/>
      <c r="AD1829" s="86"/>
    </row>
    <row r="1830" spans="27:30" x14ac:dyDescent="0.2">
      <c r="AA1830" s="86"/>
      <c r="AC1830" s="86"/>
      <c r="AD1830" s="86"/>
    </row>
    <row r="1831" spans="27:30" x14ac:dyDescent="0.2">
      <c r="AA1831" s="86"/>
      <c r="AC1831" s="86"/>
      <c r="AD1831" s="86"/>
    </row>
    <row r="1832" spans="27:30" x14ac:dyDescent="0.2">
      <c r="AA1832" s="86"/>
      <c r="AC1832" s="86"/>
      <c r="AD1832" s="86"/>
    </row>
    <row r="1833" spans="27:30" x14ac:dyDescent="0.2">
      <c r="AA1833" s="86"/>
      <c r="AC1833" s="86"/>
      <c r="AD1833" s="86"/>
    </row>
    <row r="1834" spans="27:30" x14ac:dyDescent="0.2">
      <c r="AA1834" s="86"/>
      <c r="AC1834" s="86"/>
      <c r="AD1834" s="86"/>
    </row>
    <row r="1835" spans="27:30" x14ac:dyDescent="0.2">
      <c r="AA1835" s="86"/>
      <c r="AC1835" s="86"/>
      <c r="AD1835" s="86"/>
    </row>
    <row r="1836" spans="27:30" x14ac:dyDescent="0.2">
      <c r="AA1836" s="86"/>
      <c r="AC1836" s="86"/>
      <c r="AD1836" s="86"/>
    </row>
    <row r="1837" spans="27:30" x14ac:dyDescent="0.2">
      <c r="AA1837" s="86"/>
      <c r="AC1837" s="86"/>
      <c r="AD1837" s="86"/>
    </row>
    <row r="1838" spans="27:30" x14ac:dyDescent="0.2">
      <c r="AA1838" s="86"/>
      <c r="AC1838" s="86"/>
      <c r="AD1838" s="86"/>
    </row>
    <row r="1839" spans="27:30" x14ac:dyDescent="0.2">
      <c r="AA1839" s="86"/>
      <c r="AC1839" s="86"/>
      <c r="AD1839" s="86"/>
    </row>
    <row r="1840" spans="27:30" x14ac:dyDescent="0.2">
      <c r="AA1840" s="86"/>
      <c r="AC1840" s="86"/>
      <c r="AD1840" s="86"/>
    </row>
    <row r="1841" spans="27:30" x14ac:dyDescent="0.2">
      <c r="AA1841" s="86"/>
      <c r="AC1841" s="86"/>
      <c r="AD1841" s="86"/>
    </row>
    <row r="1842" spans="27:30" x14ac:dyDescent="0.2">
      <c r="AA1842" s="86"/>
      <c r="AC1842" s="86"/>
      <c r="AD1842" s="86"/>
    </row>
    <row r="1843" spans="27:30" x14ac:dyDescent="0.2">
      <c r="AA1843" s="86"/>
      <c r="AC1843" s="86"/>
      <c r="AD1843" s="86"/>
    </row>
    <row r="1844" spans="27:30" x14ac:dyDescent="0.2">
      <c r="AA1844" s="86"/>
      <c r="AC1844" s="86"/>
      <c r="AD1844" s="86"/>
    </row>
    <row r="1845" spans="27:30" x14ac:dyDescent="0.2">
      <c r="AA1845" s="86"/>
      <c r="AC1845" s="86"/>
      <c r="AD1845" s="86"/>
    </row>
    <row r="1846" spans="27:30" x14ac:dyDescent="0.2">
      <c r="AA1846" s="86"/>
      <c r="AC1846" s="86"/>
      <c r="AD1846" s="86"/>
    </row>
    <row r="1847" spans="27:30" x14ac:dyDescent="0.2">
      <c r="AA1847" s="86"/>
      <c r="AC1847" s="86"/>
      <c r="AD1847" s="86"/>
    </row>
    <row r="1848" spans="27:30" x14ac:dyDescent="0.2">
      <c r="AA1848" s="86"/>
      <c r="AC1848" s="86"/>
      <c r="AD1848" s="86"/>
    </row>
    <row r="1849" spans="27:30" x14ac:dyDescent="0.2">
      <c r="AA1849" s="86"/>
      <c r="AC1849" s="86"/>
      <c r="AD1849" s="86"/>
    </row>
    <row r="1850" spans="27:30" x14ac:dyDescent="0.2">
      <c r="AA1850" s="86"/>
      <c r="AC1850" s="86"/>
      <c r="AD1850" s="86"/>
    </row>
    <row r="1851" spans="27:30" x14ac:dyDescent="0.2">
      <c r="AA1851" s="86"/>
      <c r="AC1851" s="86"/>
      <c r="AD1851" s="86"/>
    </row>
    <row r="1852" spans="27:30" x14ac:dyDescent="0.2">
      <c r="AA1852" s="86"/>
      <c r="AC1852" s="86"/>
      <c r="AD1852" s="86"/>
    </row>
    <row r="1853" spans="27:30" x14ac:dyDescent="0.2">
      <c r="AA1853" s="86"/>
      <c r="AC1853" s="86"/>
      <c r="AD1853" s="86"/>
    </row>
    <row r="1854" spans="27:30" x14ac:dyDescent="0.2">
      <c r="AA1854" s="86"/>
      <c r="AC1854" s="86"/>
      <c r="AD1854" s="86"/>
    </row>
    <row r="1855" spans="27:30" x14ac:dyDescent="0.2">
      <c r="AA1855" s="86"/>
      <c r="AC1855" s="86"/>
      <c r="AD1855" s="86"/>
    </row>
    <row r="1856" spans="27:30" x14ac:dyDescent="0.2">
      <c r="AA1856" s="86"/>
      <c r="AC1856" s="86"/>
      <c r="AD1856" s="86"/>
    </row>
    <row r="1857" spans="27:30" x14ac:dyDescent="0.2">
      <c r="AA1857" s="86"/>
      <c r="AC1857" s="86"/>
      <c r="AD1857" s="86"/>
    </row>
    <row r="1858" spans="27:30" x14ac:dyDescent="0.2">
      <c r="AA1858" s="86"/>
      <c r="AC1858" s="86"/>
      <c r="AD1858" s="86"/>
    </row>
    <row r="1859" spans="27:30" x14ac:dyDescent="0.2">
      <c r="AA1859" s="86"/>
      <c r="AC1859" s="86"/>
      <c r="AD1859" s="86"/>
    </row>
    <row r="1860" spans="27:30" x14ac:dyDescent="0.2">
      <c r="AA1860" s="86"/>
      <c r="AC1860" s="86"/>
      <c r="AD1860" s="86"/>
    </row>
    <row r="1861" spans="27:30" x14ac:dyDescent="0.2">
      <c r="AA1861" s="86"/>
      <c r="AC1861" s="86"/>
      <c r="AD1861" s="86"/>
    </row>
    <row r="1862" spans="27:30" x14ac:dyDescent="0.2">
      <c r="AA1862" s="86"/>
      <c r="AC1862" s="86"/>
      <c r="AD1862" s="86"/>
    </row>
    <row r="1863" spans="27:30" x14ac:dyDescent="0.2">
      <c r="AA1863" s="86"/>
      <c r="AC1863" s="86"/>
      <c r="AD1863" s="86"/>
    </row>
    <row r="1864" spans="27:30" x14ac:dyDescent="0.2">
      <c r="AA1864" s="86"/>
      <c r="AC1864" s="86"/>
      <c r="AD1864" s="86"/>
    </row>
    <row r="1865" spans="27:30" x14ac:dyDescent="0.2">
      <c r="AA1865" s="86"/>
      <c r="AC1865" s="86"/>
      <c r="AD1865" s="86"/>
    </row>
    <row r="1866" spans="27:30" x14ac:dyDescent="0.2">
      <c r="AA1866" s="86"/>
      <c r="AC1866" s="86"/>
      <c r="AD1866" s="86"/>
    </row>
    <row r="1867" spans="27:30" x14ac:dyDescent="0.2">
      <c r="AA1867" s="86"/>
      <c r="AC1867" s="86"/>
      <c r="AD1867" s="86"/>
    </row>
    <row r="1868" spans="27:30" x14ac:dyDescent="0.2">
      <c r="AA1868" s="86"/>
      <c r="AC1868" s="86"/>
      <c r="AD1868" s="86"/>
    </row>
    <row r="1869" spans="27:30" x14ac:dyDescent="0.2">
      <c r="AA1869" s="86"/>
      <c r="AC1869" s="86"/>
      <c r="AD1869" s="86"/>
    </row>
    <row r="1870" spans="27:30" x14ac:dyDescent="0.2">
      <c r="AA1870" s="86"/>
      <c r="AC1870" s="86"/>
      <c r="AD1870" s="86"/>
    </row>
    <row r="1871" spans="27:30" x14ac:dyDescent="0.2">
      <c r="AA1871" s="86"/>
      <c r="AC1871" s="86"/>
      <c r="AD1871" s="86"/>
    </row>
    <row r="1872" spans="27:30" x14ac:dyDescent="0.2">
      <c r="AA1872" s="86"/>
      <c r="AC1872" s="86"/>
      <c r="AD1872" s="86"/>
    </row>
    <row r="1873" spans="27:30" x14ac:dyDescent="0.2">
      <c r="AA1873" s="86"/>
      <c r="AC1873" s="86"/>
      <c r="AD1873" s="86"/>
    </row>
    <row r="1874" spans="27:30" x14ac:dyDescent="0.2">
      <c r="AA1874" s="86"/>
      <c r="AC1874" s="86"/>
      <c r="AD1874" s="86"/>
    </row>
    <row r="1875" spans="27:30" x14ac:dyDescent="0.2">
      <c r="AA1875" s="86"/>
      <c r="AC1875" s="86"/>
      <c r="AD1875" s="86"/>
    </row>
    <row r="1876" spans="27:30" x14ac:dyDescent="0.2">
      <c r="AA1876" s="86"/>
      <c r="AC1876" s="86"/>
      <c r="AD1876" s="86"/>
    </row>
    <row r="1877" spans="27:30" x14ac:dyDescent="0.2">
      <c r="AA1877" s="86"/>
      <c r="AC1877" s="86"/>
      <c r="AD1877" s="86"/>
    </row>
    <row r="1878" spans="27:30" x14ac:dyDescent="0.2">
      <c r="AA1878" s="86"/>
      <c r="AC1878" s="86"/>
      <c r="AD1878" s="86"/>
    </row>
    <row r="1879" spans="27:30" x14ac:dyDescent="0.2">
      <c r="AA1879" s="86"/>
      <c r="AC1879" s="86"/>
      <c r="AD1879" s="86"/>
    </row>
    <row r="1880" spans="27:30" x14ac:dyDescent="0.2">
      <c r="AA1880" s="86"/>
      <c r="AC1880" s="86"/>
      <c r="AD1880" s="86"/>
    </row>
    <row r="1881" spans="27:30" x14ac:dyDescent="0.2">
      <c r="AA1881" s="86"/>
      <c r="AC1881" s="86"/>
      <c r="AD1881" s="86"/>
    </row>
    <row r="1882" spans="27:30" x14ac:dyDescent="0.2">
      <c r="AA1882" s="86"/>
      <c r="AC1882" s="86"/>
      <c r="AD1882" s="86"/>
    </row>
    <row r="1883" spans="27:30" x14ac:dyDescent="0.2">
      <c r="AA1883" s="86"/>
      <c r="AC1883" s="86"/>
      <c r="AD1883" s="86"/>
    </row>
    <row r="1884" spans="27:30" x14ac:dyDescent="0.2">
      <c r="AA1884" s="86"/>
      <c r="AC1884" s="86"/>
      <c r="AD1884" s="86"/>
    </row>
    <row r="1885" spans="27:30" x14ac:dyDescent="0.2">
      <c r="AA1885" s="86"/>
      <c r="AC1885" s="86"/>
      <c r="AD1885" s="86"/>
    </row>
    <row r="1886" spans="27:30" x14ac:dyDescent="0.2">
      <c r="AA1886" s="86"/>
      <c r="AC1886" s="86"/>
      <c r="AD1886" s="86"/>
    </row>
    <row r="1887" spans="27:30" x14ac:dyDescent="0.2">
      <c r="AA1887" s="86"/>
      <c r="AC1887" s="86"/>
      <c r="AD1887" s="86"/>
    </row>
    <row r="1888" spans="27:30" x14ac:dyDescent="0.2">
      <c r="AA1888" s="86"/>
      <c r="AC1888" s="86"/>
      <c r="AD1888" s="86"/>
    </row>
    <row r="1889" spans="27:30" x14ac:dyDescent="0.2">
      <c r="AA1889" s="86"/>
      <c r="AC1889" s="86"/>
      <c r="AD1889" s="86"/>
    </row>
    <row r="1890" spans="27:30" x14ac:dyDescent="0.2">
      <c r="AA1890" s="86"/>
      <c r="AC1890" s="86"/>
      <c r="AD1890" s="86"/>
    </row>
    <row r="1891" spans="27:30" x14ac:dyDescent="0.2">
      <c r="AA1891" s="86"/>
      <c r="AC1891" s="86"/>
      <c r="AD1891" s="86"/>
    </row>
    <row r="1892" spans="27:30" x14ac:dyDescent="0.2">
      <c r="AA1892" s="86"/>
      <c r="AC1892" s="86"/>
      <c r="AD1892" s="86"/>
    </row>
    <row r="1893" spans="27:30" x14ac:dyDescent="0.2">
      <c r="AA1893" s="86"/>
      <c r="AC1893" s="86"/>
      <c r="AD1893" s="86"/>
    </row>
    <row r="1894" spans="27:30" x14ac:dyDescent="0.2">
      <c r="AA1894" s="86"/>
      <c r="AC1894" s="86"/>
      <c r="AD1894" s="86"/>
    </row>
    <row r="1895" spans="27:30" x14ac:dyDescent="0.2">
      <c r="AA1895" s="86"/>
      <c r="AC1895" s="86"/>
      <c r="AD1895" s="86"/>
    </row>
    <row r="1896" spans="27:30" x14ac:dyDescent="0.2">
      <c r="AA1896" s="86"/>
      <c r="AC1896" s="86"/>
      <c r="AD1896" s="86"/>
    </row>
    <row r="1897" spans="27:30" x14ac:dyDescent="0.2">
      <c r="AA1897" s="86"/>
      <c r="AC1897" s="86"/>
      <c r="AD1897" s="86"/>
    </row>
    <row r="1898" spans="27:30" x14ac:dyDescent="0.2">
      <c r="AA1898" s="86"/>
      <c r="AC1898" s="86"/>
      <c r="AD1898" s="86"/>
    </row>
    <row r="1899" spans="27:30" x14ac:dyDescent="0.2">
      <c r="AA1899" s="86"/>
      <c r="AC1899" s="86"/>
      <c r="AD1899" s="86"/>
    </row>
    <row r="1900" spans="27:30" x14ac:dyDescent="0.2">
      <c r="AA1900" s="86"/>
      <c r="AC1900" s="86"/>
      <c r="AD1900" s="86"/>
    </row>
    <row r="1901" spans="27:30" x14ac:dyDescent="0.2">
      <c r="AA1901" s="86"/>
      <c r="AC1901" s="86"/>
      <c r="AD1901" s="86"/>
    </row>
    <row r="1902" spans="27:30" x14ac:dyDescent="0.2">
      <c r="AA1902" s="86"/>
      <c r="AC1902" s="86"/>
      <c r="AD1902" s="86"/>
    </row>
    <row r="1903" spans="27:30" x14ac:dyDescent="0.2">
      <c r="AA1903" s="86"/>
      <c r="AC1903" s="86"/>
      <c r="AD1903" s="86"/>
    </row>
    <row r="1904" spans="27:30" x14ac:dyDescent="0.2">
      <c r="AA1904" s="86"/>
      <c r="AC1904" s="86"/>
      <c r="AD1904" s="86"/>
    </row>
    <row r="1905" spans="27:30" x14ac:dyDescent="0.2">
      <c r="AA1905" s="86"/>
      <c r="AC1905" s="86"/>
      <c r="AD1905" s="86"/>
    </row>
    <row r="1906" spans="27:30" x14ac:dyDescent="0.2">
      <c r="AA1906" s="86"/>
      <c r="AC1906" s="86"/>
      <c r="AD1906" s="86"/>
    </row>
    <row r="1907" spans="27:30" x14ac:dyDescent="0.2">
      <c r="AA1907" s="86"/>
      <c r="AC1907" s="86"/>
      <c r="AD1907" s="86"/>
    </row>
    <row r="1908" spans="27:30" x14ac:dyDescent="0.2">
      <c r="AA1908" s="86"/>
      <c r="AC1908" s="86"/>
      <c r="AD1908" s="86"/>
    </row>
    <row r="1909" spans="27:30" x14ac:dyDescent="0.2">
      <c r="AA1909" s="86"/>
      <c r="AC1909" s="86"/>
      <c r="AD1909" s="86"/>
    </row>
    <row r="1910" spans="27:30" x14ac:dyDescent="0.2">
      <c r="AA1910" s="86"/>
      <c r="AC1910" s="86"/>
      <c r="AD1910" s="86"/>
    </row>
    <row r="1911" spans="27:30" x14ac:dyDescent="0.2">
      <c r="AA1911" s="86"/>
      <c r="AC1911" s="86"/>
      <c r="AD1911" s="86"/>
    </row>
    <row r="1912" spans="27:30" x14ac:dyDescent="0.2">
      <c r="AA1912" s="86"/>
      <c r="AC1912" s="86"/>
      <c r="AD1912" s="86"/>
    </row>
    <row r="1913" spans="27:30" x14ac:dyDescent="0.2">
      <c r="AA1913" s="86"/>
      <c r="AC1913" s="86"/>
      <c r="AD1913" s="86"/>
    </row>
    <row r="1914" spans="27:30" x14ac:dyDescent="0.2">
      <c r="AA1914" s="86"/>
      <c r="AC1914" s="86"/>
      <c r="AD1914" s="86"/>
    </row>
    <row r="1915" spans="27:30" x14ac:dyDescent="0.2">
      <c r="AA1915" s="86"/>
      <c r="AC1915" s="86"/>
      <c r="AD1915" s="86"/>
    </row>
    <row r="1916" spans="27:30" x14ac:dyDescent="0.2">
      <c r="AA1916" s="86"/>
      <c r="AC1916" s="86"/>
      <c r="AD1916" s="86"/>
    </row>
    <row r="1917" spans="27:30" x14ac:dyDescent="0.2">
      <c r="AA1917" s="86"/>
      <c r="AC1917" s="86"/>
      <c r="AD1917" s="86"/>
    </row>
    <row r="1918" spans="27:30" x14ac:dyDescent="0.2">
      <c r="AA1918" s="86"/>
      <c r="AC1918" s="86"/>
      <c r="AD1918" s="86"/>
    </row>
    <row r="1919" spans="27:30" x14ac:dyDescent="0.2">
      <c r="AA1919" s="86"/>
      <c r="AC1919" s="86"/>
      <c r="AD1919" s="86"/>
    </row>
    <row r="1920" spans="27:30" x14ac:dyDescent="0.2">
      <c r="AA1920" s="86"/>
      <c r="AC1920" s="86"/>
      <c r="AD1920" s="86"/>
    </row>
    <row r="1921" spans="27:30" x14ac:dyDescent="0.2">
      <c r="AA1921" s="86"/>
      <c r="AC1921" s="86"/>
      <c r="AD1921" s="86"/>
    </row>
    <row r="1922" spans="27:30" x14ac:dyDescent="0.2">
      <c r="AA1922" s="86"/>
      <c r="AC1922" s="86"/>
      <c r="AD1922" s="86"/>
    </row>
    <row r="1923" spans="27:30" x14ac:dyDescent="0.2">
      <c r="AA1923" s="86"/>
      <c r="AC1923" s="86"/>
      <c r="AD1923" s="86"/>
    </row>
    <row r="1924" spans="27:30" x14ac:dyDescent="0.2">
      <c r="AA1924" s="86"/>
      <c r="AC1924" s="86"/>
      <c r="AD1924" s="86"/>
    </row>
    <row r="1925" spans="27:30" x14ac:dyDescent="0.2">
      <c r="AA1925" s="86"/>
      <c r="AC1925" s="86"/>
      <c r="AD1925" s="86"/>
    </row>
    <row r="1926" spans="27:30" x14ac:dyDescent="0.2">
      <c r="AA1926" s="86"/>
      <c r="AC1926" s="86"/>
      <c r="AD1926" s="86"/>
    </row>
    <row r="1927" spans="27:30" x14ac:dyDescent="0.2">
      <c r="AA1927" s="86"/>
      <c r="AC1927" s="86"/>
      <c r="AD1927" s="86"/>
    </row>
    <row r="1928" spans="27:30" x14ac:dyDescent="0.2">
      <c r="AA1928" s="86"/>
      <c r="AC1928" s="86"/>
      <c r="AD1928" s="86"/>
    </row>
    <row r="1929" spans="27:30" x14ac:dyDescent="0.2">
      <c r="AA1929" s="86"/>
      <c r="AC1929" s="86"/>
      <c r="AD1929" s="86"/>
    </row>
    <row r="1930" spans="27:30" x14ac:dyDescent="0.2">
      <c r="AA1930" s="86"/>
      <c r="AC1930" s="86"/>
      <c r="AD1930" s="86"/>
    </row>
    <row r="1931" spans="27:30" x14ac:dyDescent="0.2">
      <c r="AA1931" s="86"/>
      <c r="AC1931" s="86"/>
      <c r="AD1931" s="86"/>
    </row>
    <row r="1932" spans="27:30" x14ac:dyDescent="0.2">
      <c r="AA1932" s="86"/>
      <c r="AC1932" s="86"/>
      <c r="AD1932" s="86"/>
    </row>
    <row r="1933" spans="27:30" x14ac:dyDescent="0.2">
      <c r="AA1933" s="86"/>
      <c r="AC1933" s="86"/>
      <c r="AD1933" s="86"/>
    </row>
    <row r="1934" spans="27:30" x14ac:dyDescent="0.2">
      <c r="AA1934" s="86"/>
      <c r="AC1934" s="86"/>
      <c r="AD1934" s="86"/>
    </row>
    <row r="1935" spans="27:30" x14ac:dyDescent="0.2">
      <c r="AA1935" s="86"/>
      <c r="AC1935" s="86"/>
      <c r="AD1935" s="86"/>
    </row>
    <row r="1936" spans="27:30" x14ac:dyDescent="0.2">
      <c r="AA1936" s="86"/>
      <c r="AC1936" s="86"/>
      <c r="AD1936" s="86"/>
    </row>
    <row r="1937" spans="27:30" x14ac:dyDescent="0.2">
      <c r="AA1937" s="86"/>
      <c r="AC1937" s="86"/>
      <c r="AD1937" s="86"/>
    </row>
    <row r="1938" spans="27:30" x14ac:dyDescent="0.2">
      <c r="AA1938" s="86"/>
      <c r="AC1938" s="86"/>
      <c r="AD1938" s="86"/>
    </row>
    <row r="1939" spans="27:30" x14ac:dyDescent="0.2">
      <c r="AA1939" s="86"/>
      <c r="AC1939" s="86"/>
      <c r="AD1939" s="86"/>
    </row>
    <row r="1940" spans="27:30" x14ac:dyDescent="0.2">
      <c r="AA1940" s="86"/>
      <c r="AC1940" s="86"/>
      <c r="AD1940" s="86"/>
    </row>
    <row r="1941" spans="27:30" x14ac:dyDescent="0.2">
      <c r="AA1941" s="86"/>
      <c r="AC1941" s="86"/>
      <c r="AD1941" s="86"/>
    </row>
    <row r="1942" spans="27:30" x14ac:dyDescent="0.2">
      <c r="AA1942" s="86"/>
      <c r="AC1942" s="86"/>
      <c r="AD1942" s="86"/>
    </row>
    <row r="1943" spans="27:30" x14ac:dyDescent="0.2">
      <c r="AA1943" s="86"/>
      <c r="AC1943" s="86"/>
      <c r="AD1943" s="86"/>
    </row>
    <row r="1944" spans="27:30" x14ac:dyDescent="0.2">
      <c r="AA1944" s="86"/>
      <c r="AC1944" s="86"/>
      <c r="AD1944" s="86"/>
    </row>
    <row r="1945" spans="27:30" x14ac:dyDescent="0.2">
      <c r="AA1945" s="86"/>
      <c r="AC1945" s="86"/>
      <c r="AD1945" s="86"/>
    </row>
    <row r="1946" spans="27:30" x14ac:dyDescent="0.2">
      <c r="AA1946" s="86"/>
      <c r="AC1946" s="86"/>
      <c r="AD1946" s="86"/>
    </row>
    <row r="1947" spans="27:30" x14ac:dyDescent="0.2">
      <c r="AA1947" s="86"/>
      <c r="AC1947" s="86"/>
      <c r="AD1947" s="86"/>
    </row>
    <row r="1948" spans="27:30" x14ac:dyDescent="0.2">
      <c r="AA1948" s="86"/>
      <c r="AC1948" s="86"/>
      <c r="AD1948" s="86"/>
    </row>
    <row r="1949" spans="27:30" x14ac:dyDescent="0.2">
      <c r="AA1949" s="86"/>
      <c r="AC1949" s="86"/>
      <c r="AD1949" s="86"/>
    </row>
    <row r="1950" spans="27:30" x14ac:dyDescent="0.2">
      <c r="AA1950" s="86"/>
      <c r="AC1950" s="86"/>
      <c r="AD1950" s="86"/>
    </row>
    <row r="1951" spans="27:30" x14ac:dyDescent="0.2">
      <c r="AA1951" s="86"/>
      <c r="AC1951" s="86"/>
      <c r="AD1951" s="86"/>
    </row>
    <row r="1952" spans="27:30" x14ac:dyDescent="0.2">
      <c r="AA1952" s="86"/>
      <c r="AC1952" s="86"/>
      <c r="AD1952" s="86"/>
    </row>
    <row r="1953" spans="27:30" x14ac:dyDescent="0.2">
      <c r="AA1953" s="86"/>
      <c r="AC1953" s="86"/>
      <c r="AD1953" s="86"/>
    </row>
    <row r="1954" spans="27:30" x14ac:dyDescent="0.2">
      <c r="AA1954" s="86"/>
      <c r="AC1954" s="86"/>
      <c r="AD1954" s="86"/>
    </row>
    <row r="1955" spans="27:30" x14ac:dyDescent="0.2">
      <c r="AA1955" s="86"/>
      <c r="AC1955" s="86"/>
      <c r="AD1955" s="86"/>
    </row>
    <row r="1956" spans="27:30" x14ac:dyDescent="0.2">
      <c r="AA1956" s="86"/>
      <c r="AC1956" s="86"/>
      <c r="AD1956" s="86"/>
    </row>
    <row r="1957" spans="27:30" x14ac:dyDescent="0.2">
      <c r="AA1957" s="86"/>
      <c r="AC1957" s="86"/>
      <c r="AD1957" s="86"/>
    </row>
    <row r="1958" spans="27:30" x14ac:dyDescent="0.2">
      <c r="AA1958" s="86"/>
      <c r="AC1958" s="86"/>
      <c r="AD1958" s="86"/>
    </row>
    <row r="1959" spans="27:30" x14ac:dyDescent="0.2">
      <c r="AA1959" s="86"/>
      <c r="AC1959" s="86"/>
      <c r="AD1959" s="86"/>
    </row>
    <row r="1960" spans="27:30" x14ac:dyDescent="0.2">
      <c r="AA1960" s="86"/>
      <c r="AC1960" s="86"/>
      <c r="AD1960" s="86"/>
    </row>
    <row r="1961" spans="27:30" x14ac:dyDescent="0.2">
      <c r="AA1961" s="86"/>
      <c r="AC1961" s="86"/>
      <c r="AD1961" s="86"/>
    </row>
    <row r="1962" spans="27:30" x14ac:dyDescent="0.2">
      <c r="AA1962" s="86"/>
      <c r="AC1962" s="86"/>
      <c r="AD1962" s="86"/>
    </row>
    <row r="1963" spans="27:30" x14ac:dyDescent="0.2">
      <c r="AA1963" s="86"/>
      <c r="AC1963" s="86"/>
      <c r="AD1963" s="86"/>
    </row>
    <row r="1964" spans="27:30" x14ac:dyDescent="0.2">
      <c r="AA1964" s="86"/>
      <c r="AC1964" s="86"/>
      <c r="AD1964" s="86"/>
    </row>
    <row r="1965" spans="27:30" x14ac:dyDescent="0.2">
      <c r="AA1965" s="86"/>
      <c r="AC1965" s="86"/>
      <c r="AD1965" s="86"/>
    </row>
    <row r="1966" spans="27:30" x14ac:dyDescent="0.2">
      <c r="AA1966" s="86"/>
      <c r="AC1966" s="86"/>
      <c r="AD1966" s="86"/>
    </row>
    <row r="1967" spans="27:30" x14ac:dyDescent="0.2">
      <c r="AA1967" s="86"/>
      <c r="AC1967" s="86"/>
      <c r="AD1967" s="86"/>
    </row>
    <row r="1968" spans="27:30" x14ac:dyDescent="0.2">
      <c r="AA1968" s="86"/>
      <c r="AC1968" s="86"/>
      <c r="AD1968" s="86"/>
    </row>
    <row r="1969" spans="27:30" x14ac:dyDescent="0.2">
      <c r="AA1969" s="86"/>
      <c r="AC1969" s="86"/>
      <c r="AD1969" s="86"/>
    </row>
    <row r="1970" spans="27:30" x14ac:dyDescent="0.2">
      <c r="AA1970" s="86"/>
      <c r="AC1970" s="86"/>
      <c r="AD1970" s="86"/>
    </row>
    <row r="1971" spans="27:30" x14ac:dyDescent="0.2">
      <c r="AA1971" s="86"/>
      <c r="AC1971" s="86"/>
      <c r="AD1971" s="86"/>
    </row>
    <row r="1972" spans="27:30" x14ac:dyDescent="0.2">
      <c r="AA1972" s="86"/>
      <c r="AC1972" s="86"/>
      <c r="AD1972" s="86"/>
    </row>
    <row r="1973" spans="27:30" x14ac:dyDescent="0.2">
      <c r="AA1973" s="86"/>
      <c r="AC1973" s="86"/>
      <c r="AD1973" s="86"/>
    </row>
    <row r="1974" spans="27:30" x14ac:dyDescent="0.2">
      <c r="AA1974" s="86"/>
      <c r="AC1974" s="86"/>
      <c r="AD1974" s="86"/>
    </row>
    <row r="1975" spans="27:30" x14ac:dyDescent="0.2">
      <c r="AA1975" s="86"/>
      <c r="AC1975" s="86"/>
      <c r="AD1975" s="86"/>
    </row>
    <row r="1976" spans="27:30" x14ac:dyDescent="0.2">
      <c r="AA1976" s="86"/>
      <c r="AC1976" s="86"/>
      <c r="AD1976" s="86"/>
    </row>
    <row r="1977" spans="27:30" x14ac:dyDescent="0.2">
      <c r="AA1977" s="86"/>
      <c r="AC1977" s="86"/>
      <c r="AD1977" s="86"/>
    </row>
    <row r="1978" spans="27:30" x14ac:dyDescent="0.2">
      <c r="AA1978" s="86"/>
      <c r="AC1978" s="86"/>
      <c r="AD1978" s="86"/>
    </row>
    <row r="1979" spans="27:30" x14ac:dyDescent="0.2">
      <c r="AA1979" s="86"/>
      <c r="AC1979" s="86"/>
      <c r="AD1979" s="86"/>
    </row>
    <row r="1980" spans="27:30" x14ac:dyDescent="0.2">
      <c r="AA1980" s="86"/>
      <c r="AC1980" s="86"/>
      <c r="AD1980" s="86"/>
    </row>
    <row r="1981" spans="27:30" x14ac:dyDescent="0.2">
      <c r="AA1981" s="86"/>
      <c r="AC1981" s="86"/>
      <c r="AD1981" s="86"/>
    </row>
    <row r="1982" spans="27:30" x14ac:dyDescent="0.2">
      <c r="AA1982" s="86"/>
      <c r="AC1982" s="86"/>
      <c r="AD1982" s="86"/>
    </row>
    <row r="1983" spans="27:30" x14ac:dyDescent="0.2">
      <c r="AA1983" s="86"/>
      <c r="AC1983" s="86"/>
      <c r="AD1983" s="86"/>
    </row>
    <row r="1984" spans="27:30" x14ac:dyDescent="0.2">
      <c r="AA1984" s="86"/>
      <c r="AC1984" s="86"/>
      <c r="AD1984" s="86"/>
    </row>
    <row r="1985" spans="27:30" x14ac:dyDescent="0.2">
      <c r="AA1985" s="86"/>
      <c r="AC1985" s="86"/>
      <c r="AD1985" s="86"/>
    </row>
    <row r="1986" spans="27:30" x14ac:dyDescent="0.2">
      <c r="AA1986" s="86"/>
      <c r="AC1986" s="86"/>
      <c r="AD1986" s="86"/>
    </row>
    <row r="1987" spans="27:30" x14ac:dyDescent="0.2">
      <c r="AA1987" s="86"/>
      <c r="AC1987" s="86"/>
      <c r="AD1987" s="86"/>
    </row>
    <row r="1988" spans="27:30" x14ac:dyDescent="0.2">
      <c r="AA1988" s="86"/>
      <c r="AC1988" s="86"/>
      <c r="AD1988" s="86"/>
    </row>
    <row r="1989" spans="27:30" x14ac:dyDescent="0.2">
      <c r="AA1989" s="86"/>
      <c r="AC1989" s="86"/>
      <c r="AD1989" s="86"/>
    </row>
    <row r="1990" spans="27:30" x14ac:dyDescent="0.2">
      <c r="AA1990" s="86"/>
      <c r="AC1990" s="86"/>
      <c r="AD1990" s="86"/>
    </row>
    <row r="1991" spans="27:30" x14ac:dyDescent="0.2">
      <c r="AA1991" s="86"/>
      <c r="AC1991" s="86"/>
      <c r="AD1991" s="86"/>
    </row>
    <row r="1992" spans="27:30" x14ac:dyDescent="0.2">
      <c r="AA1992" s="86"/>
      <c r="AC1992" s="86"/>
      <c r="AD1992" s="86"/>
    </row>
    <row r="1993" spans="27:30" x14ac:dyDescent="0.2">
      <c r="AA1993" s="86"/>
      <c r="AC1993" s="86"/>
      <c r="AD1993" s="86"/>
    </row>
    <row r="1994" spans="27:30" x14ac:dyDescent="0.2">
      <c r="AA1994" s="86"/>
      <c r="AC1994" s="86"/>
      <c r="AD1994" s="86"/>
    </row>
    <row r="1995" spans="27:30" x14ac:dyDescent="0.2">
      <c r="AA1995" s="86"/>
      <c r="AC1995" s="86"/>
      <c r="AD1995" s="86"/>
    </row>
    <row r="1996" spans="27:30" x14ac:dyDescent="0.2">
      <c r="AA1996" s="86"/>
      <c r="AC1996" s="86"/>
      <c r="AD1996" s="86"/>
    </row>
    <row r="1997" spans="27:30" x14ac:dyDescent="0.2">
      <c r="AA1997" s="86"/>
      <c r="AC1997" s="86"/>
      <c r="AD1997" s="86"/>
    </row>
    <row r="1998" spans="27:30" x14ac:dyDescent="0.2">
      <c r="AA1998" s="86"/>
      <c r="AC1998" s="86"/>
      <c r="AD1998" s="86"/>
    </row>
    <row r="1999" spans="27:30" x14ac:dyDescent="0.2">
      <c r="AA1999" s="86"/>
      <c r="AC1999" s="86"/>
      <c r="AD1999" s="86"/>
    </row>
    <row r="2000" spans="27:30" x14ac:dyDescent="0.2">
      <c r="AA2000" s="86"/>
      <c r="AC2000" s="86"/>
      <c r="AD2000" s="86"/>
    </row>
    <row r="2001" spans="27:30" x14ac:dyDescent="0.2">
      <c r="AA2001" s="86"/>
      <c r="AC2001" s="86"/>
      <c r="AD2001" s="86"/>
    </row>
    <row r="2002" spans="27:30" x14ac:dyDescent="0.2">
      <c r="AA2002" s="86"/>
      <c r="AC2002" s="86"/>
      <c r="AD2002" s="86"/>
    </row>
    <row r="2003" spans="27:30" x14ac:dyDescent="0.2">
      <c r="AA2003" s="86"/>
      <c r="AC2003" s="86"/>
      <c r="AD2003" s="86"/>
    </row>
    <row r="2004" spans="27:30" x14ac:dyDescent="0.2">
      <c r="AA2004" s="86"/>
      <c r="AC2004" s="86"/>
      <c r="AD2004" s="86"/>
    </row>
    <row r="2005" spans="27:30" x14ac:dyDescent="0.2">
      <c r="AA2005" s="86"/>
      <c r="AC2005" s="86"/>
      <c r="AD2005" s="86"/>
    </row>
    <row r="2006" spans="27:30" x14ac:dyDescent="0.2">
      <c r="AA2006" s="86"/>
      <c r="AC2006" s="86"/>
      <c r="AD2006" s="86"/>
    </row>
    <row r="2007" spans="27:30" x14ac:dyDescent="0.2">
      <c r="AA2007" s="86"/>
      <c r="AC2007" s="86"/>
      <c r="AD2007" s="86"/>
    </row>
    <row r="2008" spans="27:30" x14ac:dyDescent="0.2">
      <c r="AA2008" s="86"/>
      <c r="AC2008" s="86"/>
      <c r="AD2008" s="86"/>
    </row>
    <row r="2009" spans="27:30" x14ac:dyDescent="0.2">
      <c r="AA2009" s="86"/>
      <c r="AC2009" s="86"/>
      <c r="AD2009" s="86"/>
    </row>
    <row r="2010" spans="27:30" x14ac:dyDescent="0.2">
      <c r="AA2010" s="86"/>
      <c r="AC2010" s="86"/>
      <c r="AD2010" s="86"/>
    </row>
    <row r="2011" spans="27:30" x14ac:dyDescent="0.2">
      <c r="AA2011" s="86"/>
      <c r="AC2011" s="86"/>
      <c r="AD2011" s="86"/>
    </row>
    <row r="2012" spans="27:30" x14ac:dyDescent="0.2">
      <c r="AA2012" s="86"/>
      <c r="AC2012" s="86"/>
      <c r="AD2012" s="86"/>
    </row>
    <row r="2013" spans="27:30" x14ac:dyDescent="0.2">
      <c r="AA2013" s="86"/>
      <c r="AC2013" s="86"/>
      <c r="AD2013" s="86"/>
    </row>
    <row r="2014" spans="27:30" x14ac:dyDescent="0.2">
      <c r="AA2014" s="86"/>
      <c r="AC2014" s="86"/>
      <c r="AD2014" s="86"/>
    </row>
    <row r="2015" spans="27:30" x14ac:dyDescent="0.2">
      <c r="AA2015" s="86"/>
      <c r="AC2015" s="86"/>
      <c r="AD2015" s="86"/>
    </row>
    <row r="2016" spans="27:30" x14ac:dyDescent="0.2">
      <c r="AA2016" s="86"/>
      <c r="AC2016" s="86"/>
      <c r="AD2016" s="86"/>
    </row>
    <row r="2017" spans="27:30" x14ac:dyDescent="0.2">
      <c r="AA2017" s="86"/>
      <c r="AC2017" s="86"/>
      <c r="AD2017" s="86"/>
    </row>
    <row r="2018" spans="27:30" x14ac:dyDescent="0.2">
      <c r="AA2018" s="86"/>
      <c r="AC2018" s="86"/>
      <c r="AD2018" s="86"/>
    </row>
    <row r="2019" spans="27:30" x14ac:dyDescent="0.2">
      <c r="AA2019" s="86"/>
      <c r="AC2019" s="86"/>
      <c r="AD2019" s="86"/>
    </row>
    <row r="2020" spans="27:30" x14ac:dyDescent="0.2">
      <c r="AA2020" s="86"/>
      <c r="AC2020" s="86"/>
      <c r="AD2020" s="86"/>
    </row>
    <row r="2021" spans="27:30" x14ac:dyDescent="0.2">
      <c r="AA2021" s="86"/>
      <c r="AC2021" s="86"/>
      <c r="AD2021" s="86"/>
    </row>
    <row r="2022" spans="27:30" x14ac:dyDescent="0.2">
      <c r="AA2022" s="86"/>
      <c r="AC2022" s="86"/>
      <c r="AD2022" s="86"/>
    </row>
    <row r="2023" spans="27:30" x14ac:dyDescent="0.2">
      <c r="AA2023" s="86"/>
      <c r="AC2023" s="86"/>
      <c r="AD2023" s="86"/>
    </row>
    <row r="2024" spans="27:30" x14ac:dyDescent="0.2">
      <c r="AA2024" s="86"/>
      <c r="AC2024" s="86"/>
      <c r="AD2024" s="86"/>
    </row>
    <row r="2025" spans="27:30" x14ac:dyDescent="0.2">
      <c r="AA2025" s="86"/>
      <c r="AC2025" s="86"/>
      <c r="AD2025" s="86"/>
    </row>
    <row r="2026" spans="27:30" x14ac:dyDescent="0.2">
      <c r="AA2026" s="86"/>
      <c r="AC2026" s="86"/>
      <c r="AD2026" s="86"/>
    </row>
    <row r="2027" spans="27:30" x14ac:dyDescent="0.2">
      <c r="AA2027" s="86"/>
      <c r="AC2027" s="86"/>
      <c r="AD2027" s="86"/>
    </row>
    <row r="2028" spans="27:30" x14ac:dyDescent="0.2">
      <c r="AA2028" s="86"/>
      <c r="AC2028" s="86"/>
      <c r="AD2028" s="86"/>
    </row>
    <row r="2029" spans="27:30" x14ac:dyDescent="0.2">
      <c r="AA2029" s="86"/>
      <c r="AC2029" s="86"/>
      <c r="AD2029" s="86"/>
    </row>
    <row r="2030" spans="27:30" x14ac:dyDescent="0.2">
      <c r="AA2030" s="86"/>
      <c r="AC2030" s="86"/>
      <c r="AD2030" s="86"/>
    </row>
    <row r="2031" spans="27:30" x14ac:dyDescent="0.2">
      <c r="AA2031" s="86"/>
      <c r="AC2031" s="86"/>
      <c r="AD2031" s="86"/>
    </row>
    <row r="2032" spans="27:30" x14ac:dyDescent="0.2">
      <c r="AA2032" s="86"/>
      <c r="AC2032" s="86"/>
      <c r="AD2032" s="86"/>
    </row>
    <row r="2033" spans="27:30" x14ac:dyDescent="0.2">
      <c r="AA2033" s="86"/>
      <c r="AC2033" s="86"/>
      <c r="AD2033" s="86"/>
    </row>
    <row r="2034" spans="27:30" x14ac:dyDescent="0.2">
      <c r="AA2034" s="86"/>
      <c r="AC2034" s="86"/>
      <c r="AD2034" s="86"/>
    </row>
    <row r="2035" spans="27:30" x14ac:dyDescent="0.2">
      <c r="AA2035" s="86"/>
      <c r="AC2035" s="86"/>
      <c r="AD2035" s="86"/>
    </row>
    <row r="2036" spans="27:30" x14ac:dyDescent="0.2">
      <c r="AA2036" s="86"/>
      <c r="AC2036" s="86"/>
      <c r="AD2036" s="86"/>
    </row>
    <row r="2037" spans="27:30" x14ac:dyDescent="0.2">
      <c r="AA2037" s="86"/>
      <c r="AC2037" s="86"/>
      <c r="AD2037" s="86"/>
    </row>
    <row r="2038" spans="27:30" x14ac:dyDescent="0.2">
      <c r="AA2038" s="86"/>
      <c r="AC2038" s="86"/>
      <c r="AD2038" s="86"/>
    </row>
    <row r="2039" spans="27:30" x14ac:dyDescent="0.2">
      <c r="AA2039" s="86"/>
      <c r="AC2039" s="86"/>
      <c r="AD2039" s="86"/>
    </row>
    <row r="2040" spans="27:30" x14ac:dyDescent="0.2">
      <c r="AA2040" s="86"/>
      <c r="AC2040" s="86"/>
      <c r="AD2040" s="86"/>
    </row>
    <row r="2041" spans="27:30" x14ac:dyDescent="0.2">
      <c r="AA2041" s="86"/>
      <c r="AC2041" s="86"/>
      <c r="AD2041" s="86"/>
    </row>
    <row r="2042" spans="27:30" x14ac:dyDescent="0.2">
      <c r="AA2042" s="86"/>
      <c r="AC2042" s="86"/>
      <c r="AD2042" s="86"/>
    </row>
    <row r="2043" spans="27:30" x14ac:dyDescent="0.2">
      <c r="AA2043" s="86"/>
      <c r="AC2043" s="86"/>
      <c r="AD2043" s="86"/>
    </row>
    <row r="2044" spans="27:30" x14ac:dyDescent="0.2">
      <c r="AA2044" s="86"/>
      <c r="AC2044" s="86"/>
      <c r="AD2044" s="86"/>
    </row>
    <row r="2045" spans="27:30" x14ac:dyDescent="0.2">
      <c r="AA2045" s="86"/>
      <c r="AC2045" s="86"/>
      <c r="AD2045" s="86"/>
    </row>
    <row r="2046" spans="27:30" x14ac:dyDescent="0.2">
      <c r="AA2046" s="86"/>
      <c r="AC2046" s="86"/>
      <c r="AD2046" s="86"/>
    </row>
    <row r="2047" spans="27:30" x14ac:dyDescent="0.2">
      <c r="AA2047" s="86"/>
      <c r="AC2047" s="86"/>
      <c r="AD2047" s="86"/>
    </row>
    <row r="2048" spans="27:30" x14ac:dyDescent="0.2">
      <c r="AA2048" s="86"/>
      <c r="AC2048" s="86"/>
      <c r="AD2048" s="86"/>
    </row>
    <row r="2049" spans="27:30" x14ac:dyDescent="0.2">
      <c r="AA2049" s="86"/>
      <c r="AC2049" s="86"/>
      <c r="AD2049" s="86"/>
    </row>
    <row r="2050" spans="27:30" x14ac:dyDescent="0.2">
      <c r="AA2050" s="86"/>
      <c r="AC2050" s="86"/>
      <c r="AD2050" s="86"/>
    </row>
    <row r="2051" spans="27:30" x14ac:dyDescent="0.2">
      <c r="AA2051" s="86"/>
      <c r="AC2051" s="86"/>
      <c r="AD2051" s="86"/>
    </row>
    <row r="2052" spans="27:30" x14ac:dyDescent="0.2">
      <c r="AA2052" s="86"/>
      <c r="AC2052" s="86"/>
      <c r="AD2052" s="86"/>
    </row>
    <row r="2053" spans="27:30" x14ac:dyDescent="0.2">
      <c r="AA2053" s="86"/>
      <c r="AC2053" s="86"/>
      <c r="AD2053" s="86"/>
    </row>
    <row r="2054" spans="27:30" x14ac:dyDescent="0.2">
      <c r="AA2054" s="86"/>
      <c r="AC2054" s="86"/>
      <c r="AD2054" s="86"/>
    </row>
    <row r="2055" spans="27:30" x14ac:dyDescent="0.2">
      <c r="AA2055" s="86"/>
      <c r="AC2055" s="86"/>
      <c r="AD2055" s="86"/>
    </row>
    <row r="2056" spans="27:30" x14ac:dyDescent="0.2">
      <c r="AA2056" s="86"/>
      <c r="AC2056" s="86"/>
      <c r="AD2056" s="86"/>
    </row>
    <row r="2057" spans="27:30" x14ac:dyDescent="0.2">
      <c r="AA2057" s="86"/>
      <c r="AC2057" s="86"/>
      <c r="AD2057" s="86"/>
    </row>
    <row r="2058" spans="27:30" x14ac:dyDescent="0.2">
      <c r="AA2058" s="86"/>
      <c r="AC2058" s="86"/>
      <c r="AD2058" s="86"/>
    </row>
    <row r="2059" spans="27:30" x14ac:dyDescent="0.2">
      <c r="AA2059" s="86"/>
      <c r="AC2059" s="86"/>
      <c r="AD2059" s="86"/>
    </row>
    <row r="2060" spans="27:30" x14ac:dyDescent="0.2">
      <c r="AA2060" s="86"/>
      <c r="AC2060" s="86"/>
      <c r="AD2060" s="86"/>
    </row>
    <row r="2061" spans="27:30" x14ac:dyDescent="0.2">
      <c r="AA2061" s="86"/>
      <c r="AC2061" s="86"/>
      <c r="AD2061" s="86"/>
    </row>
    <row r="2062" spans="27:30" x14ac:dyDescent="0.2">
      <c r="AA2062" s="86"/>
      <c r="AC2062" s="86"/>
      <c r="AD2062" s="86"/>
    </row>
    <row r="2063" spans="27:30" x14ac:dyDescent="0.2">
      <c r="AA2063" s="86"/>
      <c r="AC2063" s="86"/>
      <c r="AD2063" s="86"/>
    </row>
    <row r="2064" spans="27:30" x14ac:dyDescent="0.2">
      <c r="AA2064" s="86"/>
      <c r="AC2064" s="86"/>
      <c r="AD2064" s="86"/>
    </row>
    <row r="2065" spans="27:30" x14ac:dyDescent="0.2">
      <c r="AA2065" s="86"/>
      <c r="AC2065" s="86"/>
      <c r="AD2065" s="86"/>
    </row>
    <row r="2066" spans="27:30" x14ac:dyDescent="0.2">
      <c r="AA2066" s="86"/>
      <c r="AC2066" s="86"/>
      <c r="AD2066" s="86"/>
    </row>
    <row r="2067" spans="27:30" x14ac:dyDescent="0.2">
      <c r="AA2067" s="86"/>
      <c r="AC2067" s="86"/>
      <c r="AD2067" s="86"/>
    </row>
    <row r="2068" spans="27:30" x14ac:dyDescent="0.2">
      <c r="AA2068" s="86"/>
      <c r="AC2068" s="86"/>
      <c r="AD2068" s="86"/>
    </row>
    <row r="2069" spans="27:30" x14ac:dyDescent="0.2">
      <c r="AA2069" s="86"/>
      <c r="AC2069" s="86"/>
      <c r="AD2069" s="86"/>
    </row>
    <row r="2070" spans="27:30" x14ac:dyDescent="0.2">
      <c r="AA2070" s="86"/>
      <c r="AC2070" s="86"/>
      <c r="AD2070" s="86"/>
    </row>
    <row r="2071" spans="27:30" x14ac:dyDescent="0.2">
      <c r="AA2071" s="86"/>
      <c r="AC2071" s="86"/>
      <c r="AD2071" s="86"/>
    </row>
    <row r="2072" spans="27:30" x14ac:dyDescent="0.2">
      <c r="AA2072" s="86"/>
      <c r="AC2072" s="86"/>
      <c r="AD2072" s="86"/>
    </row>
    <row r="2073" spans="27:30" x14ac:dyDescent="0.2">
      <c r="AA2073" s="86"/>
      <c r="AC2073" s="86"/>
      <c r="AD2073" s="86"/>
    </row>
    <row r="2074" spans="27:30" x14ac:dyDescent="0.2">
      <c r="AA2074" s="86"/>
      <c r="AC2074" s="86"/>
      <c r="AD2074" s="86"/>
    </row>
    <row r="2075" spans="27:30" x14ac:dyDescent="0.2">
      <c r="AA2075" s="86"/>
      <c r="AC2075" s="86"/>
      <c r="AD2075" s="86"/>
    </row>
    <row r="2076" spans="27:30" x14ac:dyDescent="0.2">
      <c r="AA2076" s="86"/>
      <c r="AC2076" s="86"/>
      <c r="AD2076" s="86"/>
    </row>
    <row r="2077" spans="27:30" x14ac:dyDescent="0.2">
      <c r="AA2077" s="86"/>
      <c r="AC2077" s="86"/>
      <c r="AD2077" s="86"/>
    </row>
    <row r="2078" spans="27:30" x14ac:dyDescent="0.2">
      <c r="AA2078" s="86"/>
      <c r="AC2078" s="86"/>
      <c r="AD2078" s="86"/>
    </row>
    <row r="2079" spans="27:30" x14ac:dyDescent="0.2">
      <c r="AA2079" s="86"/>
      <c r="AC2079" s="86"/>
      <c r="AD2079" s="86"/>
    </row>
    <row r="2080" spans="27:30" x14ac:dyDescent="0.2">
      <c r="AA2080" s="86"/>
      <c r="AC2080" s="86"/>
      <c r="AD2080" s="86"/>
    </row>
    <row r="2081" spans="27:30" x14ac:dyDescent="0.2">
      <c r="AA2081" s="86"/>
      <c r="AC2081" s="86"/>
      <c r="AD2081" s="86"/>
    </row>
    <row r="2082" spans="27:30" x14ac:dyDescent="0.2">
      <c r="AA2082" s="86"/>
      <c r="AC2082" s="86"/>
      <c r="AD2082" s="86"/>
    </row>
    <row r="2083" spans="27:30" x14ac:dyDescent="0.2">
      <c r="AA2083" s="86"/>
      <c r="AC2083" s="86"/>
      <c r="AD2083" s="86"/>
    </row>
    <row r="2084" spans="27:30" x14ac:dyDescent="0.2">
      <c r="AA2084" s="86"/>
      <c r="AC2084" s="86"/>
      <c r="AD2084" s="86"/>
    </row>
    <row r="2085" spans="27:30" x14ac:dyDescent="0.2">
      <c r="AA2085" s="86"/>
      <c r="AC2085" s="86"/>
      <c r="AD2085" s="86"/>
    </row>
    <row r="2086" spans="27:30" x14ac:dyDescent="0.2">
      <c r="AA2086" s="86"/>
      <c r="AC2086" s="86"/>
      <c r="AD2086" s="86"/>
    </row>
    <row r="2087" spans="27:30" x14ac:dyDescent="0.2">
      <c r="AA2087" s="86"/>
      <c r="AC2087" s="86"/>
      <c r="AD2087" s="86"/>
    </row>
    <row r="2088" spans="27:30" x14ac:dyDescent="0.2">
      <c r="AA2088" s="86"/>
      <c r="AC2088" s="86"/>
      <c r="AD2088" s="86"/>
    </row>
    <row r="2089" spans="27:30" x14ac:dyDescent="0.2">
      <c r="AA2089" s="86"/>
      <c r="AC2089" s="86"/>
      <c r="AD2089" s="86"/>
    </row>
    <row r="2090" spans="27:30" x14ac:dyDescent="0.2">
      <c r="AA2090" s="86"/>
      <c r="AC2090" s="86"/>
      <c r="AD2090" s="86"/>
    </row>
    <row r="2091" spans="27:30" x14ac:dyDescent="0.2">
      <c r="AA2091" s="86"/>
      <c r="AC2091" s="86"/>
      <c r="AD2091" s="86"/>
    </row>
    <row r="2092" spans="27:30" x14ac:dyDescent="0.2">
      <c r="AA2092" s="86"/>
      <c r="AC2092" s="86"/>
      <c r="AD2092" s="86"/>
    </row>
    <row r="2093" spans="27:30" x14ac:dyDescent="0.2">
      <c r="AA2093" s="86"/>
      <c r="AC2093" s="86"/>
      <c r="AD2093" s="86"/>
    </row>
    <row r="2094" spans="27:30" x14ac:dyDescent="0.2">
      <c r="AA2094" s="86"/>
      <c r="AC2094" s="86"/>
      <c r="AD2094" s="86"/>
    </row>
    <row r="2095" spans="27:30" x14ac:dyDescent="0.2">
      <c r="AA2095" s="86"/>
      <c r="AC2095" s="86"/>
      <c r="AD2095" s="86"/>
    </row>
    <row r="2096" spans="27:30" x14ac:dyDescent="0.2">
      <c r="AA2096" s="86"/>
      <c r="AC2096" s="86"/>
      <c r="AD2096" s="86"/>
    </row>
    <row r="2097" spans="27:30" x14ac:dyDescent="0.2">
      <c r="AA2097" s="86"/>
      <c r="AC2097" s="86"/>
      <c r="AD2097" s="86"/>
    </row>
    <row r="2098" spans="27:30" x14ac:dyDescent="0.2">
      <c r="AA2098" s="86"/>
      <c r="AC2098" s="86"/>
      <c r="AD2098" s="86"/>
    </row>
    <row r="2099" spans="27:30" x14ac:dyDescent="0.2">
      <c r="AA2099" s="86"/>
      <c r="AC2099" s="86"/>
      <c r="AD2099" s="86"/>
    </row>
    <row r="2100" spans="27:30" x14ac:dyDescent="0.2">
      <c r="AA2100" s="86"/>
      <c r="AC2100" s="86"/>
      <c r="AD2100" s="86"/>
    </row>
    <row r="2101" spans="27:30" x14ac:dyDescent="0.2">
      <c r="AA2101" s="86"/>
      <c r="AC2101" s="86"/>
      <c r="AD2101" s="86"/>
    </row>
    <row r="2102" spans="27:30" x14ac:dyDescent="0.2">
      <c r="AA2102" s="86"/>
      <c r="AC2102" s="86"/>
      <c r="AD2102" s="86"/>
    </row>
    <row r="2103" spans="27:30" x14ac:dyDescent="0.2">
      <c r="AA2103" s="86"/>
      <c r="AC2103" s="86"/>
      <c r="AD2103" s="86"/>
    </row>
    <row r="2104" spans="27:30" x14ac:dyDescent="0.2">
      <c r="AA2104" s="86"/>
      <c r="AC2104" s="86"/>
      <c r="AD2104" s="86"/>
    </row>
    <row r="2105" spans="27:30" x14ac:dyDescent="0.2">
      <c r="AA2105" s="86"/>
      <c r="AC2105" s="86"/>
      <c r="AD2105" s="86"/>
    </row>
    <row r="2106" spans="27:30" x14ac:dyDescent="0.2">
      <c r="AA2106" s="86"/>
      <c r="AC2106" s="86"/>
      <c r="AD2106" s="86"/>
    </row>
    <row r="2107" spans="27:30" x14ac:dyDescent="0.2">
      <c r="AA2107" s="86"/>
      <c r="AC2107" s="86"/>
      <c r="AD2107" s="86"/>
    </row>
    <row r="2108" spans="27:30" x14ac:dyDescent="0.2">
      <c r="AA2108" s="86"/>
      <c r="AC2108" s="86"/>
      <c r="AD2108" s="86"/>
    </row>
    <row r="2109" spans="27:30" x14ac:dyDescent="0.2">
      <c r="AA2109" s="86"/>
      <c r="AC2109" s="86"/>
      <c r="AD2109" s="86"/>
    </row>
    <row r="2110" spans="27:30" x14ac:dyDescent="0.2">
      <c r="AA2110" s="86"/>
      <c r="AC2110" s="86"/>
      <c r="AD2110" s="86"/>
    </row>
    <row r="2111" spans="27:30" x14ac:dyDescent="0.2">
      <c r="AA2111" s="86"/>
      <c r="AC2111" s="86"/>
      <c r="AD2111" s="86"/>
    </row>
    <row r="2112" spans="27:30" x14ac:dyDescent="0.2">
      <c r="AA2112" s="86"/>
      <c r="AC2112" s="86"/>
      <c r="AD2112" s="86"/>
    </row>
    <row r="2113" spans="27:30" x14ac:dyDescent="0.2">
      <c r="AA2113" s="86"/>
      <c r="AC2113" s="86"/>
      <c r="AD2113" s="86"/>
    </row>
    <row r="2114" spans="27:30" x14ac:dyDescent="0.2">
      <c r="AA2114" s="86"/>
      <c r="AC2114" s="86"/>
      <c r="AD2114" s="86"/>
    </row>
    <row r="2115" spans="27:30" x14ac:dyDescent="0.2">
      <c r="AA2115" s="86"/>
      <c r="AC2115" s="86"/>
      <c r="AD2115" s="86"/>
    </row>
    <row r="2116" spans="27:30" x14ac:dyDescent="0.2">
      <c r="AA2116" s="86"/>
      <c r="AC2116" s="86"/>
      <c r="AD2116" s="86"/>
    </row>
    <row r="2117" spans="27:30" x14ac:dyDescent="0.2">
      <c r="AA2117" s="86"/>
      <c r="AC2117" s="86"/>
      <c r="AD2117" s="86"/>
    </row>
    <row r="2118" spans="27:30" x14ac:dyDescent="0.2">
      <c r="AA2118" s="86"/>
      <c r="AC2118" s="86"/>
      <c r="AD2118" s="86"/>
    </row>
    <row r="2119" spans="27:30" x14ac:dyDescent="0.2">
      <c r="AA2119" s="86"/>
      <c r="AC2119" s="86"/>
      <c r="AD2119" s="86"/>
    </row>
    <row r="2120" spans="27:30" x14ac:dyDescent="0.2">
      <c r="AA2120" s="86"/>
      <c r="AC2120" s="86"/>
      <c r="AD2120" s="86"/>
    </row>
    <row r="2121" spans="27:30" x14ac:dyDescent="0.2">
      <c r="AA2121" s="86"/>
      <c r="AC2121" s="86"/>
      <c r="AD2121" s="86"/>
    </row>
    <row r="2122" spans="27:30" x14ac:dyDescent="0.2">
      <c r="AA2122" s="86"/>
      <c r="AC2122" s="86"/>
      <c r="AD2122" s="86"/>
    </row>
    <row r="2123" spans="27:30" x14ac:dyDescent="0.2">
      <c r="AA2123" s="86"/>
      <c r="AC2123" s="86"/>
      <c r="AD2123" s="86"/>
    </row>
    <row r="2124" spans="27:30" x14ac:dyDescent="0.2">
      <c r="AA2124" s="86"/>
      <c r="AC2124" s="86"/>
      <c r="AD2124" s="86"/>
    </row>
    <row r="2125" spans="27:30" x14ac:dyDescent="0.2">
      <c r="AA2125" s="86"/>
      <c r="AC2125" s="86"/>
      <c r="AD2125" s="86"/>
    </row>
    <row r="2126" spans="27:30" x14ac:dyDescent="0.2">
      <c r="AA2126" s="86"/>
      <c r="AC2126" s="86"/>
      <c r="AD2126" s="86"/>
    </row>
    <row r="2127" spans="27:30" x14ac:dyDescent="0.2">
      <c r="AA2127" s="86"/>
      <c r="AC2127" s="86"/>
      <c r="AD2127" s="86"/>
    </row>
    <row r="2128" spans="27:30" x14ac:dyDescent="0.2">
      <c r="AA2128" s="86"/>
      <c r="AC2128" s="86"/>
      <c r="AD2128" s="86"/>
    </row>
    <row r="2129" spans="27:30" x14ac:dyDescent="0.2">
      <c r="AA2129" s="86"/>
      <c r="AC2129" s="86"/>
      <c r="AD2129" s="86"/>
    </row>
    <row r="2130" spans="27:30" x14ac:dyDescent="0.2">
      <c r="AA2130" s="86"/>
      <c r="AC2130" s="86"/>
      <c r="AD2130" s="86"/>
    </row>
    <row r="2131" spans="27:30" x14ac:dyDescent="0.2">
      <c r="AA2131" s="86"/>
      <c r="AC2131" s="86"/>
      <c r="AD2131" s="86"/>
    </row>
    <row r="2132" spans="27:30" x14ac:dyDescent="0.2">
      <c r="AA2132" s="86"/>
      <c r="AC2132" s="86"/>
      <c r="AD2132" s="86"/>
    </row>
    <row r="2133" spans="27:30" x14ac:dyDescent="0.2">
      <c r="AA2133" s="86"/>
      <c r="AC2133" s="86"/>
      <c r="AD2133" s="86"/>
    </row>
    <row r="2134" spans="27:30" x14ac:dyDescent="0.2">
      <c r="AA2134" s="86"/>
      <c r="AC2134" s="86"/>
      <c r="AD2134" s="86"/>
    </row>
    <row r="2135" spans="27:30" x14ac:dyDescent="0.2">
      <c r="AA2135" s="86"/>
      <c r="AC2135" s="86"/>
      <c r="AD2135" s="86"/>
    </row>
    <row r="2136" spans="27:30" x14ac:dyDescent="0.2">
      <c r="AA2136" s="86"/>
      <c r="AC2136" s="86"/>
      <c r="AD2136" s="86"/>
    </row>
    <row r="2137" spans="27:30" x14ac:dyDescent="0.2">
      <c r="AA2137" s="86"/>
      <c r="AC2137" s="86"/>
      <c r="AD2137" s="86"/>
    </row>
    <row r="2138" spans="27:30" x14ac:dyDescent="0.2">
      <c r="AA2138" s="86"/>
      <c r="AC2138" s="86"/>
      <c r="AD2138" s="86"/>
    </row>
    <row r="2139" spans="27:30" x14ac:dyDescent="0.2">
      <c r="AA2139" s="86"/>
      <c r="AC2139" s="86"/>
      <c r="AD2139" s="86"/>
    </row>
    <row r="2140" spans="27:30" x14ac:dyDescent="0.2">
      <c r="AA2140" s="86"/>
      <c r="AC2140" s="86"/>
      <c r="AD2140" s="86"/>
    </row>
    <row r="2141" spans="27:30" x14ac:dyDescent="0.2">
      <c r="AA2141" s="86"/>
      <c r="AC2141" s="86"/>
      <c r="AD2141" s="86"/>
    </row>
    <row r="2142" spans="27:30" x14ac:dyDescent="0.2">
      <c r="AA2142" s="86"/>
      <c r="AC2142" s="86"/>
      <c r="AD2142" s="86"/>
    </row>
    <row r="2143" spans="27:30" x14ac:dyDescent="0.2">
      <c r="AA2143" s="86"/>
      <c r="AC2143" s="86"/>
      <c r="AD2143" s="86"/>
    </row>
    <row r="2144" spans="27:30" x14ac:dyDescent="0.2">
      <c r="AA2144" s="86"/>
      <c r="AC2144" s="86"/>
      <c r="AD2144" s="86"/>
    </row>
    <row r="2145" spans="27:30" x14ac:dyDescent="0.2">
      <c r="AA2145" s="86"/>
      <c r="AC2145" s="86"/>
      <c r="AD2145" s="86"/>
    </row>
    <row r="2146" spans="27:30" x14ac:dyDescent="0.2">
      <c r="AA2146" s="86"/>
      <c r="AC2146" s="86"/>
      <c r="AD2146" s="86"/>
    </row>
    <row r="2147" spans="27:30" x14ac:dyDescent="0.2">
      <c r="AA2147" s="86"/>
      <c r="AC2147" s="86"/>
      <c r="AD2147" s="86"/>
    </row>
    <row r="2148" spans="27:30" x14ac:dyDescent="0.2">
      <c r="AA2148" s="86"/>
      <c r="AC2148" s="86"/>
      <c r="AD2148" s="86"/>
    </row>
    <row r="2149" spans="27:30" x14ac:dyDescent="0.2">
      <c r="AA2149" s="86"/>
      <c r="AC2149" s="86"/>
      <c r="AD2149" s="86"/>
    </row>
    <row r="2150" spans="27:30" x14ac:dyDescent="0.2">
      <c r="AA2150" s="86"/>
      <c r="AC2150" s="86"/>
      <c r="AD2150" s="86"/>
    </row>
    <row r="2151" spans="27:30" x14ac:dyDescent="0.2">
      <c r="AA2151" s="86"/>
      <c r="AC2151" s="86"/>
      <c r="AD2151" s="86"/>
    </row>
    <row r="2152" spans="27:30" x14ac:dyDescent="0.2">
      <c r="AA2152" s="86"/>
      <c r="AC2152" s="86"/>
      <c r="AD2152" s="86"/>
    </row>
    <row r="2153" spans="27:30" x14ac:dyDescent="0.2">
      <c r="AA2153" s="86"/>
      <c r="AC2153" s="86"/>
      <c r="AD2153" s="86"/>
    </row>
    <row r="2154" spans="27:30" x14ac:dyDescent="0.2">
      <c r="AA2154" s="86"/>
      <c r="AC2154" s="86"/>
      <c r="AD2154" s="86"/>
    </row>
    <row r="2155" spans="27:30" x14ac:dyDescent="0.2">
      <c r="AA2155" s="86"/>
      <c r="AC2155" s="86"/>
      <c r="AD2155" s="86"/>
    </row>
    <row r="2156" spans="27:30" x14ac:dyDescent="0.2">
      <c r="AA2156" s="86"/>
      <c r="AC2156" s="86"/>
      <c r="AD2156" s="86"/>
    </row>
    <row r="2157" spans="27:30" x14ac:dyDescent="0.2">
      <c r="AA2157" s="86"/>
      <c r="AC2157" s="86"/>
      <c r="AD2157" s="86"/>
    </row>
    <row r="2158" spans="27:30" x14ac:dyDescent="0.2">
      <c r="AA2158" s="86"/>
      <c r="AC2158" s="86"/>
      <c r="AD2158" s="86"/>
    </row>
    <row r="2159" spans="27:30" x14ac:dyDescent="0.2">
      <c r="AA2159" s="86"/>
      <c r="AC2159" s="86"/>
      <c r="AD2159" s="86"/>
    </row>
    <row r="2160" spans="27:30" x14ac:dyDescent="0.2">
      <c r="AA2160" s="86"/>
      <c r="AC2160" s="86"/>
      <c r="AD2160" s="86"/>
    </row>
    <row r="2161" spans="27:30" x14ac:dyDescent="0.2">
      <c r="AA2161" s="86"/>
      <c r="AC2161" s="86"/>
      <c r="AD2161" s="86"/>
    </row>
    <row r="2162" spans="27:30" x14ac:dyDescent="0.2">
      <c r="AA2162" s="86"/>
      <c r="AC2162" s="86"/>
      <c r="AD2162" s="86"/>
    </row>
    <row r="2163" spans="27:30" x14ac:dyDescent="0.2">
      <c r="AA2163" s="86"/>
      <c r="AC2163" s="86"/>
      <c r="AD2163" s="86"/>
    </row>
    <row r="2164" spans="27:30" x14ac:dyDescent="0.2">
      <c r="AA2164" s="86"/>
      <c r="AC2164" s="86"/>
      <c r="AD2164" s="86"/>
    </row>
    <row r="2165" spans="27:30" x14ac:dyDescent="0.2">
      <c r="AA2165" s="86"/>
      <c r="AC2165" s="86"/>
      <c r="AD2165" s="86"/>
    </row>
    <row r="2166" spans="27:30" x14ac:dyDescent="0.2">
      <c r="AA2166" s="86"/>
      <c r="AC2166" s="86"/>
      <c r="AD2166" s="86"/>
    </row>
    <row r="2167" spans="27:30" x14ac:dyDescent="0.2">
      <c r="AA2167" s="86"/>
      <c r="AC2167" s="86"/>
      <c r="AD2167" s="86"/>
    </row>
    <row r="2168" spans="27:30" x14ac:dyDescent="0.2">
      <c r="AA2168" s="86"/>
      <c r="AC2168" s="86"/>
      <c r="AD2168" s="86"/>
    </row>
    <row r="2169" spans="27:30" x14ac:dyDescent="0.2">
      <c r="AA2169" s="86"/>
      <c r="AC2169" s="86"/>
      <c r="AD2169" s="86"/>
    </row>
    <row r="2170" spans="27:30" x14ac:dyDescent="0.2">
      <c r="AA2170" s="86"/>
      <c r="AC2170" s="86"/>
      <c r="AD2170" s="86"/>
    </row>
    <row r="2171" spans="27:30" x14ac:dyDescent="0.2">
      <c r="AA2171" s="86"/>
      <c r="AC2171" s="86"/>
      <c r="AD2171" s="86"/>
    </row>
    <row r="2172" spans="27:30" x14ac:dyDescent="0.2">
      <c r="AA2172" s="86"/>
      <c r="AC2172" s="86"/>
      <c r="AD2172" s="86"/>
    </row>
    <row r="2173" spans="27:30" x14ac:dyDescent="0.2">
      <c r="AA2173" s="86"/>
      <c r="AC2173" s="86"/>
      <c r="AD2173" s="86"/>
    </row>
    <row r="2174" spans="27:30" x14ac:dyDescent="0.2">
      <c r="AA2174" s="86"/>
      <c r="AC2174" s="86"/>
      <c r="AD2174" s="86"/>
    </row>
    <row r="2175" spans="27:30" x14ac:dyDescent="0.2">
      <c r="AA2175" s="86"/>
      <c r="AC2175" s="86"/>
      <c r="AD2175" s="86"/>
    </row>
    <row r="2176" spans="27:30" x14ac:dyDescent="0.2">
      <c r="AA2176" s="86"/>
      <c r="AC2176" s="86"/>
      <c r="AD2176" s="86"/>
    </row>
    <row r="2177" spans="27:30" x14ac:dyDescent="0.2">
      <c r="AA2177" s="86"/>
      <c r="AC2177" s="86"/>
      <c r="AD2177" s="86"/>
    </row>
    <row r="2178" spans="27:30" x14ac:dyDescent="0.2">
      <c r="AA2178" s="86"/>
      <c r="AC2178" s="86"/>
      <c r="AD2178" s="86"/>
    </row>
    <row r="2179" spans="27:30" x14ac:dyDescent="0.2">
      <c r="AA2179" s="86"/>
      <c r="AC2179" s="86"/>
      <c r="AD2179" s="86"/>
    </row>
    <row r="2180" spans="27:30" x14ac:dyDescent="0.2">
      <c r="AA2180" s="86"/>
      <c r="AC2180" s="86"/>
      <c r="AD2180" s="86"/>
    </row>
    <row r="2181" spans="27:30" x14ac:dyDescent="0.2">
      <c r="AA2181" s="86"/>
      <c r="AC2181" s="86"/>
      <c r="AD2181" s="86"/>
    </row>
    <row r="2182" spans="27:30" x14ac:dyDescent="0.2">
      <c r="AA2182" s="86"/>
      <c r="AC2182" s="86"/>
      <c r="AD2182" s="86"/>
    </row>
    <row r="2183" spans="27:30" x14ac:dyDescent="0.2">
      <c r="AA2183" s="86"/>
      <c r="AC2183" s="86"/>
      <c r="AD2183" s="86"/>
    </row>
    <row r="2184" spans="27:30" x14ac:dyDescent="0.2">
      <c r="AA2184" s="86"/>
      <c r="AC2184" s="86"/>
      <c r="AD2184" s="86"/>
    </row>
    <row r="2185" spans="27:30" x14ac:dyDescent="0.2">
      <c r="AA2185" s="86"/>
      <c r="AC2185" s="86"/>
      <c r="AD2185" s="86"/>
    </row>
    <row r="2186" spans="27:30" x14ac:dyDescent="0.2">
      <c r="AA2186" s="86"/>
      <c r="AC2186" s="86"/>
      <c r="AD2186" s="86"/>
    </row>
    <row r="2187" spans="27:30" x14ac:dyDescent="0.2">
      <c r="AA2187" s="86"/>
      <c r="AC2187" s="86"/>
      <c r="AD2187" s="86"/>
    </row>
    <row r="2188" spans="27:30" x14ac:dyDescent="0.2">
      <c r="AA2188" s="86"/>
      <c r="AC2188" s="86"/>
      <c r="AD2188" s="86"/>
    </row>
    <row r="2189" spans="27:30" x14ac:dyDescent="0.2">
      <c r="AA2189" s="86"/>
      <c r="AC2189" s="86"/>
      <c r="AD2189" s="86"/>
    </row>
    <row r="2190" spans="27:30" x14ac:dyDescent="0.2">
      <c r="AA2190" s="86"/>
      <c r="AC2190" s="86"/>
      <c r="AD2190" s="86"/>
    </row>
    <row r="2191" spans="27:30" x14ac:dyDescent="0.2">
      <c r="AA2191" s="86"/>
      <c r="AC2191" s="86"/>
      <c r="AD2191" s="86"/>
    </row>
    <row r="2192" spans="27:30" x14ac:dyDescent="0.2">
      <c r="AA2192" s="86"/>
      <c r="AC2192" s="86"/>
      <c r="AD2192" s="86"/>
    </row>
    <row r="2193" spans="27:30" x14ac:dyDescent="0.2">
      <c r="AA2193" s="86"/>
      <c r="AC2193" s="86"/>
      <c r="AD2193" s="86"/>
    </row>
    <row r="2194" spans="27:30" x14ac:dyDescent="0.2">
      <c r="AA2194" s="86"/>
      <c r="AC2194" s="86"/>
      <c r="AD2194" s="86"/>
    </row>
    <row r="2195" spans="27:30" x14ac:dyDescent="0.2">
      <c r="AA2195" s="86"/>
      <c r="AC2195" s="86"/>
      <c r="AD2195" s="86"/>
    </row>
    <row r="2196" spans="27:30" x14ac:dyDescent="0.2">
      <c r="AA2196" s="86"/>
      <c r="AC2196" s="86"/>
      <c r="AD2196" s="86"/>
    </row>
    <row r="2197" spans="27:30" x14ac:dyDescent="0.2">
      <c r="AA2197" s="86"/>
      <c r="AC2197" s="86"/>
      <c r="AD2197" s="86"/>
    </row>
    <row r="2198" spans="27:30" x14ac:dyDescent="0.2">
      <c r="AA2198" s="86"/>
      <c r="AC2198" s="86"/>
      <c r="AD2198" s="86"/>
    </row>
    <row r="2199" spans="27:30" x14ac:dyDescent="0.2">
      <c r="AA2199" s="86"/>
      <c r="AC2199" s="86"/>
      <c r="AD2199" s="86"/>
    </row>
    <row r="2200" spans="27:30" x14ac:dyDescent="0.2">
      <c r="AA2200" s="86"/>
      <c r="AC2200" s="86"/>
      <c r="AD2200" s="86"/>
    </row>
    <row r="2201" spans="27:30" x14ac:dyDescent="0.2">
      <c r="AA2201" s="86"/>
      <c r="AC2201" s="86"/>
      <c r="AD2201" s="86"/>
    </row>
    <row r="2202" spans="27:30" x14ac:dyDescent="0.2">
      <c r="AA2202" s="86"/>
      <c r="AC2202" s="86"/>
      <c r="AD2202" s="86"/>
    </row>
    <row r="2203" spans="27:30" x14ac:dyDescent="0.2">
      <c r="AA2203" s="86"/>
      <c r="AC2203" s="86"/>
      <c r="AD2203" s="86"/>
    </row>
    <row r="2204" spans="27:30" x14ac:dyDescent="0.2">
      <c r="AA2204" s="86"/>
      <c r="AC2204" s="86"/>
      <c r="AD2204" s="86"/>
    </row>
    <row r="2205" spans="27:30" x14ac:dyDescent="0.2">
      <c r="AA2205" s="86"/>
      <c r="AC2205" s="86"/>
      <c r="AD2205" s="86"/>
    </row>
    <row r="2206" spans="27:30" x14ac:dyDescent="0.2">
      <c r="AA2206" s="86"/>
      <c r="AC2206" s="86"/>
      <c r="AD2206" s="86"/>
    </row>
    <row r="2207" spans="27:30" x14ac:dyDescent="0.2">
      <c r="AA2207" s="86"/>
      <c r="AC2207" s="86"/>
      <c r="AD2207" s="86"/>
    </row>
    <row r="2208" spans="27:30" x14ac:dyDescent="0.2">
      <c r="AA2208" s="86"/>
      <c r="AC2208" s="86"/>
      <c r="AD2208" s="86"/>
    </row>
    <row r="2209" spans="27:30" x14ac:dyDescent="0.2">
      <c r="AA2209" s="86"/>
      <c r="AC2209" s="86"/>
      <c r="AD2209" s="86"/>
    </row>
    <row r="2210" spans="27:30" x14ac:dyDescent="0.2">
      <c r="AA2210" s="86"/>
      <c r="AC2210" s="86"/>
      <c r="AD2210" s="86"/>
    </row>
    <row r="2211" spans="27:30" x14ac:dyDescent="0.2">
      <c r="AA2211" s="86"/>
      <c r="AC2211" s="86"/>
      <c r="AD2211" s="86"/>
    </row>
    <row r="2212" spans="27:30" x14ac:dyDescent="0.2">
      <c r="AA2212" s="86"/>
      <c r="AC2212" s="86"/>
      <c r="AD2212" s="86"/>
    </row>
    <row r="2213" spans="27:30" x14ac:dyDescent="0.2">
      <c r="AA2213" s="86"/>
      <c r="AC2213" s="86"/>
      <c r="AD2213" s="86"/>
    </row>
    <row r="2214" spans="27:30" x14ac:dyDescent="0.2">
      <c r="AA2214" s="86"/>
      <c r="AC2214" s="86"/>
      <c r="AD2214" s="86"/>
    </row>
    <row r="2215" spans="27:30" x14ac:dyDescent="0.2">
      <c r="AA2215" s="86"/>
      <c r="AC2215" s="86"/>
      <c r="AD2215" s="86"/>
    </row>
    <row r="2216" spans="27:30" x14ac:dyDescent="0.2">
      <c r="AA2216" s="86"/>
      <c r="AC2216" s="86"/>
      <c r="AD2216" s="86"/>
    </row>
    <row r="2217" spans="27:30" x14ac:dyDescent="0.2">
      <c r="AA2217" s="86"/>
      <c r="AC2217" s="86"/>
      <c r="AD2217" s="86"/>
    </row>
    <row r="2218" spans="27:30" x14ac:dyDescent="0.2">
      <c r="AA2218" s="86"/>
      <c r="AC2218" s="86"/>
      <c r="AD2218" s="86"/>
    </row>
    <row r="2219" spans="27:30" x14ac:dyDescent="0.2">
      <c r="AA2219" s="86"/>
      <c r="AC2219" s="86"/>
      <c r="AD2219" s="86"/>
    </row>
    <row r="2220" spans="27:30" x14ac:dyDescent="0.2">
      <c r="AA2220" s="86"/>
      <c r="AC2220" s="86"/>
      <c r="AD2220" s="86"/>
    </row>
    <row r="2221" spans="27:30" x14ac:dyDescent="0.2">
      <c r="AA2221" s="86"/>
      <c r="AC2221" s="86"/>
      <c r="AD2221" s="86"/>
    </row>
    <row r="2222" spans="27:30" x14ac:dyDescent="0.2">
      <c r="AA2222" s="86"/>
      <c r="AC2222" s="86"/>
      <c r="AD2222" s="86"/>
    </row>
    <row r="2223" spans="27:30" x14ac:dyDescent="0.2">
      <c r="AA2223" s="86"/>
      <c r="AC2223" s="86"/>
      <c r="AD2223" s="86"/>
    </row>
    <row r="2224" spans="27:30" x14ac:dyDescent="0.2">
      <c r="AA2224" s="86"/>
      <c r="AC2224" s="86"/>
      <c r="AD2224" s="86"/>
    </row>
    <row r="2225" spans="27:30" x14ac:dyDescent="0.2">
      <c r="AA2225" s="86"/>
      <c r="AC2225" s="86"/>
      <c r="AD2225" s="86"/>
    </row>
    <row r="2226" spans="27:30" x14ac:dyDescent="0.2">
      <c r="AA2226" s="86"/>
      <c r="AC2226" s="86"/>
      <c r="AD2226" s="86"/>
    </row>
    <row r="2227" spans="27:30" x14ac:dyDescent="0.2">
      <c r="AA2227" s="86"/>
      <c r="AC2227" s="86"/>
      <c r="AD2227" s="86"/>
    </row>
    <row r="2228" spans="27:30" x14ac:dyDescent="0.2">
      <c r="AA2228" s="86"/>
      <c r="AC2228" s="86"/>
      <c r="AD2228" s="86"/>
    </row>
    <row r="2229" spans="27:30" x14ac:dyDescent="0.2">
      <c r="AA2229" s="86"/>
      <c r="AC2229" s="86"/>
      <c r="AD2229" s="86"/>
    </row>
    <row r="2230" spans="27:30" x14ac:dyDescent="0.2">
      <c r="AA2230" s="86"/>
      <c r="AC2230" s="86"/>
      <c r="AD2230" s="86"/>
    </row>
    <row r="2231" spans="27:30" x14ac:dyDescent="0.2">
      <c r="AA2231" s="86"/>
      <c r="AC2231" s="86"/>
      <c r="AD2231" s="86"/>
    </row>
    <row r="2232" spans="27:30" x14ac:dyDescent="0.2">
      <c r="AA2232" s="86"/>
      <c r="AC2232" s="86"/>
      <c r="AD2232" s="86"/>
    </row>
    <row r="2233" spans="27:30" x14ac:dyDescent="0.2">
      <c r="AA2233" s="86"/>
      <c r="AC2233" s="86"/>
      <c r="AD2233" s="86"/>
    </row>
    <row r="2234" spans="27:30" x14ac:dyDescent="0.2">
      <c r="AA2234" s="86"/>
      <c r="AC2234" s="86"/>
      <c r="AD2234" s="86"/>
    </row>
    <row r="2235" spans="27:30" x14ac:dyDescent="0.2">
      <c r="AA2235" s="86"/>
      <c r="AC2235" s="86"/>
      <c r="AD2235" s="86"/>
    </row>
    <row r="2236" spans="27:30" x14ac:dyDescent="0.2">
      <c r="AA2236" s="86"/>
      <c r="AC2236" s="86"/>
      <c r="AD2236" s="86"/>
    </row>
    <row r="2237" spans="27:30" x14ac:dyDescent="0.2">
      <c r="AA2237" s="86"/>
      <c r="AC2237" s="86"/>
      <c r="AD2237" s="86"/>
    </row>
    <row r="2238" spans="27:30" x14ac:dyDescent="0.2">
      <c r="AA2238" s="86"/>
      <c r="AC2238" s="86"/>
      <c r="AD2238" s="86"/>
    </row>
    <row r="2239" spans="27:30" x14ac:dyDescent="0.2">
      <c r="AA2239" s="86"/>
      <c r="AC2239" s="86"/>
      <c r="AD2239" s="86"/>
    </row>
    <row r="2240" spans="27:30" x14ac:dyDescent="0.2">
      <c r="AA2240" s="86"/>
      <c r="AC2240" s="86"/>
      <c r="AD2240" s="86"/>
    </row>
    <row r="2241" spans="27:30" x14ac:dyDescent="0.2">
      <c r="AA2241" s="86"/>
      <c r="AC2241" s="86"/>
      <c r="AD2241" s="86"/>
    </row>
    <row r="2242" spans="27:30" x14ac:dyDescent="0.2">
      <c r="AA2242" s="86"/>
      <c r="AC2242" s="86"/>
      <c r="AD2242" s="86"/>
    </row>
    <row r="2243" spans="27:30" x14ac:dyDescent="0.2">
      <c r="AA2243" s="86"/>
      <c r="AC2243" s="86"/>
      <c r="AD2243" s="86"/>
    </row>
    <row r="2244" spans="27:30" x14ac:dyDescent="0.2">
      <c r="AA2244" s="86"/>
      <c r="AC2244" s="86"/>
      <c r="AD2244" s="86"/>
    </row>
    <row r="2245" spans="27:30" x14ac:dyDescent="0.2">
      <c r="AA2245" s="86"/>
      <c r="AC2245" s="86"/>
      <c r="AD2245" s="86"/>
    </row>
    <row r="2246" spans="27:30" x14ac:dyDescent="0.2">
      <c r="AA2246" s="86"/>
      <c r="AC2246" s="86"/>
      <c r="AD2246" s="86"/>
    </row>
    <row r="2247" spans="27:30" x14ac:dyDescent="0.2">
      <c r="AA2247" s="86"/>
      <c r="AC2247" s="86"/>
      <c r="AD2247" s="86"/>
    </row>
    <row r="2248" spans="27:30" x14ac:dyDescent="0.2">
      <c r="AA2248" s="86"/>
      <c r="AC2248" s="86"/>
      <c r="AD2248" s="86"/>
    </row>
    <row r="2249" spans="27:30" x14ac:dyDescent="0.2">
      <c r="AA2249" s="86"/>
      <c r="AC2249" s="86"/>
      <c r="AD2249" s="86"/>
    </row>
    <row r="2250" spans="27:30" x14ac:dyDescent="0.2">
      <c r="AA2250" s="86"/>
      <c r="AC2250" s="86"/>
      <c r="AD2250" s="86"/>
    </row>
    <row r="2251" spans="27:30" x14ac:dyDescent="0.2">
      <c r="AA2251" s="86"/>
      <c r="AC2251" s="86"/>
      <c r="AD2251" s="86"/>
    </row>
    <row r="2252" spans="27:30" x14ac:dyDescent="0.2">
      <c r="AA2252" s="86"/>
      <c r="AC2252" s="86"/>
      <c r="AD2252" s="86"/>
    </row>
    <row r="2253" spans="27:30" x14ac:dyDescent="0.2">
      <c r="AA2253" s="86"/>
      <c r="AC2253" s="86"/>
      <c r="AD2253" s="86"/>
    </row>
    <row r="2254" spans="27:30" x14ac:dyDescent="0.2">
      <c r="AA2254" s="86"/>
      <c r="AC2254" s="86"/>
      <c r="AD2254" s="86"/>
    </row>
    <row r="2255" spans="27:30" x14ac:dyDescent="0.2">
      <c r="AA2255" s="86"/>
      <c r="AC2255" s="86"/>
      <c r="AD2255" s="86"/>
    </row>
    <row r="2256" spans="27:30" x14ac:dyDescent="0.2">
      <c r="AA2256" s="86"/>
      <c r="AC2256" s="86"/>
      <c r="AD2256" s="86"/>
    </row>
    <row r="2257" spans="27:30" x14ac:dyDescent="0.2">
      <c r="AA2257" s="86"/>
      <c r="AC2257" s="86"/>
      <c r="AD2257" s="86"/>
    </row>
    <row r="2258" spans="27:30" x14ac:dyDescent="0.2">
      <c r="AA2258" s="86"/>
      <c r="AC2258" s="86"/>
      <c r="AD2258" s="86"/>
    </row>
    <row r="2259" spans="27:30" x14ac:dyDescent="0.2">
      <c r="AA2259" s="86"/>
      <c r="AC2259" s="86"/>
      <c r="AD2259" s="86"/>
    </row>
    <row r="2260" spans="27:30" x14ac:dyDescent="0.2">
      <c r="AA2260" s="86"/>
      <c r="AC2260" s="86"/>
      <c r="AD2260" s="86"/>
    </row>
    <row r="2261" spans="27:30" x14ac:dyDescent="0.2">
      <c r="AA2261" s="86"/>
      <c r="AC2261" s="86"/>
      <c r="AD2261" s="86"/>
    </row>
    <row r="2262" spans="27:30" x14ac:dyDescent="0.2">
      <c r="AA2262" s="86"/>
      <c r="AC2262" s="86"/>
      <c r="AD2262" s="86"/>
    </row>
    <row r="2263" spans="27:30" x14ac:dyDescent="0.2">
      <c r="AA2263" s="86"/>
      <c r="AC2263" s="86"/>
      <c r="AD2263" s="86"/>
    </row>
    <row r="2264" spans="27:30" x14ac:dyDescent="0.2">
      <c r="AA2264" s="86"/>
      <c r="AC2264" s="86"/>
      <c r="AD2264" s="86"/>
    </row>
    <row r="2265" spans="27:30" x14ac:dyDescent="0.2">
      <c r="AA2265" s="86"/>
      <c r="AC2265" s="86"/>
      <c r="AD2265" s="86"/>
    </row>
    <row r="2266" spans="27:30" x14ac:dyDescent="0.2">
      <c r="AA2266" s="86"/>
      <c r="AC2266" s="86"/>
      <c r="AD2266" s="86"/>
    </row>
    <row r="2267" spans="27:30" x14ac:dyDescent="0.2">
      <c r="AA2267" s="86"/>
      <c r="AC2267" s="86"/>
      <c r="AD2267" s="86"/>
    </row>
    <row r="2268" spans="27:30" x14ac:dyDescent="0.2">
      <c r="AA2268" s="86"/>
      <c r="AC2268" s="86"/>
      <c r="AD2268" s="86"/>
    </row>
    <row r="2269" spans="27:30" x14ac:dyDescent="0.2">
      <c r="AA2269" s="86"/>
      <c r="AC2269" s="86"/>
      <c r="AD2269" s="86"/>
    </row>
    <row r="2270" spans="27:30" x14ac:dyDescent="0.2">
      <c r="AA2270" s="86"/>
      <c r="AC2270" s="86"/>
      <c r="AD2270" s="86"/>
    </row>
    <row r="2271" spans="27:30" x14ac:dyDescent="0.2">
      <c r="AA2271" s="86"/>
      <c r="AC2271" s="86"/>
      <c r="AD2271" s="86"/>
    </row>
    <row r="2272" spans="27:30" x14ac:dyDescent="0.2">
      <c r="AA2272" s="86"/>
      <c r="AC2272" s="86"/>
      <c r="AD2272" s="86"/>
    </row>
    <row r="2273" spans="27:30" x14ac:dyDescent="0.2">
      <c r="AA2273" s="86"/>
      <c r="AC2273" s="86"/>
      <c r="AD2273" s="86"/>
    </row>
    <row r="2274" spans="27:30" x14ac:dyDescent="0.2">
      <c r="AA2274" s="86"/>
      <c r="AC2274" s="86"/>
      <c r="AD2274" s="86"/>
    </row>
    <row r="2275" spans="27:30" x14ac:dyDescent="0.2">
      <c r="AA2275" s="86"/>
      <c r="AC2275" s="86"/>
      <c r="AD2275" s="86"/>
    </row>
    <row r="2276" spans="27:30" x14ac:dyDescent="0.2">
      <c r="AA2276" s="86"/>
      <c r="AC2276" s="86"/>
      <c r="AD2276" s="86"/>
    </row>
    <row r="2277" spans="27:30" x14ac:dyDescent="0.2">
      <c r="AA2277" s="86"/>
      <c r="AC2277" s="86"/>
      <c r="AD2277" s="86"/>
    </row>
    <row r="2278" spans="27:30" x14ac:dyDescent="0.2">
      <c r="AA2278" s="86"/>
      <c r="AC2278" s="86"/>
      <c r="AD2278" s="86"/>
    </row>
    <row r="2279" spans="27:30" x14ac:dyDescent="0.2">
      <c r="AA2279" s="86"/>
      <c r="AC2279" s="86"/>
      <c r="AD2279" s="86"/>
    </row>
    <row r="2280" spans="27:30" x14ac:dyDescent="0.2">
      <c r="AA2280" s="86"/>
      <c r="AC2280" s="86"/>
      <c r="AD2280" s="86"/>
    </row>
    <row r="2281" spans="27:30" x14ac:dyDescent="0.2">
      <c r="AA2281" s="86"/>
      <c r="AC2281" s="86"/>
      <c r="AD2281" s="86"/>
    </row>
    <row r="2282" spans="27:30" x14ac:dyDescent="0.2">
      <c r="AA2282" s="86"/>
      <c r="AC2282" s="86"/>
      <c r="AD2282" s="86"/>
    </row>
    <row r="2283" spans="27:30" x14ac:dyDescent="0.2">
      <c r="AA2283" s="86"/>
      <c r="AC2283" s="86"/>
      <c r="AD2283" s="86"/>
    </row>
    <row r="2284" spans="27:30" x14ac:dyDescent="0.2">
      <c r="AA2284" s="86"/>
      <c r="AC2284" s="86"/>
      <c r="AD2284" s="86"/>
    </row>
    <row r="2285" spans="27:30" x14ac:dyDescent="0.2">
      <c r="AA2285" s="86"/>
      <c r="AC2285" s="86"/>
      <c r="AD2285" s="86"/>
    </row>
    <row r="2286" spans="27:30" x14ac:dyDescent="0.2">
      <c r="AA2286" s="86"/>
      <c r="AC2286" s="86"/>
      <c r="AD2286" s="86"/>
    </row>
    <row r="2287" spans="27:30" x14ac:dyDescent="0.2">
      <c r="AA2287" s="86"/>
      <c r="AC2287" s="86"/>
      <c r="AD2287" s="86"/>
    </row>
    <row r="2288" spans="27:30" x14ac:dyDescent="0.2">
      <c r="AA2288" s="86"/>
      <c r="AC2288" s="86"/>
      <c r="AD2288" s="86"/>
    </row>
    <row r="2289" spans="27:30" x14ac:dyDescent="0.2">
      <c r="AA2289" s="86"/>
      <c r="AC2289" s="86"/>
      <c r="AD2289" s="86"/>
    </row>
    <row r="2290" spans="27:30" x14ac:dyDescent="0.2">
      <c r="AA2290" s="86"/>
      <c r="AC2290" s="86"/>
      <c r="AD2290" s="86"/>
    </row>
    <row r="2291" spans="27:30" x14ac:dyDescent="0.2">
      <c r="AA2291" s="86"/>
      <c r="AC2291" s="86"/>
      <c r="AD2291" s="86"/>
    </row>
    <row r="2292" spans="27:30" x14ac:dyDescent="0.2">
      <c r="AA2292" s="86"/>
      <c r="AC2292" s="86"/>
      <c r="AD2292" s="86"/>
    </row>
    <row r="2293" spans="27:30" x14ac:dyDescent="0.2">
      <c r="AA2293" s="86"/>
      <c r="AC2293" s="86"/>
      <c r="AD2293" s="86"/>
    </row>
    <row r="2294" spans="27:30" x14ac:dyDescent="0.2">
      <c r="AA2294" s="86"/>
      <c r="AC2294" s="86"/>
      <c r="AD2294" s="86"/>
    </row>
    <row r="2295" spans="27:30" x14ac:dyDescent="0.2">
      <c r="AA2295" s="86"/>
      <c r="AC2295" s="86"/>
      <c r="AD2295" s="86"/>
    </row>
    <row r="2296" spans="27:30" x14ac:dyDescent="0.2">
      <c r="AA2296" s="86"/>
      <c r="AC2296" s="86"/>
      <c r="AD2296" s="86"/>
    </row>
    <row r="2297" spans="27:30" x14ac:dyDescent="0.2">
      <c r="AA2297" s="86"/>
      <c r="AC2297" s="86"/>
      <c r="AD2297" s="86"/>
    </row>
    <row r="2298" spans="27:30" x14ac:dyDescent="0.2">
      <c r="AA2298" s="86"/>
      <c r="AC2298" s="86"/>
      <c r="AD2298" s="86"/>
    </row>
    <row r="2299" spans="27:30" x14ac:dyDescent="0.2">
      <c r="AA2299" s="86"/>
      <c r="AC2299" s="86"/>
      <c r="AD2299" s="86"/>
    </row>
    <row r="2300" spans="27:30" x14ac:dyDescent="0.2">
      <c r="AA2300" s="86"/>
      <c r="AC2300" s="86"/>
      <c r="AD2300" s="86"/>
    </row>
    <row r="2301" spans="27:30" x14ac:dyDescent="0.2">
      <c r="AA2301" s="86"/>
      <c r="AC2301" s="86"/>
      <c r="AD2301" s="86"/>
    </row>
    <row r="2302" spans="27:30" x14ac:dyDescent="0.2">
      <c r="AA2302" s="86"/>
      <c r="AC2302" s="86"/>
      <c r="AD2302" s="86"/>
    </row>
    <row r="2303" spans="27:30" x14ac:dyDescent="0.2">
      <c r="AA2303" s="86"/>
      <c r="AC2303" s="86"/>
      <c r="AD2303" s="86"/>
    </row>
    <row r="2304" spans="27:30" x14ac:dyDescent="0.2">
      <c r="AA2304" s="86"/>
      <c r="AC2304" s="86"/>
      <c r="AD2304" s="86"/>
    </row>
    <row r="2305" spans="27:30" x14ac:dyDescent="0.2">
      <c r="AA2305" s="86"/>
      <c r="AC2305" s="86"/>
      <c r="AD2305" s="86"/>
    </row>
    <row r="2306" spans="27:30" x14ac:dyDescent="0.2">
      <c r="AA2306" s="86"/>
      <c r="AC2306" s="86"/>
      <c r="AD2306" s="86"/>
    </row>
    <row r="2307" spans="27:30" x14ac:dyDescent="0.2">
      <c r="AA2307" s="86"/>
      <c r="AC2307" s="86"/>
      <c r="AD2307" s="86"/>
    </row>
    <row r="2308" spans="27:30" x14ac:dyDescent="0.2">
      <c r="AA2308" s="86"/>
      <c r="AC2308" s="86"/>
      <c r="AD2308" s="86"/>
    </row>
    <row r="2309" spans="27:30" x14ac:dyDescent="0.2">
      <c r="AA2309" s="86"/>
      <c r="AC2309" s="86"/>
      <c r="AD2309" s="86"/>
    </row>
    <row r="2310" spans="27:30" x14ac:dyDescent="0.2">
      <c r="AA2310" s="86"/>
      <c r="AC2310" s="86"/>
      <c r="AD2310" s="86"/>
    </row>
    <row r="2311" spans="27:30" x14ac:dyDescent="0.2">
      <c r="AA2311" s="86"/>
      <c r="AC2311" s="86"/>
      <c r="AD2311" s="86"/>
    </row>
    <row r="2312" spans="27:30" x14ac:dyDescent="0.2">
      <c r="AA2312" s="86"/>
      <c r="AC2312" s="86"/>
      <c r="AD2312" s="86"/>
    </row>
    <row r="2313" spans="27:30" x14ac:dyDescent="0.2">
      <c r="AA2313" s="86"/>
      <c r="AC2313" s="86"/>
      <c r="AD2313" s="86"/>
    </row>
    <row r="2314" spans="27:30" x14ac:dyDescent="0.2">
      <c r="AA2314" s="86"/>
      <c r="AC2314" s="86"/>
      <c r="AD2314" s="86"/>
    </row>
    <row r="2315" spans="27:30" x14ac:dyDescent="0.2">
      <c r="AA2315" s="86"/>
      <c r="AC2315" s="86"/>
      <c r="AD2315" s="86"/>
    </row>
    <row r="2316" spans="27:30" x14ac:dyDescent="0.2">
      <c r="AA2316" s="86"/>
      <c r="AC2316" s="86"/>
      <c r="AD2316" s="86"/>
    </row>
    <row r="2317" spans="27:30" x14ac:dyDescent="0.2">
      <c r="AA2317" s="86"/>
      <c r="AC2317" s="86"/>
      <c r="AD2317" s="86"/>
    </row>
    <row r="2318" spans="27:30" x14ac:dyDescent="0.2">
      <c r="AA2318" s="86"/>
      <c r="AC2318" s="86"/>
      <c r="AD2318" s="86"/>
    </row>
    <row r="2319" spans="27:30" x14ac:dyDescent="0.2">
      <c r="AA2319" s="86"/>
      <c r="AC2319" s="86"/>
      <c r="AD2319" s="86"/>
    </row>
    <row r="2320" spans="27:30" x14ac:dyDescent="0.2">
      <c r="AA2320" s="86"/>
      <c r="AC2320" s="86"/>
      <c r="AD2320" s="86"/>
    </row>
    <row r="2321" spans="27:30" x14ac:dyDescent="0.2">
      <c r="AA2321" s="86"/>
      <c r="AC2321" s="86"/>
      <c r="AD2321" s="86"/>
    </row>
    <row r="2322" spans="27:30" x14ac:dyDescent="0.2">
      <c r="AA2322" s="86"/>
      <c r="AC2322" s="86"/>
      <c r="AD2322" s="86"/>
    </row>
    <row r="2323" spans="27:30" x14ac:dyDescent="0.2">
      <c r="AA2323" s="86"/>
      <c r="AC2323" s="86"/>
      <c r="AD2323" s="86"/>
    </row>
    <row r="2324" spans="27:30" x14ac:dyDescent="0.2">
      <c r="AA2324" s="86"/>
      <c r="AC2324" s="86"/>
      <c r="AD2324" s="86"/>
    </row>
    <row r="2325" spans="27:30" x14ac:dyDescent="0.2">
      <c r="AA2325" s="86"/>
      <c r="AC2325" s="86"/>
      <c r="AD2325" s="86"/>
    </row>
    <row r="2326" spans="27:30" x14ac:dyDescent="0.2">
      <c r="AA2326" s="86"/>
      <c r="AC2326" s="86"/>
      <c r="AD2326" s="86"/>
    </row>
    <row r="2327" spans="27:30" x14ac:dyDescent="0.2">
      <c r="AA2327" s="86"/>
      <c r="AC2327" s="86"/>
      <c r="AD2327" s="86"/>
    </row>
    <row r="2328" spans="27:30" x14ac:dyDescent="0.2">
      <c r="AA2328" s="86"/>
      <c r="AC2328" s="86"/>
      <c r="AD2328" s="86"/>
    </row>
    <row r="2329" spans="27:30" x14ac:dyDescent="0.2">
      <c r="AA2329" s="86"/>
      <c r="AC2329" s="86"/>
      <c r="AD2329" s="86"/>
    </row>
    <row r="2330" spans="27:30" x14ac:dyDescent="0.2">
      <c r="AA2330" s="86"/>
      <c r="AC2330" s="86"/>
      <c r="AD2330" s="86"/>
    </row>
    <row r="2331" spans="27:30" x14ac:dyDescent="0.2">
      <c r="AA2331" s="86"/>
      <c r="AC2331" s="86"/>
      <c r="AD2331" s="86"/>
    </row>
    <row r="2332" spans="27:30" x14ac:dyDescent="0.2">
      <c r="AA2332" s="86"/>
      <c r="AC2332" s="86"/>
      <c r="AD2332" s="86"/>
    </row>
    <row r="2333" spans="27:30" x14ac:dyDescent="0.2">
      <c r="AA2333" s="86"/>
      <c r="AC2333" s="86"/>
      <c r="AD2333" s="86"/>
    </row>
    <row r="2334" spans="27:30" x14ac:dyDescent="0.2">
      <c r="AA2334" s="86"/>
      <c r="AC2334" s="86"/>
      <c r="AD2334" s="86"/>
    </row>
    <row r="2335" spans="27:30" x14ac:dyDescent="0.2">
      <c r="AA2335" s="86"/>
      <c r="AC2335" s="86"/>
      <c r="AD2335" s="86"/>
    </row>
    <row r="2336" spans="27:30" x14ac:dyDescent="0.2">
      <c r="AA2336" s="86"/>
      <c r="AC2336" s="86"/>
      <c r="AD2336" s="86"/>
    </row>
    <row r="2337" spans="27:30" x14ac:dyDescent="0.2">
      <c r="AA2337" s="86"/>
      <c r="AC2337" s="86"/>
      <c r="AD2337" s="86"/>
    </row>
    <row r="2338" spans="27:30" x14ac:dyDescent="0.2">
      <c r="AA2338" s="86"/>
      <c r="AC2338" s="86"/>
      <c r="AD2338" s="86"/>
    </row>
    <row r="2339" spans="27:30" x14ac:dyDescent="0.2">
      <c r="AA2339" s="86"/>
      <c r="AC2339" s="86"/>
      <c r="AD2339" s="86"/>
    </row>
    <row r="2340" spans="27:30" x14ac:dyDescent="0.2">
      <c r="AA2340" s="86"/>
      <c r="AC2340" s="86"/>
      <c r="AD2340" s="86"/>
    </row>
    <row r="2341" spans="27:30" x14ac:dyDescent="0.2">
      <c r="AA2341" s="86"/>
      <c r="AC2341" s="86"/>
      <c r="AD2341" s="86"/>
    </row>
    <row r="2342" spans="27:30" x14ac:dyDescent="0.2">
      <c r="AA2342" s="86"/>
      <c r="AC2342" s="86"/>
      <c r="AD2342" s="86"/>
    </row>
    <row r="2343" spans="27:30" x14ac:dyDescent="0.2">
      <c r="AA2343" s="86"/>
      <c r="AC2343" s="86"/>
      <c r="AD2343" s="86"/>
    </row>
    <row r="2344" spans="27:30" x14ac:dyDescent="0.2">
      <c r="AA2344" s="86"/>
      <c r="AC2344" s="86"/>
      <c r="AD2344" s="86"/>
    </row>
    <row r="2345" spans="27:30" x14ac:dyDescent="0.2">
      <c r="AA2345" s="86"/>
      <c r="AC2345" s="86"/>
      <c r="AD2345" s="86"/>
    </row>
    <row r="2346" spans="27:30" x14ac:dyDescent="0.2">
      <c r="AA2346" s="86"/>
      <c r="AC2346" s="86"/>
      <c r="AD2346" s="86"/>
    </row>
    <row r="2347" spans="27:30" x14ac:dyDescent="0.2">
      <c r="AA2347" s="86"/>
      <c r="AC2347" s="86"/>
      <c r="AD2347" s="86"/>
    </row>
    <row r="2348" spans="27:30" x14ac:dyDescent="0.2">
      <c r="AA2348" s="86"/>
      <c r="AC2348" s="86"/>
      <c r="AD2348" s="86"/>
    </row>
    <row r="2349" spans="27:30" x14ac:dyDescent="0.2">
      <c r="AA2349" s="86"/>
      <c r="AC2349" s="86"/>
      <c r="AD2349" s="86"/>
    </row>
    <row r="2350" spans="27:30" x14ac:dyDescent="0.2">
      <c r="AA2350" s="86"/>
      <c r="AC2350" s="86"/>
      <c r="AD2350" s="86"/>
    </row>
    <row r="2351" spans="27:30" x14ac:dyDescent="0.2">
      <c r="AA2351" s="86"/>
      <c r="AC2351" s="86"/>
      <c r="AD2351" s="86"/>
    </row>
    <row r="2352" spans="27:30" x14ac:dyDescent="0.2">
      <c r="AA2352" s="86"/>
      <c r="AC2352" s="86"/>
      <c r="AD2352" s="86"/>
    </row>
    <row r="2353" spans="27:30" x14ac:dyDescent="0.2">
      <c r="AA2353" s="86"/>
      <c r="AC2353" s="86"/>
      <c r="AD2353" s="86"/>
    </row>
    <row r="2354" spans="27:30" x14ac:dyDescent="0.2">
      <c r="AA2354" s="86"/>
      <c r="AC2354" s="86"/>
      <c r="AD2354" s="86"/>
    </row>
    <row r="2355" spans="27:30" x14ac:dyDescent="0.2">
      <c r="AA2355" s="86"/>
      <c r="AC2355" s="86"/>
      <c r="AD2355" s="86"/>
    </row>
    <row r="2356" spans="27:30" x14ac:dyDescent="0.2">
      <c r="AA2356" s="86"/>
      <c r="AC2356" s="86"/>
      <c r="AD2356" s="86"/>
    </row>
    <row r="2357" spans="27:30" x14ac:dyDescent="0.2">
      <c r="AA2357" s="86"/>
      <c r="AC2357" s="86"/>
      <c r="AD2357" s="86"/>
    </row>
    <row r="2358" spans="27:30" x14ac:dyDescent="0.2">
      <c r="AA2358" s="86"/>
      <c r="AC2358" s="86"/>
      <c r="AD2358" s="86"/>
    </row>
    <row r="2359" spans="27:30" x14ac:dyDescent="0.2">
      <c r="AA2359" s="86"/>
      <c r="AC2359" s="86"/>
      <c r="AD2359" s="86"/>
    </row>
    <row r="2360" spans="27:30" x14ac:dyDescent="0.2">
      <c r="AA2360" s="86"/>
      <c r="AC2360" s="86"/>
      <c r="AD2360" s="86"/>
    </row>
    <row r="2361" spans="27:30" x14ac:dyDescent="0.2">
      <c r="AA2361" s="86"/>
      <c r="AC2361" s="86"/>
      <c r="AD2361" s="86"/>
    </row>
    <row r="2362" spans="27:30" x14ac:dyDescent="0.2">
      <c r="AA2362" s="86"/>
      <c r="AC2362" s="86"/>
      <c r="AD2362" s="86"/>
    </row>
    <row r="2363" spans="27:30" x14ac:dyDescent="0.2">
      <c r="AA2363" s="86"/>
      <c r="AC2363" s="86"/>
      <c r="AD2363" s="86"/>
    </row>
    <row r="2364" spans="27:30" x14ac:dyDescent="0.2">
      <c r="AA2364" s="86"/>
      <c r="AC2364" s="86"/>
      <c r="AD2364" s="86"/>
    </row>
    <row r="2365" spans="27:30" x14ac:dyDescent="0.2">
      <c r="AA2365" s="86"/>
      <c r="AC2365" s="86"/>
      <c r="AD2365" s="86"/>
    </row>
    <row r="2366" spans="27:30" x14ac:dyDescent="0.2">
      <c r="AA2366" s="86"/>
      <c r="AC2366" s="86"/>
      <c r="AD2366" s="86"/>
    </row>
    <row r="2367" spans="27:30" x14ac:dyDescent="0.2">
      <c r="AA2367" s="86"/>
      <c r="AC2367" s="86"/>
      <c r="AD2367" s="86"/>
    </row>
    <row r="2368" spans="27:30" x14ac:dyDescent="0.2">
      <c r="AA2368" s="86"/>
      <c r="AC2368" s="86"/>
      <c r="AD2368" s="86"/>
    </row>
    <row r="2369" spans="27:30" x14ac:dyDescent="0.2">
      <c r="AA2369" s="86"/>
      <c r="AC2369" s="86"/>
      <c r="AD2369" s="86"/>
    </row>
    <row r="2370" spans="27:30" x14ac:dyDescent="0.2">
      <c r="AA2370" s="86"/>
      <c r="AC2370" s="86"/>
      <c r="AD2370" s="86"/>
    </row>
    <row r="2371" spans="27:30" x14ac:dyDescent="0.2">
      <c r="AA2371" s="86"/>
      <c r="AC2371" s="86"/>
      <c r="AD2371" s="86"/>
    </row>
    <row r="2372" spans="27:30" x14ac:dyDescent="0.2">
      <c r="AA2372" s="86"/>
      <c r="AC2372" s="86"/>
      <c r="AD2372" s="86"/>
    </row>
    <row r="2373" spans="27:30" x14ac:dyDescent="0.2">
      <c r="AA2373" s="86"/>
      <c r="AC2373" s="86"/>
      <c r="AD2373" s="86"/>
    </row>
    <row r="2374" spans="27:30" x14ac:dyDescent="0.2">
      <c r="AA2374" s="86"/>
      <c r="AC2374" s="86"/>
      <c r="AD2374" s="86"/>
    </row>
    <row r="2375" spans="27:30" x14ac:dyDescent="0.2">
      <c r="AA2375" s="86"/>
      <c r="AC2375" s="86"/>
      <c r="AD2375" s="86"/>
    </row>
    <row r="2376" spans="27:30" x14ac:dyDescent="0.2">
      <c r="AA2376" s="86"/>
      <c r="AC2376" s="86"/>
      <c r="AD2376" s="86"/>
    </row>
    <row r="2377" spans="27:30" x14ac:dyDescent="0.2">
      <c r="AA2377" s="86"/>
      <c r="AC2377" s="86"/>
      <c r="AD2377" s="86"/>
    </row>
    <row r="2378" spans="27:30" x14ac:dyDescent="0.2">
      <c r="AA2378" s="86"/>
      <c r="AC2378" s="86"/>
      <c r="AD2378" s="86"/>
    </row>
    <row r="2379" spans="27:30" x14ac:dyDescent="0.2">
      <c r="AA2379" s="86"/>
      <c r="AC2379" s="86"/>
      <c r="AD2379" s="86"/>
    </row>
    <row r="2380" spans="27:30" x14ac:dyDescent="0.2">
      <c r="AA2380" s="86"/>
      <c r="AC2380" s="86"/>
      <c r="AD2380" s="86"/>
    </row>
    <row r="2381" spans="27:30" x14ac:dyDescent="0.2">
      <c r="AA2381" s="86"/>
      <c r="AC2381" s="86"/>
      <c r="AD2381" s="86"/>
    </row>
    <row r="2382" spans="27:30" x14ac:dyDescent="0.2">
      <c r="AA2382" s="86"/>
      <c r="AC2382" s="86"/>
      <c r="AD2382" s="86"/>
    </row>
    <row r="2383" spans="27:30" x14ac:dyDescent="0.2">
      <c r="AA2383" s="86"/>
      <c r="AC2383" s="86"/>
      <c r="AD2383" s="86"/>
    </row>
    <row r="2384" spans="27:30" x14ac:dyDescent="0.2">
      <c r="AA2384" s="86"/>
      <c r="AC2384" s="86"/>
      <c r="AD2384" s="86"/>
    </row>
    <row r="2385" spans="27:30" x14ac:dyDescent="0.2">
      <c r="AA2385" s="86"/>
      <c r="AC2385" s="86"/>
      <c r="AD2385" s="86"/>
    </row>
    <row r="2386" spans="27:30" x14ac:dyDescent="0.2">
      <c r="AA2386" s="86"/>
      <c r="AC2386" s="86"/>
      <c r="AD2386" s="86"/>
    </row>
    <row r="2387" spans="27:30" x14ac:dyDescent="0.2">
      <c r="AA2387" s="86"/>
      <c r="AC2387" s="86"/>
      <c r="AD2387" s="86"/>
    </row>
    <row r="2388" spans="27:30" x14ac:dyDescent="0.2">
      <c r="AA2388" s="86"/>
      <c r="AC2388" s="86"/>
      <c r="AD2388" s="86"/>
    </row>
    <row r="2389" spans="27:30" x14ac:dyDescent="0.2">
      <c r="AA2389" s="86"/>
      <c r="AC2389" s="86"/>
      <c r="AD2389" s="86"/>
    </row>
    <row r="2390" spans="27:30" x14ac:dyDescent="0.2">
      <c r="AA2390" s="86"/>
      <c r="AC2390" s="86"/>
      <c r="AD2390" s="86"/>
    </row>
    <row r="2391" spans="27:30" x14ac:dyDescent="0.2">
      <c r="AA2391" s="86"/>
      <c r="AC2391" s="86"/>
      <c r="AD2391" s="86"/>
    </row>
    <row r="2392" spans="27:30" x14ac:dyDescent="0.2">
      <c r="AA2392" s="86"/>
      <c r="AC2392" s="86"/>
      <c r="AD2392" s="86"/>
    </row>
    <row r="2393" spans="27:30" x14ac:dyDescent="0.2">
      <c r="AA2393" s="86"/>
      <c r="AC2393" s="86"/>
      <c r="AD2393" s="86"/>
    </row>
    <row r="2394" spans="27:30" x14ac:dyDescent="0.2">
      <c r="AA2394" s="86"/>
      <c r="AC2394" s="86"/>
      <c r="AD2394" s="86"/>
    </row>
    <row r="2395" spans="27:30" x14ac:dyDescent="0.2">
      <c r="AA2395" s="86"/>
      <c r="AC2395" s="86"/>
      <c r="AD2395" s="86"/>
    </row>
    <row r="2396" spans="27:30" x14ac:dyDescent="0.2">
      <c r="AA2396" s="86"/>
      <c r="AC2396" s="86"/>
      <c r="AD2396" s="86"/>
    </row>
    <row r="2397" spans="27:30" x14ac:dyDescent="0.2">
      <c r="AA2397" s="86"/>
      <c r="AC2397" s="86"/>
      <c r="AD2397" s="86"/>
    </row>
    <row r="2398" spans="27:30" x14ac:dyDescent="0.2">
      <c r="AA2398" s="86"/>
      <c r="AC2398" s="86"/>
      <c r="AD2398" s="86"/>
    </row>
    <row r="2399" spans="27:30" x14ac:dyDescent="0.2">
      <c r="AA2399" s="86"/>
      <c r="AC2399" s="86"/>
      <c r="AD2399" s="86"/>
    </row>
    <row r="2400" spans="27:30" x14ac:dyDescent="0.2">
      <c r="AA2400" s="86"/>
      <c r="AC2400" s="86"/>
      <c r="AD2400" s="86"/>
    </row>
    <row r="2401" spans="27:30" x14ac:dyDescent="0.2">
      <c r="AA2401" s="86"/>
      <c r="AC2401" s="86"/>
      <c r="AD2401" s="86"/>
    </row>
    <row r="2402" spans="27:30" x14ac:dyDescent="0.2">
      <c r="AA2402" s="86"/>
      <c r="AC2402" s="86"/>
      <c r="AD2402" s="86"/>
    </row>
    <row r="2403" spans="27:30" x14ac:dyDescent="0.2">
      <c r="AA2403" s="86"/>
      <c r="AC2403" s="86"/>
      <c r="AD2403" s="86"/>
    </row>
    <row r="2404" spans="27:30" x14ac:dyDescent="0.2">
      <c r="AA2404" s="86"/>
      <c r="AC2404" s="86"/>
      <c r="AD2404" s="86"/>
    </row>
    <row r="2405" spans="27:30" x14ac:dyDescent="0.2">
      <c r="AA2405" s="86"/>
      <c r="AC2405" s="86"/>
      <c r="AD2405" s="86"/>
    </row>
    <row r="2406" spans="27:30" x14ac:dyDescent="0.2">
      <c r="AA2406" s="86"/>
      <c r="AC2406" s="86"/>
      <c r="AD2406" s="86"/>
    </row>
    <row r="2407" spans="27:30" x14ac:dyDescent="0.2">
      <c r="AA2407" s="86"/>
      <c r="AC2407" s="86"/>
      <c r="AD2407" s="86"/>
    </row>
    <row r="2408" spans="27:30" x14ac:dyDescent="0.2">
      <c r="AA2408" s="86"/>
      <c r="AC2408" s="86"/>
      <c r="AD2408" s="86"/>
    </row>
    <row r="2409" spans="27:30" x14ac:dyDescent="0.2">
      <c r="AA2409" s="86"/>
      <c r="AC2409" s="86"/>
      <c r="AD2409" s="86"/>
    </row>
    <row r="2410" spans="27:30" x14ac:dyDescent="0.2">
      <c r="AA2410" s="86"/>
      <c r="AC2410" s="86"/>
      <c r="AD2410" s="86"/>
    </row>
    <row r="2411" spans="27:30" x14ac:dyDescent="0.2">
      <c r="AA2411" s="86"/>
      <c r="AC2411" s="86"/>
      <c r="AD2411" s="86"/>
    </row>
    <row r="2412" spans="27:30" x14ac:dyDescent="0.2">
      <c r="AA2412" s="86"/>
      <c r="AC2412" s="86"/>
      <c r="AD2412" s="86"/>
    </row>
    <row r="2413" spans="27:30" x14ac:dyDescent="0.2">
      <c r="AA2413" s="86"/>
      <c r="AC2413" s="86"/>
      <c r="AD2413" s="86"/>
    </row>
    <row r="2414" spans="27:30" x14ac:dyDescent="0.2">
      <c r="AA2414" s="86"/>
      <c r="AC2414" s="86"/>
      <c r="AD2414" s="86"/>
    </row>
    <row r="2415" spans="27:30" x14ac:dyDescent="0.2">
      <c r="AA2415" s="86"/>
      <c r="AC2415" s="86"/>
      <c r="AD2415" s="86"/>
    </row>
    <row r="2416" spans="27:30" x14ac:dyDescent="0.2">
      <c r="AA2416" s="86"/>
      <c r="AC2416" s="86"/>
      <c r="AD2416" s="86"/>
    </row>
    <row r="2417" spans="27:30" x14ac:dyDescent="0.2">
      <c r="AA2417" s="86"/>
      <c r="AC2417" s="86"/>
      <c r="AD2417" s="86"/>
    </row>
    <row r="2418" spans="27:30" x14ac:dyDescent="0.2">
      <c r="AA2418" s="86"/>
      <c r="AC2418" s="86"/>
      <c r="AD2418" s="86"/>
    </row>
    <row r="2419" spans="27:30" x14ac:dyDescent="0.2">
      <c r="AA2419" s="86"/>
      <c r="AC2419" s="86"/>
      <c r="AD2419" s="86"/>
    </row>
    <row r="2420" spans="27:30" x14ac:dyDescent="0.2">
      <c r="AA2420" s="86"/>
      <c r="AC2420" s="86"/>
      <c r="AD2420" s="86"/>
    </row>
    <row r="2421" spans="27:30" x14ac:dyDescent="0.2">
      <c r="AA2421" s="86"/>
      <c r="AC2421" s="86"/>
      <c r="AD2421" s="86"/>
    </row>
    <row r="2422" spans="27:30" x14ac:dyDescent="0.2">
      <c r="AA2422" s="86"/>
      <c r="AC2422" s="86"/>
      <c r="AD2422" s="86"/>
    </row>
    <row r="2423" spans="27:30" x14ac:dyDescent="0.2">
      <c r="AA2423" s="86"/>
      <c r="AC2423" s="86"/>
      <c r="AD2423" s="86"/>
    </row>
    <row r="2424" spans="27:30" x14ac:dyDescent="0.2">
      <c r="AA2424" s="86"/>
      <c r="AC2424" s="86"/>
      <c r="AD2424" s="86"/>
    </row>
    <row r="2425" spans="27:30" x14ac:dyDescent="0.2">
      <c r="AA2425" s="86"/>
      <c r="AC2425" s="86"/>
      <c r="AD2425" s="86"/>
    </row>
    <row r="2426" spans="27:30" x14ac:dyDescent="0.2">
      <c r="AA2426" s="86"/>
      <c r="AC2426" s="86"/>
      <c r="AD2426" s="86"/>
    </row>
    <row r="2427" spans="27:30" x14ac:dyDescent="0.2">
      <c r="AA2427" s="86"/>
      <c r="AC2427" s="86"/>
      <c r="AD2427" s="86"/>
    </row>
    <row r="2428" spans="27:30" x14ac:dyDescent="0.2">
      <c r="AA2428" s="86"/>
      <c r="AC2428" s="86"/>
      <c r="AD2428" s="86"/>
    </row>
    <row r="2429" spans="27:30" x14ac:dyDescent="0.2">
      <c r="AA2429" s="86"/>
      <c r="AC2429" s="86"/>
      <c r="AD2429" s="86"/>
    </row>
    <row r="2430" spans="27:30" x14ac:dyDescent="0.2">
      <c r="AA2430" s="86"/>
      <c r="AC2430" s="86"/>
      <c r="AD2430" s="86"/>
    </row>
    <row r="2431" spans="27:30" x14ac:dyDescent="0.2">
      <c r="AA2431" s="86"/>
      <c r="AC2431" s="86"/>
      <c r="AD2431" s="86"/>
    </row>
    <row r="2432" spans="27:30" x14ac:dyDescent="0.2">
      <c r="AA2432" s="86"/>
      <c r="AC2432" s="86"/>
      <c r="AD2432" s="86"/>
    </row>
    <row r="2433" spans="27:30" x14ac:dyDescent="0.2">
      <c r="AA2433" s="86"/>
      <c r="AC2433" s="86"/>
      <c r="AD2433" s="86"/>
    </row>
    <row r="2434" spans="27:30" x14ac:dyDescent="0.2">
      <c r="AA2434" s="86"/>
      <c r="AC2434" s="86"/>
      <c r="AD2434" s="86"/>
    </row>
    <row r="2435" spans="27:30" x14ac:dyDescent="0.2">
      <c r="AA2435" s="86"/>
      <c r="AC2435" s="86"/>
      <c r="AD2435" s="86"/>
    </row>
    <row r="2436" spans="27:30" x14ac:dyDescent="0.2">
      <c r="AA2436" s="86"/>
      <c r="AC2436" s="86"/>
      <c r="AD2436" s="86"/>
    </row>
    <row r="2437" spans="27:30" x14ac:dyDescent="0.2">
      <c r="AA2437" s="86"/>
      <c r="AC2437" s="86"/>
      <c r="AD2437" s="86"/>
    </row>
    <row r="2438" spans="27:30" x14ac:dyDescent="0.2">
      <c r="AA2438" s="86"/>
      <c r="AC2438" s="86"/>
      <c r="AD2438" s="86"/>
    </row>
    <row r="2439" spans="27:30" x14ac:dyDescent="0.2">
      <c r="AA2439" s="86"/>
      <c r="AC2439" s="86"/>
      <c r="AD2439" s="86"/>
    </row>
    <row r="2440" spans="27:30" x14ac:dyDescent="0.2">
      <c r="AA2440" s="86"/>
      <c r="AC2440" s="86"/>
      <c r="AD2440" s="86"/>
    </row>
    <row r="2441" spans="27:30" x14ac:dyDescent="0.2">
      <c r="AA2441" s="86"/>
      <c r="AC2441" s="86"/>
      <c r="AD2441" s="86"/>
    </row>
    <row r="2442" spans="27:30" x14ac:dyDescent="0.2">
      <c r="AA2442" s="86"/>
      <c r="AC2442" s="86"/>
      <c r="AD2442" s="86"/>
    </row>
    <row r="2443" spans="27:30" x14ac:dyDescent="0.2">
      <c r="AA2443" s="86"/>
      <c r="AC2443" s="86"/>
      <c r="AD2443" s="86"/>
    </row>
    <row r="2444" spans="27:30" x14ac:dyDescent="0.2">
      <c r="AA2444" s="86"/>
      <c r="AC2444" s="86"/>
      <c r="AD2444" s="86"/>
    </row>
    <row r="2445" spans="27:30" x14ac:dyDescent="0.2">
      <c r="AA2445" s="86"/>
      <c r="AC2445" s="86"/>
      <c r="AD2445" s="86"/>
    </row>
    <row r="2446" spans="27:30" x14ac:dyDescent="0.2">
      <c r="AA2446" s="86"/>
      <c r="AC2446" s="86"/>
      <c r="AD2446" s="86"/>
    </row>
    <row r="2447" spans="27:30" x14ac:dyDescent="0.2">
      <c r="AA2447" s="86"/>
      <c r="AC2447" s="86"/>
      <c r="AD2447" s="86"/>
    </row>
    <row r="2448" spans="27:30" x14ac:dyDescent="0.2">
      <c r="AA2448" s="86"/>
      <c r="AC2448" s="86"/>
      <c r="AD2448" s="86"/>
    </row>
    <row r="2449" spans="27:30" x14ac:dyDescent="0.2">
      <c r="AA2449" s="86"/>
      <c r="AC2449" s="86"/>
      <c r="AD2449" s="86"/>
    </row>
    <row r="2450" spans="27:30" x14ac:dyDescent="0.2">
      <c r="AA2450" s="86"/>
      <c r="AC2450" s="86"/>
      <c r="AD2450" s="86"/>
    </row>
    <row r="2451" spans="27:30" x14ac:dyDescent="0.2">
      <c r="AA2451" s="86"/>
      <c r="AC2451" s="86"/>
      <c r="AD2451" s="86"/>
    </row>
    <row r="2452" spans="27:30" x14ac:dyDescent="0.2">
      <c r="AA2452" s="86"/>
      <c r="AC2452" s="86"/>
      <c r="AD2452" s="86"/>
    </row>
    <row r="2453" spans="27:30" x14ac:dyDescent="0.2">
      <c r="AA2453" s="86"/>
      <c r="AC2453" s="86"/>
      <c r="AD2453" s="86"/>
    </row>
    <row r="2454" spans="27:30" x14ac:dyDescent="0.2">
      <c r="AA2454" s="86"/>
      <c r="AC2454" s="86"/>
      <c r="AD2454" s="86"/>
    </row>
    <row r="2455" spans="27:30" x14ac:dyDescent="0.2">
      <c r="AA2455" s="86"/>
      <c r="AC2455" s="86"/>
      <c r="AD2455" s="86"/>
    </row>
    <row r="2456" spans="27:30" x14ac:dyDescent="0.2">
      <c r="AA2456" s="86"/>
      <c r="AC2456" s="86"/>
      <c r="AD2456" s="86"/>
    </row>
    <row r="2457" spans="27:30" x14ac:dyDescent="0.2">
      <c r="AA2457" s="86"/>
      <c r="AC2457" s="86"/>
      <c r="AD2457" s="86"/>
    </row>
    <row r="2458" spans="27:30" x14ac:dyDescent="0.2">
      <c r="AA2458" s="86"/>
      <c r="AC2458" s="86"/>
      <c r="AD2458" s="86"/>
    </row>
    <row r="2459" spans="27:30" x14ac:dyDescent="0.2">
      <c r="AA2459" s="86"/>
      <c r="AC2459" s="86"/>
      <c r="AD2459" s="86"/>
    </row>
    <row r="2460" spans="27:30" x14ac:dyDescent="0.2">
      <c r="AA2460" s="86"/>
      <c r="AC2460" s="86"/>
      <c r="AD2460" s="86"/>
    </row>
    <row r="2461" spans="27:30" x14ac:dyDescent="0.2">
      <c r="AA2461" s="86"/>
      <c r="AC2461" s="86"/>
      <c r="AD2461" s="86"/>
    </row>
    <row r="2462" spans="27:30" x14ac:dyDescent="0.2">
      <c r="AA2462" s="86"/>
      <c r="AC2462" s="86"/>
      <c r="AD2462" s="86"/>
    </row>
    <row r="2463" spans="27:30" x14ac:dyDescent="0.2">
      <c r="AA2463" s="86"/>
      <c r="AC2463" s="86"/>
      <c r="AD2463" s="86"/>
    </row>
    <row r="2464" spans="27:30" x14ac:dyDescent="0.2">
      <c r="AA2464" s="86"/>
      <c r="AC2464" s="86"/>
      <c r="AD2464" s="86"/>
    </row>
    <row r="2465" spans="27:30" x14ac:dyDescent="0.2">
      <c r="AA2465" s="86"/>
      <c r="AC2465" s="86"/>
      <c r="AD2465" s="86"/>
    </row>
    <row r="2466" spans="27:30" x14ac:dyDescent="0.2">
      <c r="AA2466" s="86"/>
      <c r="AC2466" s="86"/>
      <c r="AD2466" s="86"/>
    </row>
    <row r="2467" spans="27:30" x14ac:dyDescent="0.2">
      <c r="AA2467" s="86"/>
      <c r="AC2467" s="86"/>
      <c r="AD2467" s="86"/>
    </row>
    <row r="2468" spans="27:30" x14ac:dyDescent="0.2">
      <c r="AA2468" s="86"/>
      <c r="AC2468" s="86"/>
      <c r="AD2468" s="86"/>
    </row>
    <row r="2469" spans="27:30" x14ac:dyDescent="0.2">
      <c r="AA2469" s="86"/>
      <c r="AC2469" s="86"/>
      <c r="AD2469" s="86"/>
    </row>
    <row r="2470" spans="27:30" x14ac:dyDescent="0.2">
      <c r="AA2470" s="86"/>
      <c r="AC2470" s="86"/>
      <c r="AD2470" s="86"/>
    </row>
    <row r="2471" spans="27:30" x14ac:dyDescent="0.2">
      <c r="AA2471" s="86"/>
      <c r="AC2471" s="86"/>
      <c r="AD2471" s="86"/>
    </row>
    <row r="2472" spans="27:30" x14ac:dyDescent="0.2">
      <c r="AA2472" s="86"/>
      <c r="AC2472" s="86"/>
      <c r="AD2472" s="86"/>
    </row>
    <row r="2473" spans="27:30" x14ac:dyDescent="0.2">
      <c r="AA2473" s="86"/>
      <c r="AC2473" s="86"/>
      <c r="AD2473" s="86"/>
    </row>
    <row r="2474" spans="27:30" x14ac:dyDescent="0.2">
      <c r="AA2474" s="86"/>
      <c r="AC2474" s="86"/>
      <c r="AD2474" s="86"/>
    </row>
    <row r="2475" spans="27:30" x14ac:dyDescent="0.2">
      <c r="AA2475" s="86"/>
      <c r="AC2475" s="86"/>
      <c r="AD2475" s="86"/>
    </row>
    <row r="2476" spans="27:30" x14ac:dyDescent="0.2">
      <c r="AA2476" s="86"/>
      <c r="AC2476" s="86"/>
      <c r="AD2476" s="86"/>
    </row>
    <row r="2477" spans="27:30" x14ac:dyDescent="0.2">
      <c r="AA2477" s="86"/>
      <c r="AC2477" s="86"/>
      <c r="AD2477" s="86"/>
    </row>
    <row r="2478" spans="27:30" x14ac:dyDescent="0.2">
      <c r="AA2478" s="86"/>
      <c r="AC2478" s="86"/>
      <c r="AD2478" s="86"/>
    </row>
    <row r="2479" spans="27:30" x14ac:dyDescent="0.2">
      <c r="AA2479" s="86"/>
      <c r="AC2479" s="86"/>
      <c r="AD2479" s="86"/>
    </row>
    <row r="2480" spans="27:30" x14ac:dyDescent="0.2">
      <c r="AA2480" s="86"/>
      <c r="AC2480" s="86"/>
      <c r="AD2480" s="86"/>
    </row>
    <row r="2481" spans="27:30" x14ac:dyDescent="0.2">
      <c r="AA2481" s="86"/>
      <c r="AC2481" s="86"/>
      <c r="AD2481" s="86"/>
    </row>
    <row r="2482" spans="27:30" x14ac:dyDescent="0.2">
      <c r="AA2482" s="86"/>
      <c r="AC2482" s="86"/>
      <c r="AD2482" s="86"/>
    </row>
    <row r="2483" spans="27:30" x14ac:dyDescent="0.2">
      <c r="AA2483" s="86"/>
      <c r="AC2483" s="86"/>
      <c r="AD2483" s="86"/>
    </row>
    <row r="2484" spans="27:30" x14ac:dyDescent="0.2">
      <c r="AA2484" s="86"/>
      <c r="AC2484" s="86"/>
      <c r="AD2484" s="86"/>
    </row>
    <row r="2485" spans="27:30" x14ac:dyDescent="0.2">
      <c r="AA2485" s="86"/>
      <c r="AC2485" s="86"/>
      <c r="AD2485" s="86"/>
    </row>
    <row r="2486" spans="27:30" x14ac:dyDescent="0.2">
      <c r="AA2486" s="86"/>
      <c r="AC2486" s="86"/>
      <c r="AD2486" s="86"/>
    </row>
    <row r="2487" spans="27:30" x14ac:dyDescent="0.2">
      <c r="AA2487" s="86"/>
      <c r="AC2487" s="86"/>
      <c r="AD2487" s="86"/>
    </row>
    <row r="2488" spans="27:30" x14ac:dyDescent="0.2">
      <c r="AA2488" s="86"/>
      <c r="AC2488" s="86"/>
      <c r="AD2488" s="86"/>
    </row>
    <row r="2489" spans="27:30" x14ac:dyDescent="0.2">
      <c r="AA2489" s="86"/>
      <c r="AC2489" s="86"/>
      <c r="AD2489" s="86"/>
    </row>
    <row r="2490" spans="27:30" x14ac:dyDescent="0.2">
      <c r="AA2490" s="86"/>
      <c r="AC2490" s="86"/>
      <c r="AD2490" s="86"/>
    </row>
    <row r="2491" spans="27:30" x14ac:dyDescent="0.2">
      <c r="AA2491" s="86"/>
      <c r="AC2491" s="86"/>
      <c r="AD2491" s="86"/>
    </row>
    <row r="2492" spans="27:30" x14ac:dyDescent="0.2">
      <c r="AA2492" s="86"/>
      <c r="AC2492" s="86"/>
      <c r="AD2492" s="86"/>
    </row>
    <row r="2493" spans="27:30" x14ac:dyDescent="0.2">
      <c r="AA2493" s="86"/>
      <c r="AC2493" s="86"/>
      <c r="AD2493" s="86"/>
    </row>
    <row r="2494" spans="27:30" x14ac:dyDescent="0.2">
      <c r="AA2494" s="86"/>
      <c r="AC2494" s="86"/>
      <c r="AD2494" s="86"/>
    </row>
    <row r="2495" spans="27:30" x14ac:dyDescent="0.2">
      <c r="AA2495" s="86"/>
      <c r="AC2495" s="86"/>
      <c r="AD2495" s="86"/>
    </row>
    <row r="2496" spans="27:30" x14ac:dyDescent="0.2">
      <c r="AA2496" s="86"/>
      <c r="AC2496" s="86"/>
      <c r="AD2496" s="86"/>
    </row>
    <row r="2497" spans="27:30" x14ac:dyDescent="0.2">
      <c r="AA2497" s="86"/>
      <c r="AC2497" s="86"/>
      <c r="AD2497" s="86"/>
    </row>
    <row r="2498" spans="27:30" x14ac:dyDescent="0.2">
      <c r="AA2498" s="86"/>
      <c r="AC2498" s="86"/>
      <c r="AD2498" s="86"/>
    </row>
    <row r="2499" spans="27:30" x14ac:dyDescent="0.2">
      <c r="AA2499" s="86"/>
      <c r="AC2499" s="86"/>
      <c r="AD2499" s="86"/>
    </row>
    <row r="2500" spans="27:30" x14ac:dyDescent="0.2">
      <c r="AA2500" s="86"/>
      <c r="AC2500" s="86"/>
      <c r="AD2500" s="86"/>
    </row>
    <row r="2501" spans="27:30" x14ac:dyDescent="0.2">
      <c r="AA2501" s="86"/>
      <c r="AC2501" s="86"/>
      <c r="AD2501" s="86"/>
    </row>
    <row r="2502" spans="27:30" x14ac:dyDescent="0.2">
      <c r="AA2502" s="86"/>
      <c r="AC2502" s="86"/>
      <c r="AD2502" s="86"/>
    </row>
    <row r="2503" spans="27:30" x14ac:dyDescent="0.2">
      <c r="AA2503" s="86"/>
      <c r="AC2503" s="86"/>
      <c r="AD2503" s="86"/>
    </row>
    <row r="2504" spans="27:30" x14ac:dyDescent="0.2">
      <c r="AA2504" s="86"/>
      <c r="AC2504" s="86"/>
      <c r="AD2504" s="86"/>
    </row>
    <row r="2505" spans="27:30" x14ac:dyDescent="0.2">
      <c r="AA2505" s="86"/>
      <c r="AC2505" s="86"/>
      <c r="AD2505" s="86"/>
    </row>
    <row r="2506" spans="27:30" x14ac:dyDescent="0.2">
      <c r="AA2506" s="86"/>
      <c r="AC2506" s="86"/>
      <c r="AD2506" s="86"/>
    </row>
    <row r="2507" spans="27:30" x14ac:dyDescent="0.2">
      <c r="AA2507" s="86"/>
      <c r="AC2507" s="86"/>
      <c r="AD2507" s="86"/>
    </row>
    <row r="2508" spans="27:30" x14ac:dyDescent="0.2">
      <c r="AA2508" s="86"/>
      <c r="AC2508" s="86"/>
      <c r="AD2508" s="86"/>
    </row>
    <row r="2509" spans="27:30" x14ac:dyDescent="0.2">
      <c r="AA2509" s="86"/>
      <c r="AC2509" s="86"/>
      <c r="AD2509" s="86"/>
    </row>
    <row r="2510" spans="27:30" x14ac:dyDescent="0.2">
      <c r="AA2510" s="86"/>
      <c r="AC2510" s="86"/>
      <c r="AD2510" s="86"/>
    </row>
    <row r="2511" spans="27:30" x14ac:dyDescent="0.2">
      <c r="AA2511" s="86"/>
      <c r="AC2511" s="86"/>
      <c r="AD2511" s="86"/>
    </row>
    <row r="2512" spans="27:30" x14ac:dyDescent="0.2">
      <c r="AA2512" s="86"/>
      <c r="AC2512" s="86"/>
      <c r="AD2512" s="86"/>
    </row>
    <row r="2513" spans="27:30" x14ac:dyDescent="0.2">
      <c r="AA2513" s="86"/>
      <c r="AC2513" s="86"/>
      <c r="AD2513" s="86"/>
    </row>
    <row r="2514" spans="27:30" x14ac:dyDescent="0.2">
      <c r="AA2514" s="86"/>
      <c r="AC2514" s="86"/>
      <c r="AD2514" s="86"/>
    </row>
    <row r="2515" spans="27:30" x14ac:dyDescent="0.2">
      <c r="AA2515" s="86"/>
      <c r="AC2515" s="86"/>
      <c r="AD2515" s="86"/>
    </row>
    <row r="2516" spans="27:30" x14ac:dyDescent="0.2">
      <c r="AA2516" s="86"/>
      <c r="AC2516" s="86"/>
      <c r="AD2516" s="86"/>
    </row>
    <row r="2517" spans="27:30" x14ac:dyDescent="0.2">
      <c r="AA2517" s="86"/>
      <c r="AC2517" s="86"/>
      <c r="AD2517" s="86"/>
    </row>
    <row r="2518" spans="27:30" x14ac:dyDescent="0.2">
      <c r="AA2518" s="86"/>
      <c r="AC2518" s="86"/>
      <c r="AD2518" s="86"/>
    </row>
    <row r="2519" spans="27:30" x14ac:dyDescent="0.2">
      <c r="AA2519" s="86"/>
      <c r="AC2519" s="86"/>
      <c r="AD2519" s="86"/>
    </row>
    <row r="2520" spans="27:30" x14ac:dyDescent="0.2">
      <c r="AA2520" s="86"/>
      <c r="AC2520" s="86"/>
      <c r="AD2520" s="86"/>
    </row>
    <row r="2521" spans="27:30" x14ac:dyDescent="0.2">
      <c r="AA2521" s="86"/>
      <c r="AC2521" s="86"/>
      <c r="AD2521" s="86"/>
    </row>
    <row r="2522" spans="27:30" x14ac:dyDescent="0.2">
      <c r="AA2522" s="86"/>
      <c r="AC2522" s="86"/>
      <c r="AD2522" s="86"/>
    </row>
    <row r="2523" spans="27:30" x14ac:dyDescent="0.2">
      <c r="AA2523" s="86"/>
      <c r="AC2523" s="86"/>
      <c r="AD2523" s="86"/>
    </row>
    <row r="2524" spans="27:30" x14ac:dyDescent="0.2">
      <c r="AA2524" s="86"/>
      <c r="AC2524" s="86"/>
      <c r="AD2524" s="86"/>
    </row>
    <row r="2525" spans="27:30" x14ac:dyDescent="0.2">
      <c r="AA2525" s="86"/>
      <c r="AC2525" s="86"/>
      <c r="AD2525" s="86"/>
    </row>
    <row r="2526" spans="27:30" x14ac:dyDescent="0.2">
      <c r="AA2526" s="86"/>
      <c r="AC2526" s="86"/>
      <c r="AD2526" s="86"/>
    </row>
    <row r="2527" spans="27:30" x14ac:dyDescent="0.2">
      <c r="AA2527" s="86"/>
      <c r="AC2527" s="86"/>
      <c r="AD2527" s="86"/>
    </row>
    <row r="2528" spans="27:30" x14ac:dyDescent="0.2">
      <c r="AA2528" s="86"/>
      <c r="AC2528" s="86"/>
      <c r="AD2528" s="86"/>
    </row>
    <row r="2529" spans="27:30" x14ac:dyDescent="0.2">
      <c r="AA2529" s="86"/>
      <c r="AC2529" s="86"/>
      <c r="AD2529" s="86"/>
    </row>
    <row r="2530" spans="27:30" x14ac:dyDescent="0.2">
      <c r="AA2530" s="86"/>
      <c r="AC2530" s="86"/>
      <c r="AD2530" s="86"/>
    </row>
    <row r="2531" spans="27:30" x14ac:dyDescent="0.2">
      <c r="AA2531" s="86"/>
      <c r="AC2531" s="86"/>
      <c r="AD2531" s="86"/>
    </row>
    <row r="2532" spans="27:30" x14ac:dyDescent="0.2">
      <c r="AA2532" s="86"/>
      <c r="AC2532" s="86"/>
      <c r="AD2532" s="86"/>
    </row>
    <row r="2533" spans="27:30" x14ac:dyDescent="0.2">
      <c r="AA2533" s="86"/>
      <c r="AC2533" s="86"/>
      <c r="AD2533" s="86"/>
    </row>
    <row r="2534" spans="27:30" x14ac:dyDescent="0.2">
      <c r="AA2534" s="86"/>
      <c r="AC2534" s="86"/>
      <c r="AD2534" s="86"/>
    </row>
    <row r="2535" spans="27:30" x14ac:dyDescent="0.2">
      <c r="AA2535" s="86"/>
      <c r="AC2535" s="86"/>
      <c r="AD2535" s="86"/>
    </row>
    <row r="2536" spans="27:30" x14ac:dyDescent="0.2">
      <c r="AA2536" s="86"/>
      <c r="AC2536" s="86"/>
      <c r="AD2536" s="86"/>
    </row>
    <row r="2537" spans="27:30" x14ac:dyDescent="0.2">
      <c r="AA2537" s="86"/>
      <c r="AC2537" s="86"/>
      <c r="AD2537" s="86"/>
    </row>
    <row r="2538" spans="27:30" x14ac:dyDescent="0.2">
      <c r="AA2538" s="86"/>
      <c r="AC2538" s="86"/>
      <c r="AD2538" s="86"/>
    </row>
    <row r="2539" spans="27:30" x14ac:dyDescent="0.2">
      <c r="AA2539" s="86"/>
      <c r="AC2539" s="86"/>
      <c r="AD2539" s="86"/>
    </row>
    <row r="2540" spans="27:30" x14ac:dyDescent="0.2">
      <c r="AA2540" s="86"/>
      <c r="AC2540" s="86"/>
      <c r="AD2540" s="86"/>
    </row>
    <row r="2541" spans="27:30" x14ac:dyDescent="0.2">
      <c r="AA2541" s="86"/>
      <c r="AC2541" s="86"/>
      <c r="AD2541" s="86"/>
    </row>
    <row r="2542" spans="27:30" x14ac:dyDescent="0.2">
      <c r="AA2542" s="86"/>
      <c r="AC2542" s="86"/>
      <c r="AD2542" s="86"/>
    </row>
    <row r="2543" spans="27:30" x14ac:dyDescent="0.2">
      <c r="AA2543" s="86"/>
      <c r="AC2543" s="86"/>
      <c r="AD2543" s="86"/>
    </row>
    <row r="2544" spans="27:30" x14ac:dyDescent="0.2">
      <c r="AA2544" s="86"/>
      <c r="AC2544" s="86"/>
      <c r="AD2544" s="86"/>
    </row>
    <row r="2545" spans="27:30" x14ac:dyDescent="0.2">
      <c r="AA2545" s="86"/>
      <c r="AC2545" s="86"/>
      <c r="AD2545" s="86"/>
    </row>
    <row r="2546" spans="27:30" x14ac:dyDescent="0.2">
      <c r="AA2546" s="86"/>
      <c r="AC2546" s="86"/>
      <c r="AD2546" s="86"/>
    </row>
    <row r="2547" spans="27:30" x14ac:dyDescent="0.2">
      <c r="AA2547" s="86"/>
      <c r="AC2547" s="86"/>
      <c r="AD2547" s="86"/>
    </row>
    <row r="2548" spans="27:30" x14ac:dyDescent="0.2">
      <c r="AA2548" s="86"/>
      <c r="AC2548" s="86"/>
      <c r="AD2548" s="86"/>
    </row>
    <row r="2549" spans="27:30" x14ac:dyDescent="0.2">
      <c r="AA2549" s="86"/>
      <c r="AC2549" s="86"/>
      <c r="AD2549" s="86"/>
    </row>
    <row r="2550" spans="27:30" x14ac:dyDescent="0.2">
      <c r="AA2550" s="86"/>
      <c r="AC2550" s="86"/>
      <c r="AD2550" s="86"/>
    </row>
    <row r="2551" spans="27:30" x14ac:dyDescent="0.2">
      <c r="AA2551" s="86"/>
      <c r="AC2551" s="86"/>
      <c r="AD2551" s="86"/>
    </row>
    <row r="2552" spans="27:30" x14ac:dyDescent="0.2">
      <c r="AA2552" s="86"/>
      <c r="AC2552" s="86"/>
      <c r="AD2552" s="86"/>
    </row>
    <row r="2553" spans="27:30" x14ac:dyDescent="0.2">
      <c r="AA2553" s="86"/>
      <c r="AC2553" s="86"/>
      <c r="AD2553" s="86"/>
    </row>
    <row r="2554" spans="27:30" x14ac:dyDescent="0.2">
      <c r="AA2554" s="86"/>
      <c r="AC2554" s="86"/>
      <c r="AD2554" s="86"/>
    </row>
    <row r="2555" spans="27:30" x14ac:dyDescent="0.2">
      <c r="AA2555" s="86"/>
      <c r="AC2555" s="86"/>
      <c r="AD2555" s="86"/>
    </row>
    <row r="2556" spans="27:30" x14ac:dyDescent="0.2">
      <c r="AA2556" s="86"/>
      <c r="AC2556" s="86"/>
      <c r="AD2556" s="86"/>
    </row>
    <row r="2557" spans="27:30" x14ac:dyDescent="0.2">
      <c r="AA2557" s="86"/>
      <c r="AC2557" s="86"/>
      <c r="AD2557" s="86"/>
    </row>
    <row r="2558" spans="27:30" x14ac:dyDescent="0.2">
      <c r="AA2558" s="86"/>
      <c r="AC2558" s="86"/>
      <c r="AD2558" s="86"/>
    </row>
    <row r="2559" spans="27:30" x14ac:dyDescent="0.2">
      <c r="AA2559" s="86"/>
      <c r="AC2559" s="86"/>
      <c r="AD2559" s="86"/>
    </row>
    <row r="2560" spans="27:30" x14ac:dyDescent="0.2">
      <c r="AA2560" s="86"/>
      <c r="AC2560" s="86"/>
      <c r="AD2560" s="86"/>
    </row>
    <row r="2561" spans="27:30" x14ac:dyDescent="0.2">
      <c r="AA2561" s="86"/>
      <c r="AC2561" s="86"/>
      <c r="AD2561" s="86"/>
    </row>
    <row r="2562" spans="27:30" x14ac:dyDescent="0.2">
      <c r="AA2562" s="86"/>
      <c r="AC2562" s="86"/>
      <c r="AD2562" s="86"/>
    </row>
    <row r="2563" spans="27:30" x14ac:dyDescent="0.2">
      <c r="AA2563" s="86"/>
      <c r="AC2563" s="86"/>
      <c r="AD2563" s="86"/>
    </row>
    <row r="2564" spans="27:30" x14ac:dyDescent="0.2">
      <c r="AA2564" s="86"/>
      <c r="AC2564" s="86"/>
      <c r="AD2564" s="86"/>
    </row>
    <row r="2565" spans="27:30" x14ac:dyDescent="0.2">
      <c r="AA2565" s="86"/>
      <c r="AC2565" s="86"/>
      <c r="AD2565" s="86"/>
    </row>
    <row r="2566" spans="27:30" x14ac:dyDescent="0.2">
      <c r="AA2566" s="86"/>
      <c r="AC2566" s="86"/>
      <c r="AD2566" s="86"/>
    </row>
    <row r="2567" spans="27:30" x14ac:dyDescent="0.2">
      <c r="AA2567" s="86"/>
      <c r="AC2567" s="86"/>
      <c r="AD2567" s="86"/>
    </row>
    <row r="2568" spans="27:30" x14ac:dyDescent="0.2">
      <c r="AA2568" s="86"/>
      <c r="AC2568" s="86"/>
      <c r="AD2568" s="86"/>
    </row>
    <row r="2569" spans="27:30" x14ac:dyDescent="0.2">
      <c r="AA2569" s="86"/>
      <c r="AC2569" s="86"/>
      <c r="AD2569" s="86"/>
    </row>
    <row r="2570" spans="27:30" x14ac:dyDescent="0.2">
      <c r="AA2570" s="86"/>
      <c r="AC2570" s="86"/>
      <c r="AD2570" s="86"/>
    </row>
    <row r="2571" spans="27:30" x14ac:dyDescent="0.2">
      <c r="AA2571" s="86"/>
      <c r="AC2571" s="86"/>
      <c r="AD2571" s="86"/>
    </row>
    <row r="2572" spans="27:30" x14ac:dyDescent="0.2">
      <c r="AA2572" s="86"/>
      <c r="AC2572" s="86"/>
      <c r="AD2572" s="86"/>
    </row>
    <row r="2573" spans="27:30" x14ac:dyDescent="0.2">
      <c r="AA2573" s="86"/>
      <c r="AC2573" s="86"/>
      <c r="AD2573" s="86"/>
    </row>
    <row r="2574" spans="27:30" x14ac:dyDescent="0.2">
      <c r="AA2574" s="86"/>
      <c r="AC2574" s="86"/>
      <c r="AD2574" s="86"/>
    </row>
    <row r="2575" spans="27:30" x14ac:dyDescent="0.2">
      <c r="AA2575" s="86"/>
      <c r="AC2575" s="86"/>
      <c r="AD2575" s="86"/>
    </row>
    <row r="2576" spans="27:30" x14ac:dyDescent="0.2">
      <c r="AA2576" s="86"/>
      <c r="AC2576" s="86"/>
      <c r="AD2576" s="86"/>
    </row>
    <row r="2577" spans="27:30" x14ac:dyDescent="0.2">
      <c r="AA2577" s="86"/>
      <c r="AC2577" s="86"/>
      <c r="AD2577" s="86"/>
    </row>
    <row r="2578" spans="27:30" x14ac:dyDescent="0.2">
      <c r="AA2578" s="86"/>
      <c r="AC2578" s="86"/>
      <c r="AD2578" s="86"/>
    </row>
    <row r="2579" spans="27:30" x14ac:dyDescent="0.2">
      <c r="AA2579" s="86"/>
      <c r="AC2579" s="86"/>
      <c r="AD2579" s="86"/>
    </row>
    <row r="2580" spans="27:30" x14ac:dyDescent="0.2">
      <c r="AA2580" s="86"/>
      <c r="AC2580" s="86"/>
      <c r="AD2580" s="86"/>
    </row>
    <row r="2581" spans="27:30" x14ac:dyDescent="0.2">
      <c r="AA2581" s="86"/>
      <c r="AC2581" s="86"/>
      <c r="AD2581" s="86"/>
    </row>
    <row r="2582" spans="27:30" x14ac:dyDescent="0.2">
      <c r="AA2582" s="86"/>
      <c r="AC2582" s="86"/>
      <c r="AD2582" s="86"/>
    </row>
    <row r="2583" spans="27:30" x14ac:dyDescent="0.2">
      <c r="AA2583" s="86"/>
      <c r="AC2583" s="86"/>
      <c r="AD2583" s="86"/>
    </row>
    <row r="2584" spans="27:30" x14ac:dyDescent="0.2">
      <c r="AA2584" s="86"/>
      <c r="AC2584" s="86"/>
      <c r="AD2584" s="86"/>
    </row>
    <row r="2585" spans="27:30" x14ac:dyDescent="0.2">
      <c r="AA2585" s="86"/>
      <c r="AC2585" s="86"/>
      <c r="AD2585" s="86"/>
    </row>
    <row r="2586" spans="27:30" x14ac:dyDescent="0.2">
      <c r="AA2586" s="86"/>
      <c r="AC2586" s="86"/>
      <c r="AD2586" s="86"/>
    </row>
    <row r="2587" spans="27:30" x14ac:dyDescent="0.2">
      <c r="AA2587" s="86"/>
      <c r="AC2587" s="86"/>
      <c r="AD2587" s="86"/>
    </row>
    <row r="2588" spans="27:30" x14ac:dyDescent="0.2">
      <c r="AA2588" s="86"/>
      <c r="AC2588" s="86"/>
      <c r="AD2588" s="86"/>
    </row>
    <row r="2589" spans="27:30" x14ac:dyDescent="0.2">
      <c r="AA2589" s="86"/>
      <c r="AC2589" s="86"/>
      <c r="AD2589" s="86"/>
    </row>
    <row r="2590" spans="27:30" x14ac:dyDescent="0.2">
      <c r="AA2590" s="86"/>
      <c r="AC2590" s="86"/>
      <c r="AD2590" s="86"/>
    </row>
    <row r="2591" spans="27:30" x14ac:dyDescent="0.2">
      <c r="AA2591" s="86"/>
      <c r="AC2591" s="86"/>
      <c r="AD2591" s="86"/>
    </row>
    <row r="2592" spans="27:30" x14ac:dyDescent="0.2">
      <c r="AA2592" s="86"/>
      <c r="AC2592" s="86"/>
      <c r="AD2592" s="86"/>
    </row>
    <row r="2593" spans="27:30" x14ac:dyDescent="0.2">
      <c r="AA2593" s="86"/>
      <c r="AC2593" s="86"/>
      <c r="AD2593" s="86"/>
    </row>
    <row r="2594" spans="27:30" x14ac:dyDescent="0.2">
      <c r="AA2594" s="86"/>
      <c r="AC2594" s="86"/>
      <c r="AD2594" s="86"/>
    </row>
    <row r="2595" spans="27:30" x14ac:dyDescent="0.2">
      <c r="AA2595" s="86"/>
      <c r="AC2595" s="86"/>
      <c r="AD2595" s="86"/>
    </row>
    <row r="2596" spans="27:30" x14ac:dyDescent="0.2">
      <c r="AA2596" s="86"/>
      <c r="AC2596" s="86"/>
      <c r="AD2596" s="86"/>
    </row>
    <row r="2597" spans="27:30" x14ac:dyDescent="0.2">
      <c r="AA2597" s="86"/>
      <c r="AC2597" s="86"/>
      <c r="AD2597" s="86"/>
    </row>
    <row r="2598" spans="27:30" x14ac:dyDescent="0.2">
      <c r="AA2598" s="86"/>
      <c r="AC2598" s="86"/>
      <c r="AD2598" s="86"/>
    </row>
    <row r="2599" spans="27:30" x14ac:dyDescent="0.2">
      <c r="AA2599" s="86"/>
      <c r="AC2599" s="86"/>
      <c r="AD2599" s="86"/>
    </row>
    <row r="2600" spans="27:30" x14ac:dyDescent="0.2">
      <c r="AA2600" s="86"/>
      <c r="AC2600" s="86"/>
      <c r="AD2600" s="86"/>
    </row>
    <row r="2601" spans="27:30" x14ac:dyDescent="0.2">
      <c r="AA2601" s="86"/>
      <c r="AC2601" s="86"/>
      <c r="AD2601" s="86"/>
    </row>
    <row r="2602" spans="27:30" x14ac:dyDescent="0.2">
      <c r="AA2602" s="86"/>
      <c r="AC2602" s="86"/>
      <c r="AD2602" s="86"/>
    </row>
    <row r="2603" spans="27:30" x14ac:dyDescent="0.2">
      <c r="AA2603" s="86"/>
      <c r="AC2603" s="86"/>
      <c r="AD2603" s="86"/>
    </row>
    <row r="2604" spans="27:30" x14ac:dyDescent="0.2">
      <c r="AA2604" s="86"/>
      <c r="AC2604" s="86"/>
      <c r="AD2604" s="86"/>
    </row>
    <row r="2605" spans="27:30" x14ac:dyDescent="0.2">
      <c r="AA2605" s="86"/>
      <c r="AC2605" s="86"/>
      <c r="AD2605" s="86"/>
    </row>
    <row r="2606" spans="27:30" x14ac:dyDescent="0.2">
      <c r="AA2606" s="86"/>
      <c r="AC2606" s="86"/>
      <c r="AD2606" s="86"/>
    </row>
    <row r="2607" spans="27:30" x14ac:dyDescent="0.2">
      <c r="AA2607" s="86"/>
      <c r="AC2607" s="86"/>
      <c r="AD2607" s="86"/>
    </row>
    <row r="2608" spans="27:30" x14ac:dyDescent="0.2">
      <c r="AA2608" s="86"/>
      <c r="AC2608" s="86"/>
      <c r="AD2608" s="86"/>
    </row>
    <row r="2609" spans="27:30" x14ac:dyDescent="0.2">
      <c r="AA2609" s="86"/>
      <c r="AC2609" s="86"/>
      <c r="AD2609" s="86"/>
    </row>
    <row r="2610" spans="27:30" x14ac:dyDescent="0.2">
      <c r="AA2610" s="86"/>
      <c r="AC2610" s="86"/>
      <c r="AD2610" s="86"/>
    </row>
    <row r="2611" spans="27:30" x14ac:dyDescent="0.2">
      <c r="AA2611" s="86"/>
      <c r="AC2611" s="86"/>
      <c r="AD2611" s="86"/>
    </row>
    <row r="2612" spans="27:30" x14ac:dyDescent="0.2">
      <c r="AA2612" s="86"/>
      <c r="AC2612" s="86"/>
      <c r="AD2612" s="86"/>
    </row>
    <row r="2613" spans="27:30" x14ac:dyDescent="0.2">
      <c r="AA2613" s="86"/>
      <c r="AC2613" s="86"/>
      <c r="AD2613" s="86"/>
    </row>
    <row r="2614" spans="27:30" x14ac:dyDescent="0.2">
      <c r="AA2614" s="86"/>
      <c r="AC2614" s="86"/>
      <c r="AD2614" s="86"/>
    </row>
    <row r="2615" spans="27:30" x14ac:dyDescent="0.2">
      <c r="AA2615" s="86"/>
      <c r="AC2615" s="86"/>
      <c r="AD2615" s="86"/>
    </row>
    <row r="2616" spans="27:30" x14ac:dyDescent="0.2">
      <c r="AA2616" s="86"/>
      <c r="AC2616" s="86"/>
      <c r="AD2616" s="86"/>
    </row>
    <row r="2617" spans="27:30" x14ac:dyDescent="0.2">
      <c r="AA2617" s="86"/>
      <c r="AC2617" s="86"/>
      <c r="AD2617" s="86"/>
    </row>
    <row r="2618" spans="27:30" x14ac:dyDescent="0.2">
      <c r="AA2618" s="86"/>
      <c r="AC2618" s="86"/>
      <c r="AD2618" s="86"/>
    </row>
    <row r="2619" spans="27:30" x14ac:dyDescent="0.2">
      <c r="AA2619" s="86"/>
      <c r="AC2619" s="86"/>
      <c r="AD2619" s="86"/>
    </row>
    <row r="2620" spans="27:30" x14ac:dyDescent="0.2">
      <c r="AA2620" s="86"/>
      <c r="AC2620" s="86"/>
      <c r="AD2620" s="86"/>
    </row>
    <row r="2621" spans="27:30" x14ac:dyDescent="0.2">
      <c r="AA2621" s="86"/>
      <c r="AC2621" s="86"/>
      <c r="AD2621" s="86"/>
    </row>
    <row r="2622" spans="27:30" x14ac:dyDescent="0.2">
      <c r="AA2622" s="86"/>
      <c r="AC2622" s="86"/>
      <c r="AD2622" s="86"/>
    </row>
    <row r="2623" spans="27:30" x14ac:dyDescent="0.2">
      <c r="AA2623" s="86"/>
      <c r="AC2623" s="86"/>
      <c r="AD2623" s="86"/>
    </row>
    <row r="2624" spans="27:30" x14ac:dyDescent="0.2">
      <c r="AA2624" s="86"/>
      <c r="AC2624" s="86"/>
      <c r="AD2624" s="86"/>
    </row>
    <row r="2625" spans="27:30" x14ac:dyDescent="0.2">
      <c r="AA2625" s="86"/>
      <c r="AC2625" s="86"/>
      <c r="AD2625" s="86"/>
    </row>
    <row r="2626" spans="27:30" x14ac:dyDescent="0.2">
      <c r="AA2626" s="86"/>
      <c r="AC2626" s="86"/>
      <c r="AD2626" s="86"/>
    </row>
    <row r="2627" spans="27:30" x14ac:dyDescent="0.2">
      <c r="AA2627" s="86"/>
      <c r="AC2627" s="86"/>
      <c r="AD2627" s="86"/>
    </row>
    <row r="2628" spans="27:30" x14ac:dyDescent="0.2">
      <c r="AA2628" s="86"/>
      <c r="AC2628" s="86"/>
      <c r="AD2628" s="86"/>
    </row>
    <row r="2629" spans="27:30" x14ac:dyDescent="0.2">
      <c r="AA2629" s="86"/>
      <c r="AC2629" s="86"/>
      <c r="AD2629" s="86"/>
    </row>
    <row r="2630" spans="27:30" x14ac:dyDescent="0.2">
      <c r="AA2630" s="86"/>
      <c r="AC2630" s="86"/>
      <c r="AD2630" s="86"/>
    </row>
    <row r="2631" spans="27:30" x14ac:dyDescent="0.2">
      <c r="AA2631" s="86"/>
      <c r="AC2631" s="86"/>
      <c r="AD2631" s="86"/>
    </row>
    <row r="2632" spans="27:30" x14ac:dyDescent="0.2">
      <c r="AA2632" s="86"/>
      <c r="AC2632" s="86"/>
      <c r="AD2632" s="86"/>
    </row>
    <row r="2633" spans="27:30" x14ac:dyDescent="0.2">
      <c r="AA2633" s="86"/>
      <c r="AC2633" s="86"/>
      <c r="AD2633" s="86"/>
    </row>
    <row r="2634" spans="27:30" x14ac:dyDescent="0.2">
      <c r="AA2634" s="86"/>
      <c r="AC2634" s="86"/>
      <c r="AD2634" s="86"/>
    </row>
    <row r="2635" spans="27:30" x14ac:dyDescent="0.2">
      <c r="AA2635" s="86"/>
      <c r="AC2635" s="86"/>
      <c r="AD2635" s="86"/>
    </row>
    <row r="2636" spans="27:30" x14ac:dyDescent="0.2">
      <c r="AA2636" s="86"/>
      <c r="AC2636" s="86"/>
      <c r="AD2636" s="86"/>
    </row>
    <row r="2637" spans="27:30" x14ac:dyDescent="0.2">
      <c r="AA2637" s="86"/>
      <c r="AC2637" s="86"/>
      <c r="AD2637" s="86"/>
    </row>
    <row r="2638" spans="27:30" x14ac:dyDescent="0.2">
      <c r="AA2638" s="86"/>
      <c r="AC2638" s="86"/>
      <c r="AD2638" s="86"/>
    </row>
    <row r="2639" spans="27:30" x14ac:dyDescent="0.2">
      <c r="AA2639" s="86"/>
      <c r="AC2639" s="86"/>
      <c r="AD2639" s="86"/>
    </row>
    <row r="2640" spans="27:30" x14ac:dyDescent="0.2">
      <c r="AA2640" s="86"/>
      <c r="AC2640" s="86"/>
      <c r="AD2640" s="86"/>
    </row>
    <row r="2641" spans="27:30" x14ac:dyDescent="0.2">
      <c r="AA2641" s="86"/>
      <c r="AC2641" s="86"/>
      <c r="AD2641" s="86"/>
    </row>
    <row r="2642" spans="27:30" x14ac:dyDescent="0.2">
      <c r="AA2642" s="86"/>
      <c r="AC2642" s="86"/>
      <c r="AD2642" s="86"/>
    </row>
    <row r="2643" spans="27:30" x14ac:dyDescent="0.2">
      <c r="AA2643" s="86"/>
      <c r="AC2643" s="86"/>
      <c r="AD2643" s="86"/>
    </row>
    <row r="2644" spans="27:30" x14ac:dyDescent="0.2">
      <c r="AA2644" s="86"/>
      <c r="AC2644" s="86"/>
      <c r="AD2644" s="86"/>
    </row>
    <row r="2645" spans="27:30" x14ac:dyDescent="0.2">
      <c r="AA2645" s="86"/>
      <c r="AC2645" s="86"/>
      <c r="AD2645" s="86"/>
    </row>
    <row r="2646" spans="27:30" x14ac:dyDescent="0.2">
      <c r="AA2646" s="86"/>
      <c r="AC2646" s="86"/>
      <c r="AD2646" s="86"/>
    </row>
    <row r="2647" spans="27:30" x14ac:dyDescent="0.2">
      <c r="AA2647" s="86"/>
      <c r="AC2647" s="86"/>
      <c r="AD2647" s="86"/>
    </row>
    <row r="2648" spans="27:30" x14ac:dyDescent="0.2">
      <c r="AA2648" s="86"/>
      <c r="AC2648" s="86"/>
      <c r="AD2648" s="86"/>
    </row>
    <row r="2649" spans="27:30" x14ac:dyDescent="0.2">
      <c r="AA2649" s="86"/>
      <c r="AC2649" s="86"/>
      <c r="AD2649" s="86"/>
    </row>
    <row r="2650" spans="27:30" x14ac:dyDescent="0.2">
      <c r="AA2650" s="86"/>
      <c r="AC2650" s="86"/>
      <c r="AD2650" s="86"/>
    </row>
    <row r="2651" spans="27:30" x14ac:dyDescent="0.2">
      <c r="AA2651" s="86"/>
      <c r="AC2651" s="86"/>
      <c r="AD2651" s="86"/>
    </row>
    <row r="2652" spans="27:30" x14ac:dyDescent="0.2">
      <c r="AA2652" s="86"/>
      <c r="AC2652" s="86"/>
      <c r="AD2652" s="86"/>
    </row>
    <row r="2653" spans="27:30" x14ac:dyDescent="0.2">
      <c r="AA2653" s="86"/>
      <c r="AC2653" s="86"/>
      <c r="AD2653" s="86"/>
    </row>
    <row r="2654" spans="27:30" x14ac:dyDescent="0.2">
      <c r="AA2654" s="86"/>
      <c r="AC2654" s="86"/>
      <c r="AD2654" s="86"/>
    </row>
    <row r="2655" spans="27:30" x14ac:dyDescent="0.2">
      <c r="AA2655" s="86"/>
      <c r="AC2655" s="86"/>
      <c r="AD2655" s="86"/>
    </row>
    <row r="2656" spans="27:30" x14ac:dyDescent="0.2">
      <c r="AA2656" s="86"/>
      <c r="AC2656" s="86"/>
      <c r="AD2656" s="86"/>
    </row>
    <row r="2657" spans="27:30" x14ac:dyDescent="0.2">
      <c r="AA2657" s="86"/>
      <c r="AC2657" s="86"/>
      <c r="AD2657" s="86"/>
    </row>
    <row r="2658" spans="27:30" x14ac:dyDescent="0.2">
      <c r="AA2658" s="86"/>
      <c r="AC2658" s="86"/>
      <c r="AD2658" s="86"/>
    </row>
    <row r="2659" spans="27:30" x14ac:dyDescent="0.2">
      <c r="AA2659" s="86"/>
      <c r="AC2659" s="86"/>
      <c r="AD2659" s="86"/>
    </row>
    <row r="2660" spans="27:30" x14ac:dyDescent="0.2">
      <c r="AA2660" s="86"/>
      <c r="AC2660" s="86"/>
      <c r="AD2660" s="86"/>
    </row>
    <row r="2661" spans="27:30" x14ac:dyDescent="0.2">
      <c r="AA2661" s="86"/>
      <c r="AC2661" s="86"/>
      <c r="AD2661" s="86"/>
    </row>
    <row r="2662" spans="27:30" x14ac:dyDescent="0.2">
      <c r="AA2662" s="86"/>
      <c r="AC2662" s="86"/>
      <c r="AD2662" s="86"/>
    </row>
    <row r="2663" spans="27:30" x14ac:dyDescent="0.2">
      <c r="AA2663" s="86"/>
      <c r="AC2663" s="86"/>
      <c r="AD2663" s="86"/>
    </row>
    <row r="2664" spans="27:30" x14ac:dyDescent="0.2">
      <c r="AA2664" s="86"/>
      <c r="AC2664" s="86"/>
      <c r="AD2664" s="86"/>
    </row>
    <row r="2665" spans="27:30" x14ac:dyDescent="0.2">
      <c r="AA2665" s="86"/>
      <c r="AC2665" s="86"/>
      <c r="AD2665" s="86"/>
    </row>
    <row r="2666" spans="27:30" x14ac:dyDescent="0.2">
      <c r="AA2666" s="86"/>
      <c r="AC2666" s="86"/>
      <c r="AD2666" s="86"/>
    </row>
    <row r="2667" spans="27:30" x14ac:dyDescent="0.2">
      <c r="AA2667" s="86"/>
      <c r="AC2667" s="86"/>
      <c r="AD2667" s="86"/>
    </row>
    <row r="2668" spans="27:30" x14ac:dyDescent="0.2">
      <c r="AA2668" s="86"/>
      <c r="AC2668" s="86"/>
      <c r="AD2668" s="86"/>
    </row>
    <row r="2669" spans="27:30" x14ac:dyDescent="0.2">
      <c r="AA2669" s="86"/>
      <c r="AC2669" s="86"/>
      <c r="AD2669" s="86"/>
    </row>
    <row r="2670" spans="27:30" x14ac:dyDescent="0.2">
      <c r="AA2670" s="86"/>
      <c r="AC2670" s="86"/>
      <c r="AD2670" s="86"/>
    </row>
    <row r="2671" spans="27:30" x14ac:dyDescent="0.2">
      <c r="AA2671" s="86"/>
      <c r="AC2671" s="86"/>
      <c r="AD2671" s="86"/>
    </row>
    <row r="2672" spans="27:30" x14ac:dyDescent="0.2">
      <c r="AA2672" s="86"/>
      <c r="AC2672" s="86"/>
      <c r="AD2672" s="86"/>
    </row>
    <row r="2673" spans="27:30" x14ac:dyDescent="0.2">
      <c r="AA2673" s="86"/>
      <c r="AC2673" s="86"/>
      <c r="AD2673" s="86"/>
    </row>
    <row r="2674" spans="27:30" x14ac:dyDescent="0.2">
      <c r="AA2674" s="86"/>
      <c r="AC2674" s="86"/>
      <c r="AD2674" s="86"/>
    </row>
    <row r="2675" spans="27:30" x14ac:dyDescent="0.2">
      <c r="AA2675" s="86"/>
      <c r="AC2675" s="86"/>
      <c r="AD2675" s="86"/>
    </row>
    <row r="2676" spans="27:30" x14ac:dyDescent="0.2">
      <c r="AA2676" s="86"/>
      <c r="AC2676" s="86"/>
      <c r="AD2676" s="86"/>
    </row>
    <row r="2677" spans="27:30" x14ac:dyDescent="0.2">
      <c r="AA2677" s="86"/>
      <c r="AC2677" s="86"/>
      <c r="AD2677" s="86"/>
    </row>
    <row r="2678" spans="27:30" x14ac:dyDescent="0.2">
      <c r="AA2678" s="86"/>
      <c r="AC2678" s="86"/>
      <c r="AD2678" s="86"/>
    </row>
    <row r="2679" spans="27:30" x14ac:dyDescent="0.2">
      <c r="AA2679" s="86"/>
      <c r="AC2679" s="86"/>
      <c r="AD2679" s="86"/>
    </row>
    <row r="2680" spans="27:30" x14ac:dyDescent="0.2">
      <c r="AA2680" s="86"/>
      <c r="AC2680" s="86"/>
      <c r="AD2680" s="86"/>
    </row>
    <row r="2681" spans="27:30" x14ac:dyDescent="0.2">
      <c r="AA2681" s="86"/>
      <c r="AC2681" s="86"/>
      <c r="AD2681" s="86"/>
    </row>
    <row r="2682" spans="27:30" x14ac:dyDescent="0.2">
      <c r="AA2682" s="86"/>
      <c r="AC2682" s="86"/>
      <c r="AD2682" s="86"/>
    </row>
    <row r="2683" spans="27:30" x14ac:dyDescent="0.2">
      <c r="AA2683" s="86"/>
      <c r="AC2683" s="86"/>
      <c r="AD2683" s="86"/>
    </row>
    <row r="2684" spans="27:30" x14ac:dyDescent="0.2">
      <c r="AA2684" s="86"/>
      <c r="AC2684" s="86"/>
      <c r="AD2684" s="86"/>
    </row>
    <row r="2685" spans="27:30" x14ac:dyDescent="0.2">
      <c r="AA2685" s="86"/>
      <c r="AC2685" s="86"/>
      <c r="AD2685" s="86"/>
    </row>
    <row r="2686" spans="27:30" x14ac:dyDescent="0.2">
      <c r="AA2686" s="86"/>
      <c r="AC2686" s="86"/>
      <c r="AD2686" s="86"/>
    </row>
    <row r="2687" spans="27:30" x14ac:dyDescent="0.2">
      <c r="AA2687" s="86"/>
      <c r="AC2687" s="86"/>
      <c r="AD2687" s="86"/>
    </row>
    <row r="2688" spans="27:30" x14ac:dyDescent="0.2">
      <c r="AA2688" s="86"/>
      <c r="AC2688" s="86"/>
      <c r="AD2688" s="86"/>
    </row>
    <row r="2689" spans="27:30" x14ac:dyDescent="0.2">
      <c r="AA2689" s="86"/>
      <c r="AC2689" s="86"/>
      <c r="AD2689" s="86"/>
    </row>
    <row r="2690" spans="27:30" x14ac:dyDescent="0.2">
      <c r="AA2690" s="86"/>
      <c r="AC2690" s="86"/>
      <c r="AD2690" s="86"/>
    </row>
    <row r="2691" spans="27:30" x14ac:dyDescent="0.2">
      <c r="AA2691" s="86"/>
      <c r="AC2691" s="86"/>
      <c r="AD2691" s="86"/>
    </row>
    <row r="2692" spans="27:30" x14ac:dyDescent="0.2">
      <c r="AA2692" s="86"/>
      <c r="AC2692" s="86"/>
      <c r="AD2692" s="86"/>
    </row>
    <row r="2693" spans="27:30" x14ac:dyDescent="0.2">
      <c r="AA2693" s="86"/>
      <c r="AC2693" s="86"/>
      <c r="AD2693" s="86"/>
    </row>
    <row r="2694" spans="27:30" x14ac:dyDescent="0.2">
      <c r="AA2694" s="86"/>
      <c r="AC2694" s="86"/>
      <c r="AD2694" s="86"/>
    </row>
    <row r="2695" spans="27:30" x14ac:dyDescent="0.2">
      <c r="AA2695" s="86"/>
      <c r="AC2695" s="86"/>
      <c r="AD2695" s="86"/>
    </row>
    <row r="2696" spans="27:30" x14ac:dyDescent="0.2">
      <c r="AA2696" s="86"/>
      <c r="AC2696" s="86"/>
      <c r="AD2696" s="86"/>
    </row>
    <row r="2697" spans="27:30" x14ac:dyDescent="0.2">
      <c r="AA2697" s="86"/>
      <c r="AC2697" s="86"/>
      <c r="AD2697" s="86"/>
    </row>
    <row r="2698" spans="27:30" x14ac:dyDescent="0.2">
      <c r="AA2698" s="86"/>
      <c r="AC2698" s="86"/>
      <c r="AD2698" s="86"/>
    </row>
    <row r="2699" spans="27:30" x14ac:dyDescent="0.2">
      <c r="AA2699" s="86"/>
      <c r="AC2699" s="86"/>
      <c r="AD2699" s="86"/>
    </row>
    <row r="2700" spans="27:30" x14ac:dyDescent="0.2">
      <c r="AA2700" s="86"/>
      <c r="AC2700" s="86"/>
      <c r="AD2700" s="86"/>
    </row>
    <row r="2701" spans="27:30" x14ac:dyDescent="0.2">
      <c r="AA2701" s="86"/>
      <c r="AC2701" s="86"/>
      <c r="AD2701" s="86"/>
    </row>
    <row r="2702" spans="27:30" x14ac:dyDescent="0.2">
      <c r="AA2702" s="86"/>
      <c r="AC2702" s="86"/>
      <c r="AD2702" s="86"/>
    </row>
    <row r="2703" spans="27:30" x14ac:dyDescent="0.2">
      <c r="AA2703" s="86"/>
      <c r="AC2703" s="86"/>
      <c r="AD2703" s="86"/>
    </row>
    <row r="2704" spans="27:30" x14ac:dyDescent="0.2">
      <c r="AA2704" s="86"/>
      <c r="AC2704" s="86"/>
      <c r="AD2704" s="86"/>
    </row>
    <row r="2705" spans="27:30" x14ac:dyDescent="0.2">
      <c r="AA2705" s="86"/>
      <c r="AC2705" s="86"/>
      <c r="AD2705" s="86"/>
    </row>
    <row r="2706" spans="27:30" x14ac:dyDescent="0.2">
      <c r="AA2706" s="86"/>
      <c r="AC2706" s="86"/>
      <c r="AD2706" s="86"/>
    </row>
    <row r="2707" spans="27:30" x14ac:dyDescent="0.2">
      <c r="AA2707" s="86"/>
      <c r="AC2707" s="86"/>
      <c r="AD2707" s="86"/>
    </row>
    <row r="2708" spans="27:30" x14ac:dyDescent="0.2">
      <c r="AA2708" s="86"/>
      <c r="AC2708" s="86"/>
      <c r="AD2708" s="86"/>
    </row>
    <row r="2709" spans="27:30" x14ac:dyDescent="0.2">
      <c r="AA2709" s="86"/>
      <c r="AC2709" s="86"/>
      <c r="AD2709" s="86"/>
    </row>
    <row r="2710" spans="27:30" x14ac:dyDescent="0.2">
      <c r="AA2710" s="86"/>
      <c r="AC2710" s="86"/>
      <c r="AD2710" s="86"/>
    </row>
    <row r="2711" spans="27:30" x14ac:dyDescent="0.2">
      <c r="AA2711" s="86"/>
      <c r="AC2711" s="86"/>
      <c r="AD2711" s="86"/>
    </row>
    <row r="2712" spans="27:30" x14ac:dyDescent="0.2">
      <c r="AA2712" s="86"/>
      <c r="AC2712" s="86"/>
      <c r="AD2712" s="86"/>
    </row>
    <row r="2713" spans="27:30" x14ac:dyDescent="0.2">
      <c r="AA2713" s="86"/>
      <c r="AC2713" s="86"/>
      <c r="AD2713" s="86"/>
    </row>
    <row r="2714" spans="27:30" x14ac:dyDescent="0.2">
      <c r="AA2714" s="86"/>
      <c r="AC2714" s="86"/>
      <c r="AD2714" s="86"/>
    </row>
    <row r="2715" spans="27:30" x14ac:dyDescent="0.2">
      <c r="AA2715" s="86"/>
      <c r="AC2715" s="86"/>
      <c r="AD2715" s="86"/>
    </row>
    <row r="2716" spans="27:30" x14ac:dyDescent="0.2">
      <c r="AA2716" s="86"/>
      <c r="AC2716" s="86"/>
      <c r="AD2716" s="86"/>
    </row>
    <row r="2717" spans="27:30" x14ac:dyDescent="0.2">
      <c r="AA2717" s="86"/>
      <c r="AC2717" s="86"/>
      <c r="AD2717" s="86"/>
    </row>
    <row r="2718" spans="27:30" x14ac:dyDescent="0.2">
      <c r="AA2718" s="86"/>
      <c r="AC2718" s="86"/>
      <c r="AD2718" s="86"/>
    </row>
    <row r="2719" spans="27:30" x14ac:dyDescent="0.2">
      <c r="AA2719" s="86"/>
      <c r="AC2719" s="86"/>
      <c r="AD2719" s="86"/>
    </row>
    <row r="2720" spans="27:30" x14ac:dyDescent="0.2">
      <c r="AA2720" s="86"/>
      <c r="AC2720" s="86"/>
      <c r="AD2720" s="86"/>
    </row>
    <row r="2721" spans="27:30" x14ac:dyDescent="0.2">
      <c r="AA2721" s="86"/>
      <c r="AC2721" s="86"/>
      <c r="AD2721" s="86"/>
    </row>
    <row r="2722" spans="27:30" x14ac:dyDescent="0.2">
      <c r="AA2722" s="86"/>
      <c r="AC2722" s="86"/>
      <c r="AD2722" s="86"/>
    </row>
    <row r="2723" spans="27:30" x14ac:dyDescent="0.2">
      <c r="AA2723" s="86"/>
      <c r="AC2723" s="86"/>
      <c r="AD2723" s="86"/>
    </row>
    <row r="2724" spans="27:30" x14ac:dyDescent="0.2">
      <c r="AA2724" s="86"/>
      <c r="AC2724" s="86"/>
      <c r="AD2724" s="86"/>
    </row>
    <row r="2725" spans="27:30" x14ac:dyDescent="0.2">
      <c r="AA2725" s="86"/>
      <c r="AC2725" s="86"/>
      <c r="AD2725" s="86"/>
    </row>
    <row r="2726" spans="27:30" x14ac:dyDescent="0.2">
      <c r="AA2726" s="86"/>
      <c r="AC2726" s="86"/>
      <c r="AD2726" s="86"/>
    </row>
    <row r="2727" spans="27:30" x14ac:dyDescent="0.2">
      <c r="AA2727" s="86"/>
      <c r="AC2727" s="86"/>
      <c r="AD2727" s="86"/>
    </row>
    <row r="2728" spans="27:30" x14ac:dyDescent="0.2">
      <c r="AA2728" s="86"/>
      <c r="AC2728" s="86"/>
      <c r="AD2728" s="86"/>
    </row>
    <row r="2729" spans="27:30" x14ac:dyDescent="0.2">
      <c r="AA2729" s="86"/>
      <c r="AC2729" s="86"/>
      <c r="AD2729" s="86"/>
    </row>
    <row r="2730" spans="27:30" x14ac:dyDescent="0.2">
      <c r="AA2730" s="86"/>
      <c r="AC2730" s="86"/>
      <c r="AD2730" s="86"/>
    </row>
    <row r="2731" spans="27:30" x14ac:dyDescent="0.2">
      <c r="AA2731" s="86"/>
      <c r="AC2731" s="86"/>
      <c r="AD2731" s="86"/>
    </row>
    <row r="2732" spans="27:30" x14ac:dyDescent="0.2">
      <c r="AA2732" s="86"/>
      <c r="AC2732" s="86"/>
      <c r="AD2732" s="86"/>
    </row>
    <row r="2733" spans="27:30" x14ac:dyDescent="0.2">
      <c r="AA2733" s="86"/>
      <c r="AC2733" s="86"/>
      <c r="AD2733" s="86"/>
    </row>
    <row r="2734" spans="27:30" x14ac:dyDescent="0.2">
      <c r="AA2734" s="86"/>
      <c r="AC2734" s="86"/>
      <c r="AD2734" s="86"/>
    </row>
    <row r="2735" spans="27:30" x14ac:dyDescent="0.2">
      <c r="AA2735" s="86"/>
      <c r="AC2735" s="86"/>
      <c r="AD2735" s="86"/>
    </row>
    <row r="2736" spans="27:30" x14ac:dyDescent="0.2">
      <c r="AA2736" s="86"/>
      <c r="AC2736" s="86"/>
      <c r="AD2736" s="86"/>
    </row>
    <row r="2737" spans="27:30" x14ac:dyDescent="0.2">
      <c r="AA2737" s="86"/>
      <c r="AC2737" s="86"/>
      <c r="AD2737" s="86"/>
    </row>
    <row r="2738" spans="27:30" x14ac:dyDescent="0.2">
      <c r="AA2738" s="86"/>
      <c r="AC2738" s="86"/>
      <c r="AD2738" s="86"/>
    </row>
    <row r="2739" spans="27:30" x14ac:dyDescent="0.2">
      <c r="AA2739" s="86"/>
      <c r="AC2739" s="86"/>
      <c r="AD2739" s="86"/>
    </row>
    <row r="2740" spans="27:30" x14ac:dyDescent="0.2">
      <c r="AA2740" s="86"/>
      <c r="AC2740" s="86"/>
      <c r="AD2740" s="86"/>
    </row>
    <row r="2741" spans="27:30" x14ac:dyDescent="0.2">
      <c r="AA2741" s="86"/>
      <c r="AC2741" s="86"/>
      <c r="AD2741" s="86"/>
    </row>
    <row r="2742" spans="27:30" x14ac:dyDescent="0.2">
      <c r="AA2742" s="86"/>
      <c r="AC2742" s="86"/>
      <c r="AD2742" s="86"/>
    </row>
    <row r="2743" spans="27:30" x14ac:dyDescent="0.2">
      <c r="AA2743" s="86"/>
      <c r="AC2743" s="86"/>
      <c r="AD2743" s="86"/>
    </row>
    <row r="2744" spans="27:30" x14ac:dyDescent="0.2">
      <c r="AA2744" s="86"/>
      <c r="AC2744" s="86"/>
      <c r="AD2744" s="86"/>
    </row>
    <row r="2745" spans="27:30" x14ac:dyDescent="0.2">
      <c r="AA2745" s="86"/>
      <c r="AC2745" s="86"/>
      <c r="AD2745" s="86"/>
    </row>
    <row r="2746" spans="27:30" x14ac:dyDescent="0.2">
      <c r="AA2746" s="86"/>
      <c r="AC2746" s="86"/>
      <c r="AD2746" s="86"/>
    </row>
    <row r="2747" spans="27:30" x14ac:dyDescent="0.2">
      <c r="AA2747" s="86"/>
      <c r="AC2747" s="86"/>
      <c r="AD2747" s="86"/>
    </row>
    <row r="2748" spans="27:30" x14ac:dyDescent="0.2">
      <c r="AA2748" s="86"/>
      <c r="AC2748" s="86"/>
      <c r="AD2748" s="86"/>
    </row>
    <row r="2749" spans="27:30" x14ac:dyDescent="0.2">
      <c r="AA2749" s="86"/>
      <c r="AC2749" s="86"/>
      <c r="AD2749" s="86"/>
    </row>
    <row r="2750" spans="27:30" x14ac:dyDescent="0.2">
      <c r="AA2750" s="86"/>
      <c r="AC2750" s="86"/>
      <c r="AD2750" s="86"/>
    </row>
    <row r="2751" spans="27:30" x14ac:dyDescent="0.2">
      <c r="AA2751" s="86"/>
      <c r="AC2751" s="86"/>
      <c r="AD2751" s="86"/>
    </row>
    <row r="2752" spans="27:30" x14ac:dyDescent="0.2">
      <c r="AA2752" s="86"/>
      <c r="AC2752" s="86"/>
      <c r="AD2752" s="86"/>
    </row>
    <row r="2753" spans="27:30" x14ac:dyDescent="0.2">
      <c r="AA2753" s="86"/>
      <c r="AC2753" s="86"/>
      <c r="AD2753" s="86"/>
    </row>
    <row r="2754" spans="27:30" x14ac:dyDescent="0.2">
      <c r="AA2754" s="86"/>
      <c r="AC2754" s="86"/>
      <c r="AD2754" s="86"/>
    </row>
    <row r="2755" spans="27:30" x14ac:dyDescent="0.2">
      <c r="AA2755" s="86"/>
      <c r="AC2755" s="86"/>
      <c r="AD2755" s="86"/>
    </row>
    <row r="2756" spans="27:30" x14ac:dyDescent="0.2">
      <c r="AA2756" s="86"/>
      <c r="AC2756" s="86"/>
      <c r="AD2756" s="86"/>
    </row>
    <row r="2757" spans="27:30" x14ac:dyDescent="0.2">
      <c r="AA2757" s="86"/>
      <c r="AC2757" s="86"/>
      <c r="AD2757" s="86"/>
    </row>
    <row r="2758" spans="27:30" x14ac:dyDescent="0.2">
      <c r="AA2758" s="86"/>
      <c r="AC2758" s="86"/>
      <c r="AD2758" s="86"/>
    </row>
    <row r="2759" spans="27:30" x14ac:dyDescent="0.2">
      <c r="AA2759" s="86"/>
      <c r="AC2759" s="86"/>
      <c r="AD2759" s="86"/>
    </row>
    <row r="2760" spans="27:30" x14ac:dyDescent="0.2">
      <c r="AA2760" s="86"/>
      <c r="AC2760" s="86"/>
      <c r="AD2760" s="86"/>
    </row>
    <row r="2761" spans="27:30" x14ac:dyDescent="0.2">
      <c r="AA2761" s="86"/>
      <c r="AC2761" s="86"/>
      <c r="AD2761" s="86"/>
    </row>
    <row r="2762" spans="27:30" x14ac:dyDescent="0.2">
      <c r="AA2762" s="86"/>
      <c r="AC2762" s="86"/>
      <c r="AD2762" s="86"/>
    </row>
    <row r="2763" spans="27:30" x14ac:dyDescent="0.2">
      <c r="AA2763" s="86"/>
      <c r="AC2763" s="86"/>
      <c r="AD2763" s="86"/>
    </row>
    <row r="2764" spans="27:30" x14ac:dyDescent="0.2">
      <c r="AA2764" s="86"/>
      <c r="AC2764" s="86"/>
      <c r="AD2764" s="86"/>
    </row>
    <row r="2765" spans="27:30" x14ac:dyDescent="0.2">
      <c r="AA2765" s="86"/>
      <c r="AC2765" s="86"/>
      <c r="AD2765" s="86"/>
    </row>
    <row r="2766" spans="27:30" x14ac:dyDescent="0.2">
      <c r="AA2766" s="86"/>
      <c r="AC2766" s="86"/>
      <c r="AD2766" s="86"/>
    </row>
    <row r="2767" spans="27:30" x14ac:dyDescent="0.2">
      <c r="AA2767" s="86"/>
      <c r="AC2767" s="86"/>
      <c r="AD2767" s="86"/>
    </row>
    <row r="2768" spans="27:30" x14ac:dyDescent="0.2">
      <c r="AA2768" s="86"/>
      <c r="AC2768" s="86"/>
      <c r="AD2768" s="86"/>
    </row>
    <row r="2769" spans="27:30" x14ac:dyDescent="0.2">
      <c r="AA2769" s="86"/>
      <c r="AC2769" s="86"/>
      <c r="AD2769" s="86"/>
    </row>
    <row r="2770" spans="27:30" x14ac:dyDescent="0.2">
      <c r="AA2770" s="86"/>
      <c r="AC2770" s="86"/>
      <c r="AD2770" s="86"/>
    </row>
    <row r="2771" spans="27:30" x14ac:dyDescent="0.2">
      <c r="AA2771" s="86"/>
      <c r="AC2771" s="86"/>
      <c r="AD2771" s="86"/>
    </row>
    <row r="2772" spans="27:30" x14ac:dyDescent="0.2">
      <c r="AA2772" s="86"/>
      <c r="AC2772" s="86"/>
      <c r="AD2772" s="86"/>
    </row>
    <row r="2773" spans="27:30" x14ac:dyDescent="0.2">
      <c r="AA2773" s="86"/>
      <c r="AC2773" s="86"/>
      <c r="AD2773" s="86"/>
    </row>
    <row r="2774" spans="27:30" x14ac:dyDescent="0.2">
      <c r="AA2774" s="86"/>
      <c r="AC2774" s="86"/>
      <c r="AD2774" s="86"/>
    </row>
    <row r="2775" spans="27:30" x14ac:dyDescent="0.2">
      <c r="AA2775" s="86"/>
      <c r="AC2775" s="86"/>
      <c r="AD2775" s="86"/>
    </row>
    <row r="2776" spans="27:30" x14ac:dyDescent="0.2">
      <c r="AA2776" s="86"/>
      <c r="AC2776" s="86"/>
      <c r="AD2776" s="86"/>
    </row>
    <row r="2777" spans="27:30" x14ac:dyDescent="0.2">
      <c r="AA2777" s="86"/>
      <c r="AC2777" s="86"/>
      <c r="AD2777" s="86"/>
    </row>
    <row r="2778" spans="27:30" x14ac:dyDescent="0.2">
      <c r="AA2778" s="86"/>
      <c r="AC2778" s="86"/>
      <c r="AD2778" s="86"/>
    </row>
    <row r="2779" spans="27:30" x14ac:dyDescent="0.2">
      <c r="AA2779" s="86"/>
      <c r="AC2779" s="86"/>
      <c r="AD2779" s="86"/>
    </row>
    <row r="2780" spans="27:30" x14ac:dyDescent="0.2">
      <c r="AA2780" s="86"/>
      <c r="AC2780" s="86"/>
      <c r="AD2780" s="86"/>
    </row>
    <row r="2781" spans="27:30" x14ac:dyDescent="0.2">
      <c r="AA2781" s="86"/>
      <c r="AC2781" s="86"/>
      <c r="AD2781" s="86"/>
    </row>
    <row r="2782" spans="27:30" x14ac:dyDescent="0.2">
      <c r="AA2782" s="86"/>
      <c r="AC2782" s="86"/>
      <c r="AD2782" s="86"/>
    </row>
    <row r="2783" spans="27:30" x14ac:dyDescent="0.2">
      <c r="AA2783" s="86"/>
      <c r="AC2783" s="86"/>
      <c r="AD2783" s="86"/>
    </row>
    <row r="2784" spans="27:30" x14ac:dyDescent="0.2">
      <c r="AA2784" s="86"/>
      <c r="AC2784" s="86"/>
      <c r="AD2784" s="86"/>
    </row>
    <row r="2785" spans="27:30" x14ac:dyDescent="0.2">
      <c r="AA2785" s="86"/>
      <c r="AC2785" s="86"/>
      <c r="AD2785" s="86"/>
    </row>
    <row r="2786" spans="27:30" x14ac:dyDescent="0.2">
      <c r="AA2786" s="86"/>
      <c r="AC2786" s="86"/>
      <c r="AD2786" s="86"/>
    </row>
    <row r="2787" spans="27:30" x14ac:dyDescent="0.2">
      <c r="AA2787" s="86"/>
      <c r="AC2787" s="86"/>
      <c r="AD2787" s="86"/>
    </row>
    <row r="2788" spans="27:30" x14ac:dyDescent="0.2">
      <c r="AA2788" s="86"/>
      <c r="AC2788" s="86"/>
      <c r="AD2788" s="86"/>
    </row>
    <row r="2789" spans="27:30" x14ac:dyDescent="0.2">
      <c r="AA2789" s="86"/>
      <c r="AC2789" s="86"/>
      <c r="AD2789" s="86"/>
    </row>
    <row r="2790" spans="27:30" x14ac:dyDescent="0.2">
      <c r="AA2790" s="86"/>
      <c r="AC2790" s="86"/>
      <c r="AD2790" s="86"/>
    </row>
    <row r="2791" spans="27:30" x14ac:dyDescent="0.2">
      <c r="AA2791" s="86"/>
      <c r="AC2791" s="86"/>
      <c r="AD2791" s="86"/>
    </row>
    <row r="2792" spans="27:30" x14ac:dyDescent="0.2">
      <c r="AA2792" s="86"/>
      <c r="AC2792" s="86"/>
      <c r="AD2792" s="86"/>
    </row>
    <row r="2793" spans="27:30" x14ac:dyDescent="0.2">
      <c r="AA2793" s="86"/>
      <c r="AC2793" s="86"/>
      <c r="AD2793" s="86"/>
    </row>
    <row r="2794" spans="27:30" x14ac:dyDescent="0.2">
      <c r="AA2794" s="86"/>
      <c r="AC2794" s="86"/>
      <c r="AD2794" s="86"/>
    </row>
    <row r="2795" spans="27:30" x14ac:dyDescent="0.2">
      <c r="AA2795" s="86"/>
      <c r="AC2795" s="86"/>
      <c r="AD2795" s="86"/>
    </row>
    <row r="2796" spans="27:30" x14ac:dyDescent="0.2">
      <c r="AA2796" s="86"/>
      <c r="AC2796" s="86"/>
      <c r="AD2796" s="86"/>
    </row>
    <row r="2797" spans="27:30" x14ac:dyDescent="0.2">
      <c r="AA2797" s="86"/>
      <c r="AC2797" s="86"/>
      <c r="AD2797" s="86"/>
    </row>
    <row r="2798" spans="27:30" x14ac:dyDescent="0.2">
      <c r="AA2798" s="86"/>
      <c r="AC2798" s="86"/>
      <c r="AD2798" s="86"/>
    </row>
    <row r="2799" spans="27:30" x14ac:dyDescent="0.2">
      <c r="AA2799" s="86"/>
      <c r="AC2799" s="86"/>
      <c r="AD2799" s="86"/>
    </row>
    <row r="2800" spans="27:30" x14ac:dyDescent="0.2">
      <c r="AA2800" s="86"/>
      <c r="AC2800" s="86"/>
      <c r="AD2800" s="86"/>
    </row>
    <row r="2801" spans="27:30" x14ac:dyDescent="0.2">
      <c r="AA2801" s="86"/>
      <c r="AC2801" s="86"/>
      <c r="AD2801" s="86"/>
    </row>
    <row r="2802" spans="27:30" x14ac:dyDescent="0.2">
      <c r="AA2802" s="86"/>
      <c r="AC2802" s="86"/>
      <c r="AD2802" s="86"/>
    </row>
    <row r="2803" spans="27:30" x14ac:dyDescent="0.2">
      <c r="AA2803" s="86"/>
      <c r="AC2803" s="86"/>
      <c r="AD2803" s="86"/>
    </row>
    <row r="2804" spans="27:30" x14ac:dyDescent="0.2">
      <c r="AA2804" s="86"/>
      <c r="AC2804" s="86"/>
      <c r="AD2804" s="86"/>
    </row>
    <row r="2805" spans="27:30" x14ac:dyDescent="0.2">
      <c r="AA2805" s="86"/>
      <c r="AC2805" s="86"/>
      <c r="AD2805" s="86"/>
    </row>
    <row r="2806" spans="27:30" x14ac:dyDescent="0.2">
      <c r="AA2806" s="86"/>
      <c r="AC2806" s="86"/>
      <c r="AD2806" s="86"/>
    </row>
    <row r="2807" spans="27:30" x14ac:dyDescent="0.2">
      <c r="AA2807" s="86"/>
      <c r="AC2807" s="86"/>
      <c r="AD2807" s="86"/>
    </row>
    <row r="2808" spans="27:30" x14ac:dyDescent="0.2">
      <c r="AA2808" s="86"/>
      <c r="AC2808" s="86"/>
      <c r="AD2808" s="86"/>
    </row>
    <row r="2809" spans="27:30" x14ac:dyDescent="0.2">
      <c r="AA2809" s="86"/>
      <c r="AC2809" s="86"/>
      <c r="AD2809" s="86"/>
    </row>
    <row r="2810" spans="27:30" x14ac:dyDescent="0.2">
      <c r="AA2810" s="86"/>
      <c r="AC2810" s="86"/>
      <c r="AD2810" s="86"/>
    </row>
    <row r="2811" spans="27:30" x14ac:dyDescent="0.2">
      <c r="AA2811" s="86"/>
      <c r="AC2811" s="86"/>
      <c r="AD2811" s="86"/>
    </row>
    <row r="2812" spans="27:30" x14ac:dyDescent="0.2">
      <c r="AA2812" s="86"/>
      <c r="AC2812" s="86"/>
      <c r="AD2812" s="86"/>
    </row>
    <row r="2813" spans="27:30" x14ac:dyDescent="0.2">
      <c r="AA2813" s="86"/>
      <c r="AC2813" s="86"/>
      <c r="AD2813" s="86"/>
    </row>
    <row r="2814" spans="27:30" x14ac:dyDescent="0.2">
      <c r="AA2814" s="86"/>
      <c r="AC2814" s="86"/>
      <c r="AD2814" s="86"/>
    </row>
    <row r="2815" spans="27:30" x14ac:dyDescent="0.2">
      <c r="AA2815" s="86"/>
      <c r="AC2815" s="86"/>
      <c r="AD2815" s="86"/>
    </row>
    <row r="2816" spans="27:30" x14ac:dyDescent="0.2">
      <c r="AA2816" s="86"/>
      <c r="AC2816" s="86"/>
      <c r="AD2816" s="86"/>
    </row>
    <row r="2817" spans="27:30" x14ac:dyDescent="0.2">
      <c r="AA2817" s="86"/>
      <c r="AC2817" s="86"/>
      <c r="AD2817" s="86"/>
    </row>
    <row r="2818" spans="27:30" x14ac:dyDescent="0.2">
      <c r="AA2818" s="86"/>
      <c r="AC2818" s="86"/>
      <c r="AD2818" s="86"/>
    </row>
    <row r="2819" spans="27:30" x14ac:dyDescent="0.2">
      <c r="AA2819" s="86"/>
      <c r="AC2819" s="86"/>
      <c r="AD2819" s="86"/>
    </row>
    <row r="2820" spans="27:30" x14ac:dyDescent="0.2">
      <c r="AA2820" s="86"/>
      <c r="AC2820" s="86"/>
      <c r="AD2820" s="86"/>
    </row>
    <row r="2821" spans="27:30" x14ac:dyDescent="0.2">
      <c r="AA2821" s="86"/>
      <c r="AC2821" s="86"/>
      <c r="AD2821" s="86"/>
    </row>
    <row r="2822" spans="27:30" x14ac:dyDescent="0.2">
      <c r="AA2822" s="86"/>
      <c r="AC2822" s="86"/>
      <c r="AD2822" s="86"/>
    </row>
    <row r="2823" spans="27:30" x14ac:dyDescent="0.2">
      <c r="AA2823" s="86"/>
      <c r="AC2823" s="86"/>
      <c r="AD2823" s="86"/>
    </row>
    <row r="2824" spans="27:30" x14ac:dyDescent="0.2">
      <c r="AA2824" s="86"/>
      <c r="AC2824" s="86"/>
      <c r="AD2824" s="86"/>
    </row>
    <row r="2825" spans="27:30" x14ac:dyDescent="0.2">
      <c r="AA2825" s="86"/>
      <c r="AC2825" s="86"/>
      <c r="AD2825" s="86"/>
    </row>
    <row r="2826" spans="27:30" x14ac:dyDescent="0.2">
      <c r="AA2826" s="86"/>
      <c r="AC2826" s="86"/>
      <c r="AD2826" s="86"/>
    </row>
    <row r="2827" spans="27:30" x14ac:dyDescent="0.2">
      <c r="AA2827" s="86"/>
      <c r="AC2827" s="86"/>
      <c r="AD2827" s="86"/>
    </row>
    <row r="2828" spans="27:30" x14ac:dyDescent="0.2">
      <c r="AA2828" s="86"/>
      <c r="AC2828" s="86"/>
      <c r="AD2828" s="86"/>
    </row>
    <row r="2829" spans="27:30" x14ac:dyDescent="0.2">
      <c r="AA2829" s="86"/>
      <c r="AC2829" s="86"/>
      <c r="AD2829" s="86"/>
    </row>
    <row r="2830" spans="27:30" x14ac:dyDescent="0.2">
      <c r="AA2830" s="86"/>
      <c r="AC2830" s="86"/>
      <c r="AD2830" s="86"/>
    </row>
    <row r="2831" spans="27:30" x14ac:dyDescent="0.2">
      <c r="AA2831" s="86"/>
      <c r="AC2831" s="86"/>
      <c r="AD2831" s="86"/>
    </row>
    <row r="2832" spans="27:30" x14ac:dyDescent="0.2">
      <c r="AA2832" s="86"/>
      <c r="AC2832" s="86"/>
      <c r="AD2832" s="86"/>
    </row>
    <row r="2833" spans="27:30" x14ac:dyDescent="0.2">
      <c r="AA2833" s="86"/>
      <c r="AC2833" s="86"/>
      <c r="AD2833" s="86"/>
    </row>
    <row r="2834" spans="27:30" x14ac:dyDescent="0.2">
      <c r="AA2834" s="86"/>
      <c r="AC2834" s="86"/>
      <c r="AD2834" s="86"/>
    </row>
    <row r="2835" spans="27:30" x14ac:dyDescent="0.2">
      <c r="AA2835" s="86"/>
      <c r="AC2835" s="86"/>
      <c r="AD2835" s="86"/>
    </row>
    <row r="2836" spans="27:30" x14ac:dyDescent="0.2">
      <c r="AA2836" s="86"/>
      <c r="AC2836" s="86"/>
      <c r="AD2836" s="86"/>
    </row>
    <row r="2837" spans="27:30" x14ac:dyDescent="0.2">
      <c r="AA2837" s="86"/>
      <c r="AC2837" s="86"/>
      <c r="AD2837" s="86"/>
    </row>
    <row r="2838" spans="27:30" x14ac:dyDescent="0.2">
      <c r="AA2838" s="86"/>
      <c r="AC2838" s="86"/>
      <c r="AD2838" s="86"/>
    </row>
    <row r="2839" spans="27:30" x14ac:dyDescent="0.2">
      <c r="AA2839" s="86"/>
      <c r="AC2839" s="86"/>
      <c r="AD2839" s="86"/>
    </row>
    <row r="2840" spans="27:30" x14ac:dyDescent="0.2">
      <c r="AA2840" s="86"/>
      <c r="AC2840" s="86"/>
      <c r="AD2840" s="86"/>
    </row>
    <row r="2841" spans="27:30" x14ac:dyDescent="0.2">
      <c r="AA2841" s="86"/>
      <c r="AC2841" s="86"/>
      <c r="AD2841" s="86"/>
    </row>
    <row r="2842" spans="27:30" x14ac:dyDescent="0.2">
      <c r="AA2842" s="86"/>
      <c r="AC2842" s="86"/>
      <c r="AD2842" s="86"/>
    </row>
    <row r="2843" spans="27:30" x14ac:dyDescent="0.2">
      <c r="AA2843" s="86"/>
      <c r="AC2843" s="86"/>
      <c r="AD2843" s="86"/>
    </row>
    <row r="2844" spans="27:30" x14ac:dyDescent="0.2">
      <c r="AA2844" s="86"/>
      <c r="AC2844" s="86"/>
      <c r="AD2844" s="86"/>
    </row>
    <row r="2845" spans="27:30" x14ac:dyDescent="0.2">
      <c r="AA2845" s="86"/>
      <c r="AC2845" s="86"/>
      <c r="AD2845" s="86"/>
    </row>
    <row r="2846" spans="27:30" x14ac:dyDescent="0.2">
      <c r="AA2846" s="86"/>
      <c r="AC2846" s="86"/>
      <c r="AD2846" s="86"/>
    </row>
    <row r="2847" spans="27:30" x14ac:dyDescent="0.2">
      <c r="AA2847" s="86"/>
      <c r="AC2847" s="86"/>
      <c r="AD2847" s="86"/>
    </row>
    <row r="2848" spans="27:30" x14ac:dyDescent="0.2">
      <c r="AA2848" s="86"/>
      <c r="AC2848" s="86"/>
      <c r="AD2848" s="86"/>
    </row>
    <row r="2849" spans="27:30" x14ac:dyDescent="0.2">
      <c r="AA2849" s="86"/>
      <c r="AC2849" s="86"/>
      <c r="AD2849" s="86"/>
    </row>
    <row r="2850" spans="27:30" x14ac:dyDescent="0.2">
      <c r="AA2850" s="86"/>
      <c r="AC2850" s="86"/>
      <c r="AD2850" s="86"/>
    </row>
    <row r="2851" spans="27:30" x14ac:dyDescent="0.2">
      <c r="AA2851" s="86"/>
      <c r="AC2851" s="86"/>
      <c r="AD2851" s="86"/>
    </row>
    <row r="2852" spans="27:30" x14ac:dyDescent="0.2">
      <c r="AA2852" s="86"/>
      <c r="AC2852" s="86"/>
      <c r="AD2852" s="86"/>
    </row>
    <row r="2853" spans="27:30" x14ac:dyDescent="0.2">
      <c r="AA2853" s="86"/>
      <c r="AC2853" s="86"/>
      <c r="AD2853" s="86"/>
    </row>
    <row r="2854" spans="27:30" x14ac:dyDescent="0.2">
      <c r="AA2854" s="86"/>
      <c r="AC2854" s="86"/>
      <c r="AD2854" s="86"/>
    </row>
    <row r="2855" spans="27:30" x14ac:dyDescent="0.2">
      <c r="AA2855" s="86"/>
      <c r="AC2855" s="86"/>
      <c r="AD2855" s="86"/>
    </row>
    <row r="2856" spans="27:30" x14ac:dyDescent="0.2">
      <c r="AA2856" s="86"/>
      <c r="AC2856" s="86"/>
      <c r="AD2856" s="86"/>
    </row>
    <row r="2857" spans="27:30" x14ac:dyDescent="0.2">
      <c r="AA2857" s="86"/>
      <c r="AC2857" s="86"/>
      <c r="AD2857" s="86"/>
    </row>
    <row r="2858" spans="27:30" x14ac:dyDescent="0.2">
      <c r="AA2858" s="86"/>
      <c r="AC2858" s="86"/>
      <c r="AD2858" s="86"/>
    </row>
    <row r="2859" spans="27:30" x14ac:dyDescent="0.2">
      <c r="AA2859" s="86"/>
      <c r="AC2859" s="86"/>
      <c r="AD2859" s="86"/>
    </row>
    <row r="2860" spans="27:30" x14ac:dyDescent="0.2">
      <c r="AA2860" s="86"/>
      <c r="AC2860" s="86"/>
      <c r="AD2860" s="86"/>
    </row>
    <row r="2861" spans="27:30" x14ac:dyDescent="0.2">
      <c r="AA2861" s="86"/>
      <c r="AC2861" s="86"/>
      <c r="AD2861" s="86"/>
    </row>
    <row r="2862" spans="27:30" x14ac:dyDescent="0.2">
      <c r="AA2862" s="86"/>
      <c r="AC2862" s="86"/>
      <c r="AD2862" s="86"/>
    </row>
    <row r="2863" spans="27:30" x14ac:dyDescent="0.2">
      <c r="AA2863" s="86"/>
      <c r="AC2863" s="86"/>
      <c r="AD2863" s="86"/>
    </row>
    <row r="2864" spans="27:30" x14ac:dyDescent="0.2">
      <c r="AA2864" s="86"/>
      <c r="AC2864" s="86"/>
      <c r="AD2864" s="86"/>
    </row>
    <row r="2865" spans="27:30" x14ac:dyDescent="0.2">
      <c r="AA2865" s="86"/>
      <c r="AC2865" s="86"/>
      <c r="AD2865" s="86"/>
    </row>
    <row r="2866" spans="27:30" x14ac:dyDescent="0.2">
      <c r="AA2866" s="86"/>
      <c r="AC2866" s="86"/>
      <c r="AD2866" s="86"/>
    </row>
    <row r="2867" spans="27:30" x14ac:dyDescent="0.2">
      <c r="AA2867" s="86"/>
      <c r="AC2867" s="86"/>
      <c r="AD2867" s="86"/>
    </row>
    <row r="2868" spans="27:30" x14ac:dyDescent="0.2">
      <c r="AA2868" s="86"/>
      <c r="AC2868" s="86"/>
      <c r="AD2868" s="86"/>
    </row>
    <row r="2869" spans="27:30" x14ac:dyDescent="0.2">
      <c r="AA2869" s="86"/>
      <c r="AC2869" s="86"/>
      <c r="AD2869" s="86"/>
    </row>
    <row r="2870" spans="27:30" x14ac:dyDescent="0.2">
      <c r="AA2870" s="86"/>
      <c r="AC2870" s="86"/>
      <c r="AD2870" s="86"/>
    </row>
    <row r="2871" spans="27:30" x14ac:dyDescent="0.2">
      <c r="AA2871" s="86"/>
      <c r="AC2871" s="86"/>
      <c r="AD2871" s="86"/>
    </row>
    <row r="2872" spans="27:30" x14ac:dyDescent="0.2">
      <c r="AA2872" s="86"/>
      <c r="AC2872" s="86"/>
      <c r="AD2872" s="86"/>
    </row>
    <row r="2873" spans="27:30" x14ac:dyDescent="0.2">
      <c r="AA2873" s="86"/>
      <c r="AC2873" s="86"/>
      <c r="AD2873" s="86"/>
    </row>
    <row r="2874" spans="27:30" x14ac:dyDescent="0.2">
      <c r="AA2874" s="86"/>
      <c r="AC2874" s="86"/>
      <c r="AD2874" s="86"/>
    </row>
    <row r="2875" spans="27:30" x14ac:dyDescent="0.2">
      <c r="AA2875" s="86"/>
      <c r="AC2875" s="86"/>
      <c r="AD2875" s="86"/>
    </row>
    <row r="2876" spans="27:30" x14ac:dyDescent="0.2">
      <c r="AA2876" s="86"/>
      <c r="AC2876" s="86"/>
      <c r="AD2876" s="86"/>
    </row>
    <row r="2877" spans="27:30" x14ac:dyDescent="0.2">
      <c r="AA2877" s="86"/>
      <c r="AC2877" s="86"/>
      <c r="AD2877" s="86"/>
    </row>
    <row r="2878" spans="27:30" x14ac:dyDescent="0.2">
      <c r="AA2878" s="86"/>
      <c r="AC2878" s="86"/>
      <c r="AD2878" s="86"/>
    </row>
    <row r="2879" spans="27:30" x14ac:dyDescent="0.2">
      <c r="AA2879" s="86"/>
      <c r="AC2879" s="86"/>
      <c r="AD2879" s="86"/>
    </row>
    <row r="2880" spans="27:30" x14ac:dyDescent="0.2">
      <c r="AA2880" s="86"/>
      <c r="AC2880" s="86"/>
      <c r="AD2880" s="86"/>
    </row>
    <row r="2881" spans="27:30" x14ac:dyDescent="0.2">
      <c r="AA2881" s="86"/>
      <c r="AC2881" s="86"/>
      <c r="AD2881" s="86"/>
    </row>
    <row r="2882" spans="27:30" x14ac:dyDescent="0.2">
      <c r="AA2882" s="86"/>
      <c r="AC2882" s="86"/>
      <c r="AD2882" s="86"/>
    </row>
    <row r="2883" spans="27:30" x14ac:dyDescent="0.2">
      <c r="AA2883" s="86"/>
      <c r="AC2883" s="86"/>
      <c r="AD2883" s="86"/>
    </row>
    <row r="2884" spans="27:30" x14ac:dyDescent="0.2">
      <c r="AA2884" s="86"/>
      <c r="AC2884" s="86"/>
      <c r="AD2884" s="86"/>
    </row>
    <row r="2885" spans="27:30" x14ac:dyDescent="0.2">
      <c r="AA2885" s="86"/>
      <c r="AC2885" s="86"/>
      <c r="AD2885" s="86"/>
    </row>
    <row r="2886" spans="27:30" x14ac:dyDescent="0.2">
      <c r="AA2886" s="86"/>
      <c r="AC2886" s="86"/>
      <c r="AD2886" s="86"/>
    </row>
    <row r="2887" spans="27:30" x14ac:dyDescent="0.2">
      <c r="AA2887" s="86"/>
      <c r="AC2887" s="86"/>
      <c r="AD2887" s="86"/>
    </row>
    <row r="2888" spans="27:30" x14ac:dyDescent="0.2">
      <c r="AA2888" s="86"/>
      <c r="AC2888" s="86"/>
      <c r="AD2888" s="86"/>
    </row>
    <row r="2889" spans="27:30" x14ac:dyDescent="0.2">
      <c r="AA2889" s="86"/>
      <c r="AC2889" s="86"/>
      <c r="AD2889" s="86"/>
    </row>
    <row r="2890" spans="27:30" x14ac:dyDescent="0.2">
      <c r="AA2890" s="86"/>
      <c r="AC2890" s="86"/>
      <c r="AD2890" s="86"/>
    </row>
    <row r="2891" spans="27:30" x14ac:dyDescent="0.2">
      <c r="AA2891" s="86"/>
      <c r="AC2891" s="86"/>
      <c r="AD2891" s="86"/>
    </row>
    <row r="2892" spans="27:30" x14ac:dyDescent="0.2">
      <c r="AA2892" s="86"/>
      <c r="AC2892" s="86"/>
      <c r="AD2892" s="86"/>
    </row>
    <row r="2893" spans="27:30" x14ac:dyDescent="0.2">
      <c r="AA2893" s="86"/>
      <c r="AC2893" s="86"/>
      <c r="AD2893" s="86"/>
    </row>
    <row r="2894" spans="27:30" x14ac:dyDescent="0.2">
      <c r="AA2894" s="86"/>
      <c r="AC2894" s="86"/>
      <c r="AD2894" s="86"/>
    </row>
    <row r="2895" spans="27:30" x14ac:dyDescent="0.2">
      <c r="AA2895" s="86"/>
      <c r="AC2895" s="86"/>
      <c r="AD2895" s="86"/>
    </row>
    <row r="2896" spans="27:30" x14ac:dyDescent="0.2">
      <c r="AA2896" s="86"/>
      <c r="AC2896" s="86"/>
      <c r="AD2896" s="86"/>
    </row>
    <row r="2897" spans="27:30" x14ac:dyDescent="0.2">
      <c r="AA2897" s="86"/>
      <c r="AC2897" s="86"/>
      <c r="AD2897" s="86"/>
    </row>
    <row r="2898" spans="27:30" x14ac:dyDescent="0.2">
      <c r="AA2898" s="86"/>
      <c r="AC2898" s="86"/>
      <c r="AD2898" s="86"/>
    </row>
    <row r="2899" spans="27:30" x14ac:dyDescent="0.2">
      <c r="AA2899" s="86"/>
      <c r="AC2899" s="86"/>
      <c r="AD2899" s="86"/>
    </row>
    <row r="2900" spans="27:30" x14ac:dyDescent="0.2">
      <c r="AA2900" s="86"/>
      <c r="AC2900" s="86"/>
      <c r="AD2900" s="86"/>
    </row>
    <row r="2901" spans="27:30" x14ac:dyDescent="0.2">
      <c r="AA2901" s="86"/>
      <c r="AC2901" s="86"/>
      <c r="AD2901" s="86"/>
    </row>
    <row r="2902" spans="27:30" x14ac:dyDescent="0.2">
      <c r="AA2902" s="86"/>
      <c r="AC2902" s="86"/>
      <c r="AD2902" s="86"/>
    </row>
    <row r="2903" spans="27:30" x14ac:dyDescent="0.2">
      <c r="AA2903" s="86"/>
      <c r="AC2903" s="86"/>
      <c r="AD2903" s="86"/>
    </row>
    <row r="2904" spans="27:30" x14ac:dyDescent="0.2">
      <c r="AA2904" s="86"/>
      <c r="AC2904" s="86"/>
      <c r="AD2904" s="86"/>
    </row>
    <row r="2905" spans="27:30" x14ac:dyDescent="0.2">
      <c r="AA2905" s="86"/>
      <c r="AC2905" s="86"/>
      <c r="AD2905" s="86"/>
    </row>
    <row r="2906" spans="27:30" x14ac:dyDescent="0.2">
      <c r="AA2906" s="86"/>
      <c r="AC2906" s="86"/>
      <c r="AD2906" s="86"/>
    </row>
    <row r="2907" spans="27:30" x14ac:dyDescent="0.2">
      <c r="AA2907" s="86"/>
      <c r="AC2907" s="86"/>
      <c r="AD2907" s="86"/>
    </row>
    <row r="2908" spans="27:30" x14ac:dyDescent="0.2">
      <c r="AA2908" s="86"/>
      <c r="AC2908" s="86"/>
      <c r="AD2908" s="86"/>
    </row>
    <row r="2909" spans="27:30" x14ac:dyDescent="0.2">
      <c r="AA2909" s="86"/>
      <c r="AC2909" s="86"/>
      <c r="AD2909" s="86"/>
    </row>
    <row r="2910" spans="27:30" x14ac:dyDescent="0.2">
      <c r="AA2910" s="86"/>
      <c r="AC2910" s="86"/>
      <c r="AD2910" s="86"/>
    </row>
    <row r="2911" spans="27:30" x14ac:dyDescent="0.2">
      <c r="AA2911" s="86"/>
      <c r="AC2911" s="86"/>
      <c r="AD2911" s="86"/>
    </row>
    <row r="2912" spans="27:30" x14ac:dyDescent="0.2">
      <c r="AA2912" s="86"/>
      <c r="AC2912" s="86"/>
      <c r="AD2912" s="86"/>
    </row>
    <row r="2913" spans="27:30" x14ac:dyDescent="0.2">
      <c r="AA2913" s="86"/>
      <c r="AC2913" s="86"/>
      <c r="AD2913" s="86"/>
    </row>
    <row r="2914" spans="27:30" x14ac:dyDescent="0.2">
      <c r="AA2914" s="86"/>
      <c r="AC2914" s="86"/>
      <c r="AD2914" s="86"/>
    </row>
    <row r="2915" spans="27:30" x14ac:dyDescent="0.2">
      <c r="AA2915" s="86"/>
      <c r="AC2915" s="86"/>
      <c r="AD2915" s="86"/>
    </row>
    <row r="2916" spans="27:30" x14ac:dyDescent="0.2">
      <c r="AA2916" s="86"/>
      <c r="AC2916" s="86"/>
      <c r="AD2916" s="86"/>
    </row>
    <row r="2917" spans="27:30" x14ac:dyDescent="0.2">
      <c r="AA2917" s="86"/>
      <c r="AC2917" s="86"/>
      <c r="AD2917" s="86"/>
    </row>
    <row r="2918" spans="27:30" x14ac:dyDescent="0.2">
      <c r="AA2918" s="86"/>
      <c r="AC2918" s="86"/>
      <c r="AD2918" s="86"/>
    </row>
    <row r="2919" spans="27:30" x14ac:dyDescent="0.2">
      <c r="AA2919" s="86"/>
      <c r="AC2919" s="86"/>
      <c r="AD2919" s="86"/>
    </row>
    <row r="2920" spans="27:30" x14ac:dyDescent="0.2">
      <c r="AA2920" s="86"/>
      <c r="AC2920" s="86"/>
      <c r="AD2920" s="86"/>
    </row>
    <row r="2921" spans="27:30" x14ac:dyDescent="0.2">
      <c r="AA2921" s="86"/>
      <c r="AC2921" s="86"/>
      <c r="AD2921" s="86"/>
    </row>
    <row r="2922" spans="27:30" x14ac:dyDescent="0.2">
      <c r="AA2922" s="86"/>
      <c r="AC2922" s="86"/>
      <c r="AD2922" s="86"/>
    </row>
    <row r="2923" spans="27:30" x14ac:dyDescent="0.2">
      <c r="AA2923" s="86"/>
      <c r="AC2923" s="86"/>
      <c r="AD2923" s="86"/>
    </row>
    <row r="2924" spans="27:30" x14ac:dyDescent="0.2">
      <c r="AA2924" s="86"/>
      <c r="AC2924" s="86"/>
      <c r="AD2924" s="86"/>
    </row>
    <row r="2925" spans="27:30" x14ac:dyDescent="0.2">
      <c r="AA2925" s="86"/>
      <c r="AC2925" s="86"/>
      <c r="AD2925" s="86"/>
    </row>
    <row r="2926" spans="27:30" x14ac:dyDescent="0.2">
      <c r="AA2926" s="86"/>
      <c r="AC2926" s="86"/>
      <c r="AD2926" s="86"/>
    </row>
    <row r="2927" spans="27:30" x14ac:dyDescent="0.2">
      <c r="AA2927" s="86"/>
      <c r="AC2927" s="86"/>
      <c r="AD2927" s="86"/>
    </row>
    <row r="2928" spans="27:30" x14ac:dyDescent="0.2">
      <c r="AA2928" s="86"/>
      <c r="AC2928" s="86"/>
      <c r="AD2928" s="86"/>
    </row>
    <row r="2929" spans="27:30" x14ac:dyDescent="0.2">
      <c r="AA2929" s="86"/>
      <c r="AC2929" s="86"/>
      <c r="AD2929" s="86"/>
    </row>
    <row r="2930" spans="27:30" x14ac:dyDescent="0.2">
      <c r="AA2930" s="86"/>
      <c r="AC2930" s="86"/>
      <c r="AD2930" s="86"/>
    </row>
    <row r="2931" spans="27:30" x14ac:dyDescent="0.2">
      <c r="AA2931" s="86"/>
      <c r="AC2931" s="86"/>
      <c r="AD2931" s="86"/>
    </row>
    <row r="2932" spans="27:30" x14ac:dyDescent="0.2">
      <c r="AA2932" s="86"/>
      <c r="AC2932" s="86"/>
      <c r="AD2932" s="86"/>
    </row>
    <row r="2933" spans="27:30" x14ac:dyDescent="0.2">
      <c r="AA2933" s="86"/>
      <c r="AC2933" s="86"/>
      <c r="AD2933" s="86"/>
    </row>
    <row r="2934" spans="27:30" x14ac:dyDescent="0.2">
      <c r="AA2934" s="86"/>
      <c r="AC2934" s="86"/>
      <c r="AD2934" s="86"/>
    </row>
    <row r="2935" spans="27:30" x14ac:dyDescent="0.2">
      <c r="AA2935" s="86"/>
      <c r="AC2935" s="86"/>
      <c r="AD2935" s="86"/>
    </row>
    <row r="2936" spans="27:30" x14ac:dyDescent="0.2">
      <c r="AA2936" s="86"/>
      <c r="AC2936" s="86"/>
      <c r="AD2936" s="86"/>
    </row>
    <row r="2937" spans="27:30" x14ac:dyDescent="0.2">
      <c r="AA2937" s="86"/>
      <c r="AC2937" s="86"/>
      <c r="AD2937" s="86"/>
    </row>
    <row r="2938" spans="27:30" x14ac:dyDescent="0.2">
      <c r="AA2938" s="86"/>
      <c r="AC2938" s="86"/>
      <c r="AD2938" s="86"/>
    </row>
    <row r="2939" spans="27:30" x14ac:dyDescent="0.2">
      <c r="AA2939" s="86"/>
      <c r="AC2939" s="86"/>
      <c r="AD2939" s="86"/>
    </row>
    <row r="2940" spans="27:30" x14ac:dyDescent="0.2">
      <c r="AA2940" s="86"/>
      <c r="AC2940" s="86"/>
      <c r="AD2940" s="86"/>
    </row>
    <row r="2941" spans="27:30" x14ac:dyDescent="0.2">
      <c r="AA2941" s="86"/>
      <c r="AC2941" s="86"/>
      <c r="AD2941" s="86"/>
    </row>
    <row r="2942" spans="27:30" x14ac:dyDescent="0.2">
      <c r="AA2942" s="86"/>
      <c r="AC2942" s="86"/>
      <c r="AD2942" s="86"/>
    </row>
    <row r="2943" spans="27:30" x14ac:dyDescent="0.2">
      <c r="AA2943" s="86"/>
      <c r="AC2943" s="86"/>
      <c r="AD2943" s="86"/>
    </row>
    <row r="2944" spans="27:30" x14ac:dyDescent="0.2">
      <c r="AA2944" s="86"/>
      <c r="AC2944" s="86"/>
      <c r="AD2944" s="86"/>
    </row>
    <row r="2945" spans="27:30" x14ac:dyDescent="0.2">
      <c r="AA2945" s="86"/>
      <c r="AC2945" s="86"/>
      <c r="AD2945" s="86"/>
    </row>
    <row r="2946" spans="27:30" x14ac:dyDescent="0.2">
      <c r="AA2946" s="86"/>
      <c r="AC2946" s="86"/>
      <c r="AD2946" s="86"/>
    </row>
    <row r="2947" spans="27:30" x14ac:dyDescent="0.2">
      <c r="AA2947" s="86"/>
      <c r="AC2947" s="86"/>
      <c r="AD2947" s="86"/>
    </row>
    <row r="2948" spans="27:30" x14ac:dyDescent="0.2">
      <c r="AA2948" s="86"/>
      <c r="AC2948" s="86"/>
      <c r="AD2948" s="86"/>
    </row>
    <row r="2949" spans="27:30" x14ac:dyDescent="0.2">
      <c r="AA2949" s="86"/>
      <c r="AC2949" s="86"/>
      <c r="AD2949" s="86"/>
    </row>
    <row r="2950" spans="27:30" x14ac:dyDescent="0.2">
      <c r="AA2950" s="86"/>
      <c r="AC2950" s="86"/>
      <c r="AD2950" s="86"/>
    </row>
    <row r="2951" spans="27:30" x14ac:dyDescent="0.2">
      <c r="AA2951" s="86"/>
      <c r="AC2951" s="86"/>
      <c r="AD2951" s="86"/>
    </row>
    <row r="2952" spans="27:30" x14ac:dyDescent="0.2">
      <c r="AA2952" s="86"/>
      <c r="AC2952" s="86"/>
      <c r="AD2952" s="86"/>
    </row>
    <row r="2953" spans="27:30" x14ac:dyDescent="0.2">
      <c r="AA2953" s="86"/>
      <c r="AC2953" s="86"/>
      <c r="AD2953" s="86"/>
    </row>
    <row r="2954" spans="27:30" x14ac:dyDescent="0.2">
      <c r="AA2954" s="86"/>
      <c r="AC2954" s="86"/>
      <c r="AD2954" s="86"/>
    </row>
    <row r="2955" spans="27:30" x14ac:dyDescent="0.2">
      <c r="AA2955" s="86"/>
      <c r="AC2955" s="86"/>
      <c r="AD2955" s="86"/>
    </row>
    <row r="2956" spans="27:30" x14ac:dyDescent="0.2">
      <c r="AA2956" s="86"/>
      <c r="AC2956" s="86"/>
      <c r="AD2956" s="86"/>
    </row>
    <row r="2957" spans="27:30" x14ac:dyDescent="0.2">
      <c r="AA2957" s="86"/>
      <c r="AC2957" s="86"/>
      <c r="AD2957" s="86"/>
    </row>
    <row r="2958" spans="27:30" x14ac:dyDescent="0.2">
      <c r="AA2958" s="86"/>
      <c r="AC2958" s="86"/>
      <c r="AD2958" s="86"/>
    </row>
    <row r="2959" spans="27:30" x14ac:dyDescent="0.2">
      <c r="AA2959" s="86"/>
      <c r="AC2959" s="86"/>
      <c r="AD2959" s="86"/>
    </row>
    <row r="2960" spans="27:30" x14ac:dyDescent="0.2">
      <c r="AA2960" s="86"/>
      <c r="AC2960" s="86"/>
      <c r="AD2960" s="86"/>
    </row>
    <row r="2961" spans="27:30" x14ac:dyDescent="0.2">
      <c r="AA2961" s="86"/>
      <c r="AC2961" s="86"/>
      <c r="AD2961" s="86"/>
    </row>
    <row r="2962" spans="27:30" x14ac:dyDescent="0.2">
      <c r="AA2962" s="86"/>
      <c r="AC2962" s="86"/>
      <c r="AD2962" s="86"/>
    </row>
    <row r="2963" spans="27:30" x14ac:dyDescent="0.2">
      <c r="AA2963" s="86"/>
      <c r="AC2963" s="86"/>
      <c r="AD2963" s="86"/>
    </row>
    <row r="2964" spans="27:30" x14ac:dyDescent="0.2">
      <c r="AA2964" s="86"/>
      <c r="AC2964" s="86"/>
      <c r="AD2964" s="86"/>
    </row>
    <row r="2965" spans="27:30" x14ac:dyDescent="0.2">
      <c r="AA2965" s="86"/>
      <c r="AC2965" s="86"/>
      <c r="AD2965" s="86"/>
    </row>
    <row r="2966" spans="27:30" x14ac:dyDescent="0.2">
      <c r="AA2966" s="86"/>
      <c r="AC2966" s="86"/>
      <c r="AD2966" s="86"/>
    </row>
    <row r="2967" spans="27:30" x14ac:dyDescent="0.2">
      <c r="AA2967" s="86"/>
      <c r="AC2967" s="86"/>
      <c r="AD2967" s="86"/>
    </row>
    <row r="2968" spans="27:30" x14ac:dyDescent="0.2">
      <c r="AA2968" s="86"/>
      <c r="AC2968" s="86"/>
      <c r="AD2968" s="86"/>
    </row>
    <row r="2969" spans="27:30" x14ac:dyDescent="0.2">
      <c r="AA2969" s="86"/>
      <c r="AC2969" s="86"/>
      <c r="AD2969" s="86"/>
    </row>
    <row r="2970" spans="27:30" x14ac:dyDescent="0.2">
      <c r="AA2970" s="86"/>
      <c r="AC2970" s="86"/>
      <c r="AD2970" s="86"/>
    </row>
    <row r="2971" spans="27:30" x14ac:dyDescent="0.2">
      <c r="AA2971" s="86"/>
      <c r="AC2971" s="86"/>
      <c r="AD2971" s="86"/>
    </row>
    <row r="2972" spans="27:30" x14ac:dyDescent="0.2">
      <c r="AA2972" s="86"/>
      <c r="AC2972" s="86"/>
      <c r="AD2972" s="86"/>
    </row>
    <row r="2973" spans="27:30" x14ac:dyDescent="0.2">
      <c r="AA2973" s="86"/>
      <c r="AC2973" s="86"/>
      <c r="AD2973" s="86"/>
    </row>
    <row r="2974" spans="27:30" x14ac:dyDescent="0.2">
      <c r="AA2974" s="86"/>
      <c r="AC2974" s="86"/>
      <c r="AD2974" s="86"/>
    </row>
    <row r="2975" spans="27:30" x14ac:dyDescent="0.2">
      <c r="AA2975" s="86"/>
      <c r="AC2975" s="86"/>
      <c r="AD2975" s="86"/>
    </row>
    <row r="2976" spans="27:30" x14ac:dyDescent="0.2">
      <c r="AA2976" s="86"/>
      <c r="AC2976" s="86"/>
      <c r="AD2976" s="86"/>
    </row>
    <row r="2977" spans="27:30" x14ac:dyDescent="0.2">
      <c r="AA2977" s="86"/>
      <c r="AC2977" s="86"/>
      <c r="AD2977" s="86"/>
    </row>
    <row r="2978" spans="27:30" x14ac:dyDescent="0.2">
      <c r="AA2978" s="86"/>
      <c r="AC2978" s="86"/>
      <c r="AD2978" s="86"/>
    </row>
    <row r="2979" spans="27:30" x14ac:dyDescent="0.2">
      <c r="AA2979" s="86"/>
      <c r="AC2979" s="86"/>
      <c r="AD2979" s="86"/>
    </row>
    <row r="2980" spans="27:30" x14ac:dyDescent="0.2">
      <c r="AA2980" s="86"/>
      <c r="AC2980" s="86"/>
      <c r="AD2980" s="86"/>
    </row>
    <row r="2981" spans="27:30" x14ac:dyDescent="0.2">
      <c r="AA2981" s="86"/>
      <c r="AC2981" s="86"/>
      <c r="AD2981" s="86"/>
    </row>
    <row r="2982" spans="27:30" x14ac:dyDescent="0.2">
      <c r="AA2982" s="86"/>
      <c r="AC2982" s="86"/>
      <c r="AD2982" s="86"/>
    </row>
    <row r="2983" spans="27:30" x14ac:dyDescent="0.2">
      <c r="AA2983" s="86"/>
      <c r="AC2983" s="86"/>
      <c r="AD2983" s="86"/>
    </row>
    <row r="2984" spans="27:30" x14ac:dyDescent="0.2">
      <c r="AA2984" s="86"/>
      <c r="AC2984" s="86"/>
      <c r="AD2984" s="86"/>
    </row>
    <row r="2985" spans="27:30" x14ac:dyDescent="0.2">
      <c r="AA2985" s="86"/>
      <c r="AC2985" s="86"/>
      <c r="AD2985" s="86"/>
    </row>
    <row r="2986" spans="27:30" x14ac:dyDescent="0.2">
      <c r="AA2986" s="86"/>
      <c r="AC2986" s="86"/>
      <c r="AD2986" s="86"/>
    </row>
    <row r="2987" spans="27:30" x14ac:dyDescent="0.2">
      <c r="AA2987" s="86"/>
      <c r="AC2987" s="86"/>
      <c r="AD2987" s="86"/>
    </row>
    <row r="2988" spans="27:30" x14ac:dyDescent="0.2">
      <c r="AA2988" s="86"/>
      <c r="AC2988" s="86"/>
      <c r="AD2988" s="86"/>
    </row>
    <row r="2989" spans="27:30" x14ac:dyDescent="0.2">
      <c r="AA2989" s="86"/>
      <c r="AC2989" s="86"/>
      <c r="AD2989" s="86"/>
    </row>
    <row r="2990" spans="27:30" x14ac:dyDescent="0.2">
      <c r="AA2990" s="86"/>
      <c r="AC2990" s="86"/>
      <c r="AD2990" s="86"/>
    </row>
    <row r="2991" spans="27:30" x14ac:dyDescent="0.2">
      <c r="AA2991" s="86"/>
      <c r="AC2991" s="86"/>
      <c r="AD2991" s="86"/>
    </row>
    <row r="2992" spans="27:30" x14ac:dyDescent="0.2">
      <c r="AA2992" s="86"/>
      <c r="AC2992" s="86"/>
      <c r="AD2992" s="86"/>
    </row>
    <row r="2993" spans="27:30" x14ac:dyDescent="0.2">
      <c r="AA2993" s="86"/>
      <c r="AC2993" s="86"/>
      <c r="AD2993" s="86"/>
    </row>
    <row r="2994" spans="27:30" x14ac:dyDescent="0.2">
      <c r="AA2994" s="86"/>
      <c r="AC2994" s="86"/>
      <c r="AD2994" s="86"/>
    </row>
    <row r="2995" spans="27:30" x14ac:dyDescent="0.2">
      <c r="AA2995" s="86"/>
      <c r="AC2995" s="86"/>
      <c r="AD2995" s="86"/>
    </row>
    <row r="2996" spans="27:30" x14ac:dyDescent="0.2">
      <c r="AA2996" s="86"/>
      <c r="AC2996" s="86"/>
      <c r="AD2996" s="86"/>
    </row>
    <row r="2997" spans="27:30" x14ac:dyDescent="0.2">
      <c r="AA2997" s="86"/>
      <c r="AC2997" s="86"/>
      <c r="AD2997" s="86"/>
    </row>
    <row r="2998" spans="27:30" x14ac:dyDescent="0.2">
      <c r="AA2998" s="86"/>
      <c r="AC2998" s="86"/>
      <c r="AD2998" s="86"/>
    </row>
    <row r="2999" spans="27:30" x14ac:dyDescent="0.2">
      <c r="AA2999" s="86"/>
      <c r="AC2999" s="86"/>
      <c r="AD2999" s="86"/>
    </row>
    <row r="3000" spans="27:30" x14ac:dyDescent="0.2">
      <c r="AA3000" s="86"/>
      <c r="AC3000" s="86"/>
      <c r="AD3000" s="86"/>
    </row>
    <row r="3001" spans="27:30" x14ac:dyDescent="0.2">
      <c r="AA3001" s="86"/>
      <c r="AC3001" s="86"/>
      <c r="AD3001" s="86"/>
    </row>
    <row r="3002" spans="27:30" x14ac:dyDescent="0.2">
      <c r="AA3002" s="86"/>
      <c r="AC3002" s="86"/>
      <c r="AD3002" s="86"/>
    </row>
    <row r="3003" spans="27:30" x14ac:dyDescent="0.2">
      <c r="AA3003" s="86"/>
      <c r="AC3003" s="86"/>
      <c r="AD3003" s="86"/>
    </row>
    <row r="3004" spans="27:30" x14ac:dyDescent="0.2">
      <c r="AA3004" s="86"/>
      <c r="AC3004" s="86"/>
      <c r="AD3004" s="86"/>
    </row>
    <row r="3005" spans="27:30" x14ac:dyDescent="0.2">
      <c r="AA3005" s="86"/>
      <c r="AC3005" s="86"/>
      <c r="AD3005" s="86"/>
    </row>
    <row r="3006" spans="27:30" x14ac:dyDescent="0.2">
      <c r="AA3006" s="86"/>
      <c r="AC3006" s="86"/>
      <c r="AD3006" s="86"/>
    </row>
    <row r="3007" spans="27:30" x14ac:dyDescent="0.2">
      <c r="AA3007" s="86"/>
      <c r="AC3007" s="86"/>
      <c r="AD3007" s="86"/>
    </row>
    <row r="3008" spans="27:30" x14ac:dyDescent="0.2">
      <c r="AA3008" s="86"/>
      <c r="AC3008" s="86"/>
      <c r="AD3008" s="86"/>
    </row>
    <row r="3009" spans="27:30" x14ac:dyDescent="0.2">
      <c r="AA3009" s="86"/>
      <c r="AC3009" s="86"/>
      <c r="AD3009" s="86"/>
    </row>
    <row r="3010" spans="27:30" x14ac:dyDescent="0.2">
      <c r="AA3010" s="86"/>
      <c r="AC3010" s="86"/>
      <c r="AD3010" s="86"/>
    </row>
    <row r="3011" spans="27:30" x14ac:dyDescent="0.2">
      <c r="AA3011" s="86"/>
      <c r="AC3011" s="86"/>
      <c r="AD3011" s="86"/>
    </row>
    <row r="3012" spans="27:30" x14ac:dyDescent="0.2">
      <c r="AA3012" s="86"/>
      <c r="AC3012" s="86"/>
      <c r="AD3012" s="86"/>
    </row>
    <row r="3013" spans="27:30" x14ac:dyDescent="0.2">
      <c r="AA3013" s="86"/>
      <c r="AC3013" s="86"/>
      <c r="AD3013" s="86"/>
    </row>
    <row r="3014" spans="27:30" x14ac:dyDescent="0.2">
      <c r="AA3014" s="86"/>
      <c r="AC3014" s="86"/>
      <c r="AD3014" s="86"/>
    </row>
    <row r="3015" spans="27:30" x14ac:dyDescent="0.2">
      <c r="AA3015" s="86"/>
      <c r="AC3015" s="86"/>
      <c r="AD3015" s="86"/>
    </row>
    <row r="3016" spans="27:30" x14ac:dyDescent="0.2">
      <c r="AA3016" s="86"/>
      <c r="AC3016" s="86"/>
      <c r="AD3016" s="86"/>
    </row>
    <row r="3017" spans="27:30" x14ac:dyDescent="0.2">
      <c r="AA3017" s="86"/>
      <c r="AC3017" s="86"/>
      <c r="AD3017" s="86"/>
    </row>
    <row r="3018" spans="27:30" x14ac:dyDescent="0.2">
      <c r="AA3018" s="86"/>
      <c r="AC3018" s="86"/>
      <c r="AD3018" s="86"/>
    </row>
    <row r="3019" spans="27:30" x14ac:dyDescent="0.2">
      <c r="AA3019" s="86"/>
      <c r="AC3019" s="86"/>
      <c r="AD3019" s="86"/>
    </row>
    <row r="3020" spans="27:30" x14ac:dyDescent="0.2">
      <c r="AA3020" s="86"/>
      <c r="AC3020" s="86"/>
      <c r="AD3020" s="86"/>
    </row>
    <row r="3021" spans="27:30" x14ac:dyDescent="0.2">
      <c r="AA3021" s="86"/>
      <c r="AC3021" s="86"/>
      <c r="AD3021" s="86"/>
    </row>
    <row r="3022" spans="27:30" x14ac:dyDescent="0.2">
      <c r="AA3022" s="86"/>
      <c r="AC3022" s="86"/>
      <c r="AD3022" s="86"/>
    </row>
    <row r="3023" spans="27:30" x14ac:dyDescent="0.2">
      <c r="AA3023" s="86"/>
      <c r="AC3023" s="86"/>
      <c r="AD3023" s="86"/>
    </row>
    <row r="3024" spans="27:30" x14ac:dyDescent="0.2">
      <c r="AA3024" s="86"/>
      <c r="AC3024" s="86"/>
      <c r="AD3024" s="86"/>
    </row>
    <row r="3025" spans="27:30" x14ac:dyDescent="0.2">
      <c r="AA3025" s="86"/>
      <c r="AC3025" s="86"/>
      <c r="AD3025" s="86"/>
    </row>
    <row r="3026" spans="27:30" x14ac:dyDescent="0.2">
      <c r="AA3026" s="86"/>
      <c r="AC3026" s="86"/>
      <c r="AD3026" s="86"/>
    </row>
    <row r="3027" spans="27:30" x14ac:dyDescent="0.2">
      <c r="AA3027" s="86"/>
      <c r="AC3027" s="86"/>
      <c r="AD3027" s="86"/>
    </row>
    <row r="3028" spans="27:30" x14ac:dyDescent="0.2">
      <c r="AA3028" s="86"/>
      <c r="AC3028" s="86"/>
      <c r="AD3028" s="86"/>
    </row>
    <row r="3029" spans="27:30" x14ac:dyDescent="0.2">
      <c r="AA3029" s="86"/>
      <c r="AC3029" s="86"/>
      <c r="AD3029" s="86"/>
    </row>
    <row r="3030" spans="27:30" x14ac:dyDescent="0.2">
      <c r="AA3030" s="86"/>
      <c r="AC3030" s="86"/>
      <c r="AD3030" s="86"/>
    </row>
    <row r="3031" spans="27:30" x14ac:dyDescent="0.2">
      <c r="AA3031" s="86"/>
      <c r="AC3031" s="86"/>
      <c r="AD3031" s="86"/>
    </row>
    <row r="3032" spans="27:30" x14ac:dyDescent="0.2">
      <c r="AA3032" s="86"/>
      <c r="AC3032" s="86"/>
      <c r="AD3032" s="86"/>
    </row>
    <row r="3033" spans="27:30" x14ac:dyDescent="0.2">
      <c r="AA3033" s="86"/>
      <c r="AC3033" s="86"/>
      <c r="AD3033" s="86"/>
    </row>
    <row r="3034" spans="27:30" x14ac:dyDescent="0.2">
      <c r="AA3034" s="86"/>
      <c r="AC3034" s="86"/>
      <c r="AD3034" s="86"/>
    </row>
    <row r="3035" spans="27:30" x14ac:dyDescent="0.2">
      <c r="AA3035" s="86"/>
      <c r="AC3035" s="86"/>
      <c r="AD3035" s="86"/>
    </row>
    <row r="3036" spans="27:30" x14ac:dyDescent="0.2">
      <c r="AA3036" s="86"/>
      <c r="AC3036" s="86"/>
      <c r="AD3036" s="86"/>
    </row>
    <row r="3037" spans="27:30" x14ac:dyDescent="0.2">
      <c r="AA3037" s="86"/>
      <c r="AC3037" s="86"/>
      <c r="AD3037" s="86"/>
    </row>
    <row r="3038" spans="27:30" x14ac:dyDescent="0.2">
      <c r="AA3038" s="86"/>
      <c r="AC3038" s="86"/>
      <c r="AD3038" s="86"/>
    </row>
    <row r="3039" spans="27:30" x14ac:dyDescent="0.2">
      <c r="AA3039" s="86"/>
      <c r="AC3039" s="86"/>
      <c r="AD3039" s="86"/>
    </row>
    <row r="3040" spans="27:30" x14ac:dyDescent="0.2">
      <c r="AA3040" s="86"/>
      <c r="AC3040" s="86"/>
      <c r="AD3040" s="86"/>
    </row>
    <row r="3041" spans="27:30" x14ac:dyDescent="0.2">
      <c r="AA3041" s="86"/>
      <c r="AC3041" s="86"/>
      <c r="AD3041" s="86"/>
    </row>
    <row r="3042" spans="27:30" x14ac:dyDescent="0.2">
      <c r="AA3042" s="86"/>
      <c r="AC3042" s="86"/>
      <c r="AD3042" s="86"/>
    </row>
    <row r="3043" spans="27:30" x14ac:dyDescent="0.2">
      <c r="AA3043" s="86"/>
      <c r="AC3043" s="86"/>
      <c r="AD3043" s="86"/>
    </row>
    <row r="3044" spans="27:30" x14ac:dyDescent="0.2">
      <c r="AA3044" s="86"/>
      <c r="AC3044" s="86"/>
      <c r="AD3044" s="86"/>
    </row>
    <row r="3045" spans="27:30" x14ac:dyDescent="0.2">
      <c r="AA3045" s="86"/>
      <c r="AC3045" s="86"/>
      <c r="AD3045" s="86"/>
    </row>
    <row r="3046" spans="27:30" x14ac:dyDescent="0.2">
      <c r="AA3046" s="86"/>
      <c r="AC3046" s="86"/>
      <c r="AD3046" s="86"/>
    </row>
    <row r="3047" spans="27:30" x14ac:dyDescent="0.2">
      <c r="AA3047" s="86"/>
      <c r="AC3047" s="86"/>
      <c r="AD3047" s="86"/>
    </row>
    <row r="3048" spans="27:30" x14ac:dyDescent="0.2">
      <c r="AA3048" s="86"/>
      <c r="AC3048" s="86"/>
      <c r="AD3048" s="86"/>
    </row>
    <row r="3049" spans="27:30" x14ac:dyDescent="0.2">
      <c r="AA3049" s="86"/>
      <c r="AC3049" s="86"/>
      <c r="AD3049" s="86"/>
    </row>
    <row r="3050" spans="27:30" x14ac:dyDescent="0.2">
      <c r="AA3050" s="86"/>
      <c r="AC3050" s="86"/>
      <c r="AD3050" s="86"/>
    </row>
    <row r="3051" spans="27:30" x14ac:dyDescent="0.2">
      <c r="AA3051" s="86"/>
      <c r="AC3051" s="86"/>
      <c r="AD3051" s="86"/>
    </row>
    <row r="3052" spans="27:30" x14ac:dyDescent="0.2">
      <c r="AA3052" s="86"/>
      <c r="AC3052" s="86"/>
      <c r="AD3052" s="86"/>
    </row>
    <row r="3053" spans="27:30" x14ac:dyDescent="0.2">
      <c r="AA3053" s="86"/>
      <c r="AC3053" s="86"/>
      <c r="AD3053" s="86"/>
    </row>
    <row r="3054" spans="27:30" x14ac:dyDescent="0.2">
      <c r="AA3054" s="86"/>
      <c r="AC3054" s="86"/>
      <c r="AD3054" s="86"/>
    </row>
    <row r="3055" spans="27:30" x14ac:dyDescent="0.2">
      <c r="AA3055" s="86"/>
      <c r="AC3055" s="86"/>
      <c r="AD3055" s="86"/>
    </row>
    <row r="3056" spans="27:30" x14ac:dyDescent="0.2">
      <c r="AA3056" s="86"/>
      <c r="AC3056" s="86"/>
      <c r="AD3056" s="86"/>
    </row>
    <row r="3057" spans="27:30" x14ac:dyDescent="0.2">
      <c r="AA3057" s="86"/>
      <c r="AC3057" s="86"/>
      <c r="AD3057" s="86"/>
    </row>
    <row r="3058" spans="27:30" x14ac:dyDescent="0.2">
      <c r="AA3058" s="86"/>
      <c r="AC3058" s="86"/>
      <c r="AD3058" s="86"/>
    </row>
    <row r="3059" spans="27:30" x14ac:dyDescent="0.2">
      <c r="AA3059" s="86"/>
      <c r="AC3059" s="86"/>
      <c r="AD3059" s="86"/>
    </row>
    <row r="3060" spans="27:30" x14ac:dyDescent="0.2">
      <c r="AA3060" s="86"/>
      <c r="AC3060" s="86"/>
      <c r="AD3060" s="86"/>
    </row>
    <row r="3061" spans="27:30" x14ac:dyDescent="0.2">
      <c r="AA3061" s="86"/>
      <c r="AC3061" s="86"/>
      <c r="AD3061" s="86"/>
    </row>
    <row r="3062" spans="27:30" x14ac:dyDescent="0.2">
      <c r="AA3062" s="86"/>
      <c r="AC3062" s="86"/>
      <c r="AD3062" s="86"/>
    </row>
    <row r="3063" spans="27:30" x14ac:dyDescent="0.2">
      <c r="AA3063" s="86"/>
      <c r="AC3063" s="86"/>
      <c r="AD3063" s="86"/>
    </row>
    <row r="3064" spans="27:30" x14ac:dyDescent="0.2">
      <c r="AA3064" s="86"/>
      <c r="AC3064" s="86"/>
      <c r="AD3064" s="86"/>
    </row>
    <row r="3065" spans="27:30" x14ac:dyDescent="0.2">
      <c r="AA3065" s="86"/>
      <c r="AC3065" s="86"/>
      <c r="AD3065" s="86"/>
    </row>
    <row r="3066" spans="27:30" x14ac:dyDescent="0.2">
      <c r="AA3066" s="86"/>
      <c r="AC3066" s="86"/>
      <c r="AD3066" s="86"/>
    </row>
    <row r="3067" spans="27:30" x14ac:dyDescent="0.2">
      <c r="AA3067" s="86"/>
      <c r="AC3067" s="86"/>
      <c r="AD3067" s="86"/>
    </row>
    <row r="3068" spans="27:30" x14ac:dyDescent="0.2">
      <c r="AA3068" s="86"/>
      <c r="AC3068" s="86"/>
      <c r="AD3068" s="86"/>
    </row>
    <row r="3069" spans="27:30" x14ac:dyDescent="0.2">
      <c r="AA3069" s="86"/>
      <c r="AC3069" s="86"/>
      <c r="AD3069" s="86"/>
    </row>
    <row r="3070" spans="27:30" x14ac:dyDescent="0.2">
      <c r="AA3070" s="86"/>
      <c r="AC3070" s="86"/>
      <c r="AD3070" s="86"/>
    </row>
    <row r="3071" spans="27:30" x14ac:dyDescent="0.2">
      <c r="AA3071" s="86"/>
      <c r="AC3071" s="86"/>
      <c r="AD3071" s="86"/>
    </row>
    <row r="3072" spans="27:30" x14ac:dyDescent="0.2">
      <c r="AA3072" s="86"/>
      <c r="AC3072" s="86"/>
      <c r="AD3072" s="86"/>
    </row>
    <row r="3073" spans="27:30" x14ac:dyDescent="0.2">
      <c r="AA3073" s="86"/>
      <c r="AC3073" s="86"/>
      <c r="AD3073" s="86"/>
    </row>
    <row r="3074" spans="27:30" x14ac:dyDescent="0.2">
      <c r="AA3074" s="86"/>
      <c r="AC3074" s="86"/>
      <c r="AD3074" s="86"/>
    </row>
    <row r="3075" spans="27:30" x14ac:dyDescent="0.2">
      <c r="AA3075" s="86"/>
      <c r="AC3075" s="86"/>
      <c r="AD3075" s="86"/>
    </row>
    <row r="3076" spans="27:30" x14ac:dyDescent="0.2">
      <c r="AA3076" s="86"/>
      <c r="AC3076" s="86"/>
      <c r="AD3076" s="86"/>
    </row>
    <row r="3077" spans="27:30" x14ac:dyDescent="0.2">
      <c r="AA3077" s="86"/>
      <c r="AC3077" s="86"/>
      <c r="AD3077" s="86"/>
    </row>
    <row r="3078" spans="27:30" x14ac:dyDescent="0.2">
      <c r="AA3078" s="86"/>
      <c r="AC3078" s="86"/>
      <c r="AD3078" s="86"/>
    </row>
    <row r="3079" spans="27:30" x14ac:dyDescent="0.2">
      <c r="AA3079" s="86"/>
      <c r="AC3079" s="86"/>
      <c r="AD3079" s="86"/>
    </row>
    <row r="3080" spans="27:30" x14ac:dyDescent="0.2">
      <c r="AA3080" s="86"/>
      <c r="AC3080" s="86"/>
      <c r="AD3080" s="86"/>
    </row>
    <row r="3081" spans="27:30" x14ac:dyDescent="0.2">
      <c r="AA3081" s="86"/>
      <c r="AC3081" s="86"/>
      <c r="AD3081" s="86"/>
    </row>
    <row r="3082" spans="27:30" x14ac:dyDescent="0.2">
      <c r="AA3082" s="86"/>
      <c r="AC3082" s="86"/>
      <c r="AD3082" s="86"/>
    </row>
    <row r="3083" spans="27:30" x14ac:dyDescent="0.2">
      <c r="AA3083" s="86"/>
      <c r="AC3083" s="86"/>
      <c r="AD3083" s="86"/>
    </row>
    <row r="3084" spans="27:30" x14ac:dyDescent="0.2">
      <c r="AA3084" s="86"/>
      <c r="AC3084" s="86"/>
      <c r="AD3084" s="86"/>
    </row>
    <row r="3085" spans="27:30" x14ac:dyDescent="0.2">
      <c r="AA3085" s="86"/>
      <c r="AC3085" s="86"/>
      <c r="AD3085" s="86"/>
    </row>
    <row r="3086" spans="27:30" x14ac:dyDescent="0.2">
      <c r="AA3086" s="86"/>
      <c r="AC3086" s="86"/>
      <c r="AD3086" s="86"/>
    </row>
    <row r="3087" spans="27:30" x14ac:dyDescent="0.2">
      <c r="AA3087" s="86"/>
      <c r="AC3087" s="86"/>
      <c r="AD3087" s="86"/>
    </row>
    <row r="3088" spans="27:30" x14ac:dyDescent="0.2">
      <c r="AA3088" s="86"/>
      <c r="AC3088" s="86"/>
      <c r="AD3088" s="86"/>
    </row>
    <row r="3089" spans="27:30" x14ac:dyDescent="0.2">
      <c r="AA3089" s="86"/>
      <c r="AC3089" s="86"/>
      <c r="AD3089" s="86"/>
    </row>
    <row r="3090" spans="27:30" x14ac:dyDescent="0.2">
      <c r="AA3090" s="86"/>
      <c r="AC3090" s="86"/>
      <c r="AD3090" s="86"/>
    </row>
    <row r="3091" spans="27:30" x14ac:dyDescent="0.2">
      <c r="AA3091" s="86"/>
      <c r="AC3091" s="86"/>
      <c r="AD3091" s="86"/>
    </row>
    <row r="3092" spans="27:30" x14ac:dyDescent="0.2">
      <c r="AA3092" s="86"/>
      <c r="AC3092" s="86"/>
      <c r="AD3092" s="86"/>
    </row>
    <row r="3093" spans="27:30" x14ac:dyDescent="0.2">
      <c r="AA3093" s="86"/>
      <c r="AC3093" s="86"/>
      <c r="AD3093" s="86"/>
    </row>
    <row r="3094" spans="27:30" x14ac:dyDescent="0.2">
      <c r="AA3094" s="86"/>
      <c r="AC3094" s="86"/>
      <c r="AD3094" s="86"/>
    </row>
    <row r="3095" spans="27:30" x14ac:dyDescent="0.2">
      <c r="AA3095" s="86"/>
      <c r="AC3095" s="86"/>
      <c r="AD3095" s="86"/>
    </row>
    <row r="3096" spans="27:30" x14ac:dyDescent="0.2">
      <c r="AA3096" s="86"/>
      <c r="AC3096" s="86"/>
      <c r="AD3096" s="86"/>
    </row>
    <row r="3097" spans="27:30" x14ac:dyDescent="0.2">
      <c r="AA3097" s="86"/>
      <c r="AC3097" s="86"/>
      <c r="AD3097" s="86"/>
    </row>
    <row r="3098" spans="27:30" x14ac:dyDescent="0.2">
      <c r="AA3098" s="86"/>
      <c r="AC3098" s="86"/>
      <c r="AD3098" s="86"/>
    </row>
    <row r="3099" spans="27:30" x14ac:dyDescent="0.2">
      <c r="AA3099" s="86"/>
      <c r="AC3099" s="86"/>
      <c r="AD3099" s="86"/>
    </row>
    <row r="3100" spans="27:30" x14ac:dyDescent="0.2">
      <c r="AA3100" s="86"/>
      <c r="AC3100" s="86"/>
      <c r="AD3100" s="86"/>
    </row>
    <row r="3101" spans="27:30" x14ac:dyDescent="0.2">
      <c r="AA3101" s="86"/>
      <c r="AC3101" s="86"/>
      <c r="AD3101" s="86"/>
    </row>
    <row r="3102" spans="27:30" x14ac:dyDescent="0.2">
      <c r="AA3102" s="86"/>
      <c r="AC3102" s="86"/>
      <c r="AD3102" s="86"/>
    </row>
    <row r="3103" spans="27:30" x14ac:dyDescent="0.2">
      <c r="AA3103" s="86"/>
      <c r="AC3103" s="86"/>
      <c r="AD3103" s="86"/>
    </row>
    <row r="3104" spans="27:30" x14ac:dyDescent="0.2">
      <c r="AA3104" s="86"/>
      <c r="AC3104" s="86"/>
      <c r="AD3104" s="86"/>
    </row>
    <row r="3105" spans="27:30" x14ac:dyDescent="0.2">
      <c r="AA3105" s="86"/>
      <c r="AC3105" s="86"/>
      <c r="AD3105" s="86"/>
    </row>
    <row r="3106" spans="27:30" x14ac:dyDescent="0.2">
      <c r="AA3106" s="86"/>
      <c r="AC3106" s="86"/>
      <c r="AD3106" s="86"/>
    </row>
    <row r="3107" spans="27:30" x14ac:dyDescent="0.2">
      <c r="AA3107" s="86"/>
      <c r="AC3107" s="86"/>
      <c r="AD3107" s="86"/>
    </row>
    <row r="3108" spans="27:30" x14ac:dyDescent="0.2">
      <c r="AA3108" s="86"/>
      <c r="AC3108" s="86"/>
      <c r="AD3108" s="86"/>
    </row>
    <row r="3109" spans="27:30" x14ac:dyDescent="0.2">
      <c r="AA3109" s="86"/>
      <c r="AC3109" s="86"/>
      <c r="AD3109" s="86"/>
    </row>
    <row r="3110" spans="27:30" x14ac:dyDescent="0.2">
      <c r="AA3110" s="86"/>
      <c r="AC3110" s="86"/>
      <c r="AD3110" s="86"/>
    </row>
    <row r="3111" spans="27:30" x14ac:dyDescent="0.2">
      <c r="AA3111" s="86"/>
      <c r="AC3111" s="86"/>
      <c r="AD3111" s="86"/>
    </row>
    <row r="3112" spans="27:30" x14ac:dyDescent="0.2">
      <c r="AA3112" s="86"/>
      <c r="AC3112" s="86"/>
      <c r="AD3112" s="86"/>
    </row>
    <row r="3113" spans="27:30" x14ac:dyDescent="0.2">
      <c r="AA3113" s="86"/>
      <c r="AC3113" s="86"/>
      <c r="AD3113" s="86"/>
    </row>
    <row r="3114" spans="27:30" x14ac:dyDescent="0.2">
      <c r="AA3114" s="86"/>
      <c r="AC3114" s="86"/>
      <c r="AD3114" s="86"/>
    </row>
    <row r="3115" spans="27:30" x14ac:dyDescent="0.2">
      <c r="AA3115" s="86"/>
      <c r="AC3115" s="86"/>
      <c r="AD3115" s="86"/>
    </row>
    <row r="3116" spans="27:30" x14ac:dyDescent="0.2">
      <c r="AA3116" s="86"/>
      <c r="AC3116" s="86"/>
      <c r="AD3116" s="86"/>
    </row>
    <row r="3117" spans="27:30" x14ac:dyDescent="0.2">
      <c r="AA3117" s="86"/>
      <c r="AC3117" s="86"/>
      <c r="AD3117" s="86"/>
    </row>
    <row r="3118" spans="27:30" x14ac:dyDescent="0.2">
      <c r="AA3118" s="86"/>
      <c r="AC3118" s="86"/>
      <c r="AD3118" s="86"/>
    </row>
    <row r="3119" spans="27:30" x14ac:dyDescent="0.2">
      <c r="AA3119" s="86"/>
      <c r="AC3119" s="86"/>
      <c r="AD3119" s="86"/>
    </row>
    <row r="3120" spans="27:30" x14ac:dyDescent="0.2">
      <c r="AA3120" s="86"/>
      <c r="AC3120" s="86"/>
      <c r="AD3120" s="86"/>
    </row>
    <row r="3121" spans="27:30" x14ac:dyDescent="0.2">
      <c r="AA3121" s="86"/>
      <c r="AC3121" s="86"/>
      <c r="AD3121" s="86"/>
    </row>
    <row r="3122" spans="27:30" x14ac:dyDescent="0.2">
      <c r="AA3122" s="86"/>
      <c r="AC3122" s="86"/>
      <c r="AD3122" s="86"/>
    </row>
    <row r="3123" spans="27:30" x14ac:dyDescent="0.2">
      <c r="AA3123" s="86"/>
      <c r="AC3123" s="86"/>
      <c r="AD3123" s="86"/>
    </row>
    <row r="3124" spans="27:30" x14ac:dyDescent="0.2">
      <c r="AA3124" s="86"/>
      <c r="AC3124" s="86"/>
      <c r="AD3124" s="86"/>
    </row>
    <row r="3125" spans="27:30" x14ac:dyDescent="0.2">
      <c r="AA3125" s="86"/>
      <c r="AC3125" s="86"/>
      <c r="AD3125" s="86"/>
    </row>
    <row r="3126" spans="27:30" x14ac:dyDescent="0.2">
      <c r="AA3126" s="86"/>
      <c r="AC3126" s="86"/>
      <c r="AD3126" s="86"/>
    </row>
    <row r="3127" spans="27:30" x14ac:dyDescent="0.2">
      <c r="AA3127" s="86"/>
      <c r="AC3127" s="86"/>
      <c r="AD3127" s="86"/>
    </row>
    <row r="3128" spans="27:30" x14ac:dyDescent="0.2">
      <c r="AA3128" s="86"/>
      <c r="AC3128" s="86"/>
      <c r="AD3128" s="86"/>
    </row>
    <row r="3129" spans="27:30" x14ac:dyDescent="0.2">
      <c r="AA3129" s="86"/>
      <c r="AC3129" s="86"/>
      <c r="AD3129" s="86"/>
    </row>
    <row r="3130" spans="27:30" x14ac:dyDescent="0.2">
      <c r="AA3130" s="86"/>
      <c r="AC3130" s="86"/>
      <c r="AD3130" s="86"/>
    </row>
    <row r="3131" spans="27:30" x14ac:dyDescent="0.2">
      <c r="AA3131" s="86"/>
      <c r="AC3131" s="86"/>
      <c r="AD3131" s="86"/>
    </row>
    <row r="3132" spans="27:30" x14ac:dyDescent="0.2">
      <c r="AA3132" s="86"/>
      <c r="AC3132" s="86"/>
      <c r="AD3132" s="86"/>
    </row>
    <row r="3133" spans="27:30" x14ac:dyDescent="0.2">
      <c r="AA3133" s="86"/>
      <c r="AC3133" s="86"/>
      <c r="AD3133" s="86"/>
    </row>
    <row r="3134" spans="27:30" x14ac:dyDescent="0.2">
      <c r="AA3134" s="86"/>
      <c r="AC3134" s="86"/>
      <c r="AD3134" s="86"/>
    </row>
    <row r="3135" spans="27:30" x14ac:dyDescent="0.2">
      <c r="AA3135" s="86"/>
      <c r="AC3135" s="86"/>
      <c r="AD3135" s="86"/>
    </row>
    <row r="3136" spans="27:30" x14ac:dyDescent="0.2">
      <c r="AA3136" s="86"/>
      <c r="AC3136" s="86"/>
      <c r="AD3136" s="86"/>
    </row>
    <row r="3137" spans="27:30" x14ac:dyDescent="0.2">
      <c r="AA3137" s="86"/>
      <c r="AC3137" s="86"/>
      <c r="AD3137" s="86"/>
    </row>
    <row r="3138" spans="27:30" x14ac:dyDescent="0.2">
      <c r="AA3138" s="86"/>
      <c r="AC3138" s="86"/>
      <c r="AD3138" s="86"/>
    </row>
    <row r="3139" spans="27:30" x14ac:dyDescent="0.2">
      <c r="AA3139" s="86"/>
      <c r="AC3139" s="86"/>
      <c r="AD3139" s="86"/>
    </row>
    <row r="3140" spans="27:30" x14ac:dyDescent="0.2">
      <c r="AA3140" s="86"/>
      <c r="AC3140" s="86"/>
      <c r="AD3140" s="86"/>
    </row>
    <row r="3141" spans="27:30" x14ac:dyDescent="0.2">
      <c r="AA3141" s="86"/>
      <c r="AC3141" s="86"/>
      <c r="AD3141" s="86"/>
    </row>
    <row r="3142" spans="27:30" x14ac:dyDescent="0.2">
      <c r="AA3142" s="86"/>
      <c r="AC3142" s="86"/>
      <c r="AD3142" s="86"/>
    </row>
    <row r="3143" spans="27:30" x14ac:dyDescent="0.2">
      <c r="AA3143" s="86"/>
      <c r="AC3143" s="86"/>
      <c r="AD3143" s="86"/>
    </row>
    <row r="3144" spans="27:30" x14ac:dyDescent="0.2">
      <c r="AA3144" s="86"/>
      <c r="AC3144" s="86"/>
      <c r="AD3144" s="86"/>
    </row>
    <row r="3145" spans="27:30" x14ac:dyDescent="0.2">
      <c r="AA3145" s="86"/>
      <c r="AC3145" s="86"/>
      <c r="AD3145" s="86"/>
    </row>
    <row r="3146" spans="27:30" x14ac:dyDescent="0.2">
      <c r="AA3146" s="86"/>
      <c r="AC3146" s="86"/>
      <c r="AD3146" s="86"/>
    </row>
    <row r="3147" spans="27:30" x14ac:dyDescent="0.2">
      <c r="AA3147" s="86"/>
      <c r="AC3147" s="86"/>
      <c r="AD3147" s="86"/>
    </row>
    <row r="3148" spans="27:30" x14ac:dyDescent="0.2">
      <c r="AA3148" s="86"/>
      <c r="AC3148" s="86"/>
      <c r="AD3148" s="86"/>
    </row>
    <row r="3149" spans="27:30" x14ac:dyDescent="0.2">
      <c r="AA3149" s="86"/>
      <c r="AC3149" s="86"/>
      <c r="AD3149" s="86"/>
    </row>
    <row r="3150" spans="27:30" x14ac:dyDescent="0.2">
      <c r="AA3150" s="86"/>
      <c r="AC3150" s="86"/>
      <c r="AD3150" s="86"/>
    </row>
    <row r="3151" spans="27:30" x14ac:dyDescent="0.2">
      <c r="AA3151" s="86"/>
      <c r="AC3151" s="86"/>
      <c r="AD3151" s="86"/>
    </row>
    <row r="3152" spans="27:30" x14ac:dyDescent="0.2">
      <c r="AA3152" s="86"/>
      <c r="AC3152" s="86"/>
      <c r="AD3152" s="86"/>
    </row>
    <row r="3153" spans="27:30" x14ac:dyDescent="0.2">
      <c r="AA3153" s="86"/>
      <c r="AC3153" s="86"/>
      <c r="AD3153" s="86"/>
    </row>
    <row r="3154" spans="27:30" x14ac:dyDescent="0.2">
      <c r="AA3154" s="86"/>
      <c r="AC3154" s="86"/>
      <c r="AD3154" s="86"/>
    </row>
    <row r="3155" spans="27:30" x14ac:dyDescent="0.2">
      <c r="AA3155" s="86"/>
      <c r="AC3155" s="86"/>
      <c r="AD3155" s="86"/>
    </row>
    <row r="3156" spans="27:30" x14ac:dyDescent="0.2">
      <c r="AA3156" s="86"/>
      <c r="AC3156" s="86"/>
      <c r="AD3156" s="86"/>
    </row>
    <row r="3157" spans="27:30" x14ac:dyDescent="0.2">
      <c r="AA3157" s="86"/>
      <c r="AC3157" s="86"/>
      <c r="AD3157" s="86"/>
    </row>
    <row r="3158" spans="27:30" x14ac:dyDescent="0.2">
      <c r="AA3158" s="86"/>
      <c r="AC3158" s="86"/>
      <c r="AD3158" s="86"/>
    </row>
    <row r="3159" spans="27:30" x14ac:dyDescent="0.2">
      <c r="AA3159" s="86"/>
      <c r="AC3159" s="86"/>
      <c r="AD3159" s="86"/>
    </row>
    <row r="3160" spans="27:30" x14ac:dyDescent="0.2">
      <c r="AA3160" s="86"/>
      <c r="AC3160" s="86"/>
      <c r="AD3160" s="86"/>
    </row>
    <row r="3161" spans="27:30" x14ac:dyDescent="0.2">
      <c r="AA3161" s="86"/>
      <c r="AC3161" s="86"/>
      <c r="AD3161" s="86"/>
    </row>
    <row r="3162" spans="27:30" x14ac:dyDescent="0.2">
      <c r="AA3162" s="86"/>
      <c r="AC3162" s="86"/>
      <c r="AD3162" s="86"/>
    </row>
    <row r="3163" spans="27:30" x14ac:dyDescent="0.2">
      <c r="AA3163" s="86"/>
      <c r="AC3163" s="86"/>
      <c r="AD3163" s="86"/>
    </row>
    <row r="3164" spans="27:30" x14ac:dyDescent="0.2">
      <c r="AA3164" s="86"/>
      <c r="AC3164" s="86"/>
      <c r="AD3164" s="86"/>
    </row>
    <row r="3165" spans="27:30" x14ac:dyDescent="0.2">
      <c r="AA3165" s="86"/>
      <c r="AC3165" s="86"/>
      <c r="AD3165" s="86"/>
    </row>
    <row r="3166" spans="27:30" x14ac:dyDescent="0.2">
      <c r="AA3166" s="86"/>
      <c r="AC3166" s="86"/>
      <c r="AD3166" s="86"/>
    </row>
    <row r="3167" spans="27:30" x14ac:dyDescent="0.2">
      <c r="AA3167" s="86"/>
      <c r="AC3167" s="86"/>
      <c r="AD3167" s="86"/>
    </row>
    <row r="3168" spans="27:30" x14ac:dyDescent="0.2">
      <c r="AA3168" s="86"/>
      <c r="AC3168" s="86"/>
      <c r="AD3168" s="86"/>
    </row>
    <row r="3169" spans="27:30" x14ac:dyDescent="0.2">
      <c r="AA3169" s="86"/>
      <c r="AC3169" s="86"/>
      <c r="AD3169" s="86"/>
    </row>
    <row r="3170" spans="27:30" x14ac:dyDescent="0.2">
      <c r="AA3170" s="86"/>
      <c r="AC3170" s="86"/>
      <c r="AD3170" s="86"/>
    </row>
    <row r="3171" spans="27:30" x14ac:dyDescent="0.2">
      <c r="AA3171" s="86"/>
      <c r="AC3171" s="86"/>
      <c r="AD3171" s="86"/>
    </row>
    <row r="3172" spans="27:30" x14ac:dyDescent="0.2">
      <c r="AA3172" s="86"/>
      <c r="AC3172" s="86"/>
      <c r="AD3172" s="86"/>
    </row>
    <row r="3173" spans="27:30" x14ac:dyDescent="0.2">
      <c r="AA3173" s="86"/>
      <c r="AC3173" s="86"/>
      <c r="AD3173" s="86"/>
    </row>
    <row r="3174" spans="27:30" x14ac:dyDescent="0.2">
      <c r="AA3174" s="86"/>
      <c r="AC3174" s="86"/>
      <c r="AD3174" s="86"/>
    </row>
    <row r="3175" spans="27:30" x14ac:dyDescent="0.2">
      <c r="AA3175" s="86"/>
      <c r="AC3175" s="86"/>
      <c r="AD3175" s="86"/>
    </row>
    <row r="3176" spans="27:30" x14ac:dyDescent="0.2">
      <c r="AA3176" s="86"/>
      <c r="AC3176" s="86"/>
      <c r="AD3176" s="86"/>
    </row>
    <row r="3177" spans="27:30" x14ac:dyDescent="0.2">
      <c r="AA3177" s="86"/>
      <c r="AC3177" s="86"/>
      <c r="AD3177" s="86"/>
    </row>
    <row r="3178" spans="27:30" x14ac:dyDescent="0.2">
      <c r="AA3178" s="86"/>
      <c r="AC3178" s="86"/>
      <c r="AD3178" s="86"/>
    </row>
    <row r="3179" spans="27:30" x14ac:dyDescent="0.2">
      <c r="AA3179" s="86"/>
      <c r="AC3179" s="86"/>
      <c r="AD3179" s="86"/>
    </row>
    <row r="3180" spans="27:30" x14ac:dyDescent="0.2">
      <c r="AA3180" s="86"/>
      <c r="AC3180" s="86"/>
      <c r="AD3180" s="86"/>
    </row>
    <row r="3181" spans="27:30" x14ac:dyDescent="0.2">
      <c r="AA3181" s="86"/>
      <c r="AC3181" s="86"/>
      <c r="AD3181" s="86"/>
    </row>
    <row r="3182" spans="27:30" x14ac:dyDescent="0.2">
      <c r="AA3182" s="86"/>
      <c r="AC3182" s="86"/>
      <c r="AD3182" s="86"/>
    </row>
    <row r="3183" spans="27:30" x14ac:dyDescent="0.2">
      <c r="AA3183" s="86"/>
      <c r="AC3183" s="86"/>
      <c r="AD3183" s="86"/>
    </row>
    <row r="3184" spans="27:30" x14ac:dyDescent="0.2">
      <c r="AA3184" s="86"/>
      <c r="AC3184" s="86"/>
      <c r="AD3184" s="86"/>
    </row>
    <row r="3185" spans="27:30" x14ac:dyDescent="0.2">
      <c r="AA3185" s="86"/>
      <c r="AC3185" s="86"/>
      <c r="AD3185" s="86"/>
    </row>
    <row r="3186" spans="27:30" x14ac:dyDescent="0.2">
      <c r="AA3186" s="86"/>
      <c r="AC3186" s="86"/>
      <c r="AD3186" s="86"/>
    </row>
    <row r="3187" spans="27:30" x14ac:dyDescent="0.2">
      <c r="AA3187" s="86"/>
      <c r="AC3187" s="86"/>
      <c r="AD3187" s="86"/>
    </row>
    <row r="3188" spans="27:30" x14ac:dyDescent="0.2">
      <c r="AA3188" s="86"/>
      <c r="AC3188" s="86"/>
      <c r="AD3188" s="86"/>
    </row>
    <row r="3189" spans="27:30" x14ac:dyDescent="0.2">
      <c r="AA3189" s="86"/>
      <c r="AC3189" s="86"/>
      <c r="AD3189" s="86"/>
    </row>
    <row r="3190" spans="27:30" x14ac:dyDescent="0.2">
      <c r="AA3190" s="86"/>
      <c r="AC3190" s="86"/>
      <c r="AD3190" s="86"/>
    </row>
    <row r="3191" spans="27:30" x14ac:dyDescent="0.2">
      <c r="AA3191" s="86"/>
      <c r="AC3191" s="86"/>
      <c r="AD3191" s="86"/>
    </row>
    <row r="3192" spans="27:30" x14ac:dyDescent="0.2">
      <c r="AA3192" s="86"/>
      <c r="AC3192" s="86"/>
      <c r="AD3192" s="86"/>
    </row>
    <row r="3193" spans="27:30" x14ac:dyDescent="0.2">
      <c r="AA3193" s="86"/>
      <c r="AC3193" s="86"/>
      <c r="AD3193" s="86"/>
    </row>
    <row r="3194" spans="27:30" x14ac:dyDescent="0.2">
      <c r="AA3194" s="86"/>
      <c r="AC3194" s="86"/>
      <c r="AD3194" s="86"/>
    </row>
    <row r="3195" spans="27:30" x14ac:dyDescent="0.2">
      <c r="AA3195" s="86"/>
      <c r="AC3195" s="86"/>
      <c r="AD3195" s="86"/>
    </row>
    <row r="3196" spans="27:30" x14ac:dyDescent="0.2">
      <c r="AA3196" s="86"/>
      <c r="AC3196" s="86"/>
      <c r="AD3196" s="86"/>
    </row>
    <row r="3197" spans="27:30" x14ac:dyDescent="0.2">
      <c r="AA3197" s="86"/>
      <c r="AC3197" s="86"/>
      <c r="AD3197" s="86"/>
    </row>
    <row r="3198" spans="27:30" x14ac:dyDescent="0.2">
      <c r="AA3198" s="86"/>
      <c r="AC3198" s="86"/>
      <c r="AD3198" s="86"/>
    </row>
    <row r="3199" spans="27:30" x14ac:dyDescent="0.2">
      <c r="AA3199" s="86"/>
      <c r="AC3199" s="86"/>
      <c r="AD3199" s="86"/>
    </row>
    <row r="3200" spans="27:30" x14ac:dyDescent="0.2">
      <c r="AA3200" s="86"/>
      <c r="AC3200" s="86"/>
      <c r="AD3200" s="86"/>
    </row>
    <row r="3201" spans="27:30" x14ac:dyDescent="0.2">
      <c r="AA3201" s="86"/>
      <c r="AC3201" s="86"/>
      <c r="AD3201" s="86"/>
    </row>
    <row r="3202" spans="27:30" x14ac:dyDescent="0.2">
      <c r="AA3202" s="86"/>
      <c r="AC3202" s="86"/>
      <c r="AD3202" s="86"/>
    </row>
    <row r="3203" spans="27:30" x14ac:dyDescent="0.2">
      <c r="AA3203" s="86"/>
      <c r="AC3203" s="86"/>
      <c r="AD3203" s="86"/>
    </row>
    <row r="3204" spans="27:30" x14ac:dyDescent="0.2">
      <c r="AA3204" s="86"/>
      <c r="AC3204" s="86"/>
      <c r="AD3204" s="86"/>
    </row>
    <row r="3205" spans="27:30" x14ac:dyDescent="0.2">
      <c r="AA3205" s="86"/>
      <c r="AC3205" s="86"/>
      <c r="AD3205" s="86"/>
    </row>
    <row r="3206" spans="27:30" x14ac:dyDescent="0.2">
      <c r="AA3206" s="86"/>
      <c r="AC3206" s="86"/>
      <c r="AD3206" s="86"/>
    </row>
    <row r="3207" spans="27:30" x14ac:dyDescent="0.2">
      <c r="AA3207" s="86"/>
      <c r="AC3207" s="86"/>
      <c r="AD3207" s="86"/>
    </row>
    <row r="3208" spans="27:30" x14ac:dyDescent="0.2">
      <c r="AA3208" s="86"/>
      <c r="AC3208" s="86"/>
      <c r="AD3208" s="86"/>
    </row>
    <row r="3209" spans="27:30" x14ac:dyDescent="0.2">
      <c r="AA3209" s="86"/>
      <c r="AC3209" s="86"/>
      <c r="AD3209" s="86"/>
    </row>
    <row r="3210" spans="27:30" x14ac:dyDescent="0.2">
      <c r="AA3210" s="86"/>
      <c r="AC3210" s="86"/>
      <c r="AD3210" s="86"/>
    </row>
    <row r="3211" spans="27:30" x14ac:dyDescent="0.2">
      <c r="AA3211" s="86"/>
      <c r="AC3211" s="86"/>
      <c r="AD3211" s="86"/>
    </row>
    <row r="3212" spans="27:30" x14ac:dyDescent="0.2">
      <c r="AA3212" s="86"/>
      <c r="AC3212" s="86"/>
      <c r="AD3212" s="86"/>
    </row>
    <row r="3213" spans="27:30" x14ac:dyDescent="0.2">
      <c r="AA3213" s="86"/>
      <c r="AC3213" s="86"/>
      <c r="AD3213" s="86"/>
    </row>
    <row r="3214" spans="27:30" x14ac:dyDescent="0.2">
      <c r="AA3214" s="86"/>
      <c r="AC3214" s="86"/>
      <c r="AD3214" s="86"/>
    </row>
    <row r="3215" spans="27:30" x14ac:dyDescent="0.2">
      <c r="AA3215" s="86"/>
      <c r="AC3215" s="86"/>
      <c r="AD3215" s="86"/>
    </row>
    <row r="3216" spans="27:30" x14ac:dyDescent="0.2">
      <c r="AA3216" s="86"/>
      <c r="AC3216" s="86"/>
      <c r="AD3216" s="86"/>
    </row>
    <row r="3217" spans="27:30" x14ac:dyDescent="0.2">
      <c r="AA3217" s="86"/>
      <c r="AC3217" s="86"/>
      <c r="AD3217" s="86"/>
    </row>
    <row r="3218" spans="27:30" x14ac:dyDescent="0.2">
      <c r="AA3218" s="86"/>
      <c r="AC3218" s="86"/>
      <c r="AD3218" s="86"/>
    </row>
    <row r="3219" spans="27:30" x14ac:dyDescent="0.2">
      <c r="AA3219" s="86"/>
      <c r="AC3219" s="86"/>
      <c r="AD3219" s="86"/>
    </row>
    <row r="3220" spans="27:30" x14ac:dyDescent="0.2">
      <c r="AA3220" s="86"/>
      <c r="AC3220" s="86"/>
      <c r="AD3220" s="86"/>
    </row>
    <row r="3221" spans="27:30" x14ac:dyDescent="0.2">
      <c r="AA3221" s="86"/>
      <c r="AC3221" s="86"/>
      <c r="AD3221" s="86"/>
    </row>
    <row r="3222" spans="27:30" x14ac:dyDescent="0.2">
      <c r="AA3222" s="86"/>
      <c r="AC3222" s="86"/>
      <c r="AD3222" s="86"/>
    </row>
    <row r="3223" spans="27:30" x14ac:dyDescent="0.2">
      <c r="AA3223" s="86"/>
      <c r="AC3223" s="86"/>
      <c r="AD3223" s="86"/>
    </row>
    <row r="3224" spans="27:30" x14ac:dyDescent="0.2">
      <c r="AA3224" s="86"/>
      <c r="AC3224" s="86"/>
      <c r="AD3224" s="86"/>
    </row>
    <row r="3225" spans="27:30" x14ac:dyDescent="0.2">
      <c r="AA3225" s="86"/>
      <c r="AC3225" s="86"/>
      <c r="AD3225" s="86"/>
    </row>
    <row r="3226" spans="27:30" x14ac:dyDescent="0.2">
      <c r="AA3226" s="86"/>
      <c r="AC3226" s="86"/>
      <c r="AD3226" s="86"/>
    </row>
    <row r="3227" spans="27:30" x14ac:dyDescent="0.2">
      <c r="AA3227" s="86"/>
      <c r="AC3227" s="86"/>
      <c r="AD3227" s="86"/>
    </row>
    <row r="3228" spans="27:30" x14ac:dyDescent="0.2">
      <c r="AA3228" s="86"/>
      <c r="AC3228" s="86"/>
      <c r="AD3228" s="86"/>
    </row>
    <row r="3229" spans="27:30" x14ac:dyDescent="0.2">
      <c r="AA3229" s="86"/>
      <c r="AC3229" s="86"/>
      <c r="AD3229" s="86"/>
    </row>
    <row r="3230" spans="27:30" x14ac:dyDescent="0.2">
      <c r="AA3230" s="86"/>
      <c r="AC3230" s="86"/>
      <c r="AD3230" s="86"/>
    </row>
    <row r="3231" spans="27:30" x14ac:dyDescent="0.2">
      <c r="AA3231" s="86"/>
      <c r="AC3231" s="86"/>
      <c r="AD3231" s="86"/>
    </row>
    <row r="3232" spans="27:30" x14ac:dyDescent="0.2">
      <c r="AA3232" s="86"/>
      <c r="AC3232" s="86"/>
      <c r="AD3232" s="86"/>
    </row>
    <row r="3233" spans="27:30" x14ac:dyDescent="0.2">
      <c r="AA3233" s="86"/>
      <c r="AC3233" s="86"/>
      <c r="AD3233" s="86"/>
    </row>
    <row r="3234" spans="27:30" x14ac:dyDescent="0.2">
      <c r="AA3234" s="86"/>
      <c r="AC3234" s="86"/>
      <c r="AD3234" s="86"/>
    </row>
    <row r="3235" spans="27:30" x14ac:dyDescent="0.2">
      <c r="AA3235" s="86"/>
      <c r="AC3235" s="86"/>
      <c r="AD3235" s="86"/>
    </row>
    <row r="3236" spans="27:30" x14ac:dyDescent="0.2">
      <c r="AA3236" s="86"/>
      <c r="AC3236" s="86"/>
      <c r="AD3236" s="86"/>
    </row>
    <row r="3237" spans="27:30" x14ac:dyDescent="0.2">
      <c r="AA3237" s="86"/>
      <c r="AC3237" s="86"/>
      <c r="AD3237" s="86"/>
    </row>
    <row r="3238" spans="27:30" x14ac:dyDescent="0.2">
      <c r="AA3238" s="86"/>
      <c r="AC3238" s="86"/>
      <c r="AD3238" s="86"/>
    </row>
    <row r="3239" spans="27:30" x14ac:dyDescent="0.2">
      <c r="AA3239" s="86"/>
      <c r="AC3239" s="86"/>
      <c r="AD3239" s="86"/>
    </row>
    <row r="3240" spans="27:30" x14ac:dyDescent="0.2">
      <c r="AA3240" s="86"/>
      <c r="AC3240" s="86"/>
      <c r="AD3240" s="86"/>
    </row>
    <row r="3241" spans="27:30" x14ac:dyDescent="0.2">
      <c r="AA3241" s="86"/>
      <c r="AC3241" s="86"/>
      <c r="AD3241" s="86"/>
    </row>
    <row r="3242" spans="27:30" x14ac:dyDescent="0.2">
      <c r="AA3242" s="86"/>
      <c r="AC3242" s="86"/>
      <c r="AD3242" s="86"/>
    </row>
    <row r="3243" spans="27:30" x14ac:dyDescent="0.2">
      <c r="AA3243" s="86"/>
      <c r="AC3243" s="86"/>
      <c r="AD3243" s="86"/>
    </row>
    <row r="3244" spans="27:30" x14ac:dyDescent="0.2">
      <c r="AA3244" s="86"/>
      <c r="AC3244" s="86"/>
      <c r="AD3244" s="86"/>
    </row>
    <row r="3245" spans="27:30" x14ac:dyDescent="0.2">
      <c r="AA3245" s="86"/>
      <c r="AC3245" s="86"/>
      <c r="AD3245" s="86"/>
    </row>
    <row r="3246" spans="27:30" x14ac:dyDescent="0.2">
      <c r="AA3246" s="86"/>
      <c r="AC3246" s="86"/>
      <c r="AD3246" s="86"/>
    </row>
    <row r="3247" spans="27:30" x14ac:dyDescent="0.2">
      <c r="AA3247" s="86"/>
      <c r="AC3247" s="86"/>
      <c r="AD3247" s="86"/>
    </row>
    <row r="3248" spans="27:30" x14ac:dyDescent="0.2">
      <c r="AA3248" s="86"/>
      <c r="AC3248" s="86"/>
      <c r="AD3248" s="86"/>
    </row>
    <row r="3249" spans="27:30" x14ac:dyDescent="0.2">
      <c r="AA3249" s="86"/>
      <c r="AC3249" s="86"/>
      <c r="AD3249" s="86"/>
    </row>
    <row r="3250" spans="27:30" x14ac:dyDescent="0.2">
      <c r="AA3250" s="86"/>
      <c r="AC3250" s="86"/>
      <c r="AD3250" s="86"/>
    </row>
    <row r="3251" spans="27:30" x14ac:dyDescent="0.2">
      <c r="AA3251" s="86"/>
      <c r="AC3251" s="86"/>
      <c r="AD3251" s="86"/>
    </row>
    <row r="3252" spans="27:30" x14ac:dyDescent="0.2">
      <c r="AA3252" s="86"/>
      <c r="AC3252" s="86"/>
      <c r="AD3252" s="86"/>
    </row>
    <row r="3253" spans="27:30" x14ac:dyDescent="0.2">
      <c r="AA3253" s="86"/>
      <c r="AC3253" s="86"/>
      <c r="AD3253" s="86"/>
    </row>
    <row r="3254" spans="27:30" x14ac:dyDescent="0.2">
      <c r="AA3254" s="86"/>
      <c r="AC3254" s="86"/>
      <c r="AD3254" s="86"/>
    </row>
    <row r="3255" spans="27:30" x14ac:dyDescent="0.2">
      <c r="AA3255" s="86"/>
      <c r="AC3255" s="86"/>
      <c r="AD3255" s="86"/>
    </row>
    <row r="3256" spans="27:30" x14ac:dyDescent="0.2">
      <c r="AA3256" s="86"/>
      <c r="AC3256" s="86"/>
      <c r="AD3256" s="86"/>
    </row>
    <row r="3257" spans="27:30" x14ac:dyDescent="0.2">
      <c r="AA3257" s="86"/>
      <c r="AC3257" s="86"/>
      <c r="AD3257" s="86"/>
    </row>
    <row r="3258" spans="27:30" x14ac:dyDescent="0.2">
      <c r="AA3258" s="86"/>
      <c r="AC3258" s="86"/>
      <c r="AD3258" s="86"/>
    </row>
    <row r="3259" spans="27:30" x14ac:dyDescent="0.2">
      <c r="AA3259" s="86"/>
      <c r="AC3259" s="86"/>
      <c r="AD3259" s="86"/>
    </row>
    <row r="3260" spans="27:30" x14ac:dyDescent="0.2">
      <c r="AA3260" s="86"/>
      <c r="AC3260" s="86"/>
      <c r="AD3260" s="86"/>
    </row>
    <row r="3261" spans="27:30" x14ac:dyDescent="0.2">
      <c r="AA3261" s="86"/>
      <c r="AC3261" s="86"/>
      <c r="AD3261" s="86"/>
    </row>
    <row r="3262" spans="27:30" x14ac:dyDescent="0.2">
      <c r="AA3262" s="86"/>
      <c r="AC3262" s="86"/>
      <c r="AD3262" s="86"/>
    </row>
    <row r="3263" spans="27:30" x14ac:dyDescent="0.2">
      <c r="AA3263" s="86"/>
      <c r="AC3263" s="86"/>
      <c r="AD3263" s="86"/>
    </row>
    <row r="3264" spans="27:30" x14ac:dyDescent="0.2">
      <c r="AA3264" s="86"/>
      <c r="AC3264" s="86"/>
      <c r="AD3264" s="86"/>
    </row>
    <row r="3265" spans="27:30" x14ac:dyDescent="0.2">
      <c r="AA3265" s="86"/>
      <c r="AC3265" s="86"/>
      <c r="AD3265" s="86"/>
    </row>
    <row r="3266" spans="27:30" x14ac:dyDescent="0.2">
      <c r="AA3266" s="86"/>
      <c r="AC3266" s="86"/>
      <c r="AD3266" s="86"/>
    </row>
    <row r="3267" spans="27:30" x14ac:dyDescent="0.2">
      <c r="AA3267" s="86"/>
      <c r="AC3267" s="86"/>
      <c r="AD3267" s="86"/>
    </row>
    <row r="3268" spans="27:30" x14ac:dyDescent="0.2">
      <c r="AA3268" s="86"/>
      <c r="AC3268" s="86"/>
      <c r="AD3268" s="86"/>
    </row>
    <row r="3269" spans="27:30" x14ac:dyDescent="0.2">
      <c r="AA3269" s="86"/>
      <c r="AC3269" s="86"/>
      <c r="AD3269" s="86"/>
    </row>
    <row r="3270" spans="27:30" x14ac:dyDescent="0.2">
      <c r="AA3270" s="86"/>
      <c r="AC3270" s="86"/>
      <c r="AD3270" s="86"/>
    </row>
    <row r="3271" spans="27:30" x14ac:dyDescent="0.2">
      <c r="AA3271" s="86"/>
      <c r="AC3271" s="86"/>
      <c r="AD3271" s="86"/>
    </row>
    <row r="3272" spans="27:30" x14ac:dyDescent="0.2">
      <c r="AA3272" s="86"/>
      <c r="AC3272" s="86"/>
      <c r="AD3272" s="86"/>
    </row>
    <row r="3273" spans="27:30" x14ac:dyDescent="0.2">
      <c r="AA3273" s="86"/>
      <c r="AC3273" s="86"/>
      <c r="AD3273" s="86"/>
    </row>
    <row r="3274" spans="27:30" x14ac:dyDescent="0.2">
      <c r="AA3274" s="86"/>
      <c r="AC3274" s="86"/>
      <c r="AD3274" s="86"/>
    </row>
    <row r="3275" spans="27:30" x14ac:dyDescent="0.2">
      <c r="AA3275" s="86"/>
      <c r="AC3275" s="86"/>
      <c r="AD3275" s="86"/>
    </row>
    <row r="3276" spans="27:30" x14ac:dyDescent="0.2">
      <c r="AA3276" s="86"/>
      <c r="AC3276" s="86"/>
      <c r="AD3276" s="86"/>
    </row>
    <row r="3277" spans="27:30" x14ac:dyDescent="0.2">
      <c r="AA3277" s="86"/>
      <c r="AC3277" s="86"/>
      <c r="AD3277" s="86"/>
    </row>
    <row r="3278" spans="27:30" x14ac:dyDescent="0.2">
      <c r="AA3278" s="86"/>
      <c r="AC3278" s="86"/>
      <c r="AD3278" s="86"/>
    </row>
    <row r="3279" spans="27:30" x14ac:dyDescent="0.2">
      <c r="AA3279" s="86"/>
      <c r="AC3279" s="86"/>
      <c r="AD3279" s="86"/>
    </row>
    <row r="3280" spans="27:30" x14ac:dyDescent="0.2">
      <c r="AA3280" s="86"/>
      <c r="AC3280" s="86"/>
      <c r="AD3280" s="86"/>
    </row>
    <row r="3281" spans="27:30" x14ac:dyDescent="0.2">
      <c r="AA3281" s="86"/>
      <c r="AC3281" s="86"/>
      <c r="AD3281" s="86"/>
    </row>
    <row r="3282" spans="27:30" x14ac:dyDescent="0.2">
      <c r="AA3282" s="86"/>
      <c r="AC3282" s="86"/>
      <c r="AD3282" s="86"/>
    </row>
    <row r="3283" spans="27:30" x14ac:dyDescent="0.2">
      <c r="AA3283" s="86"/>
      <c r="AC3283" s="86"/>
      <c r="AD3283" s="86"/>
    </row>
    <row r="3284" spans="27:30" x14ac:dyDescent="0.2">
      <c r="AA3284" s="86"/>
      <c r="AC3284" s="86"/>
      <c r="AD3284" s="86"/>
    </row>
    <row r="3285" spans="27:30" x14ac:dyDescent="0.2">
      <c r="AA3285" s="86"/>
      <c r="AC3285" s="86"/>
      <c r="AD3285" s="86"/>
    </row>
    <row r="3286" spans="27:30" x14ac:dyDescent="0.2">
      <c r="AA3286" s="86"/>
      <c r="AC3286" s="86"/>
      <c r="AD3286" s="86"/>
    </row>
    <row r="3287" spans="27:30" x14ac:dyDescent="0.2">
      <c r="AA3287" s="86"/>
      <c r="AC3287" s="86"/>
      <c r="AD3287" s="86"/>
    </row>
    <row r="3288" spans="27:30" x14ac:dyDescent="0.2">
      <c r="AA3288" s="86"/>
      <c r="AC3288" s="86"/>
      <c r="AD3288" s="86"/>
    </row>
    <row r="3289" spans="27:30" x14ac:dyDescent="0.2">
      <c r="AA3289" s="86"/>
      <c r="AC3289" s="86"/>
      <c r="AD3289" s="86"/>
    </row>
    <row r="3290" spans="27:30" x14ac:dyDescent="0.2">
      <c r="AA3290" s="86"/>
      <c r="AC3290" s="86"/>
      <c r="AD3290" s="86"/>
    </row>
    <row r="3291" spans="27:30" x14ac:dyDescent="0.2">
      <c r="AA3291" s="86"/>
      <c r="AC3291" s="86"/>
      <c r="AD3291" s="86"/>
    </row>
    <row r="3292" spans="27:30" x14ac:dyDescent="0.2">
      <c r="AA3292" s="86"/>
      <c r="AC3292" s="86"/>
      <c r="AD3292" s="86"/>
    </row>
    <row r="3293" spans="27:30" x14ac:dyDescent="0.2">
      <c r="AA3293" s="86"/>
      <c r="AC3293" s="86"/>
      <c r="AD3293" s="86"/>
    </row>
    <row r="3294" spans="27:30" x14ac:dyDescent="0.2">
      <c r="AA3294" s="86"/>
      <c r="AC3294" s="86"/>
      <c r="AD3294" s="86"/>
    </row>
    <row r="3295" spans="27:30" x14ac:dyDescent="0.2">
      <c r="AA3295" s="86"/>
      <c r="AC3295" s="86"/>
      <c r="AD3295" s="86"/>
    </row>
    <row r="3296" spans="27:30" x14ac:dyDescent="0.2">
      <c r="AA3296" s="86"/>
      <c r="AC3296" s="86"/>
      <c r="AD3296" s="86"/>
    </row>
    <row r="3297" spans="27:30" x14ac:dyDescent="0.2">
      <c r="AA3297" s="86"/>
      <c r="AC3297" s="86"/>
      <c r="AD3297" s="86"/>
    </row>
    <row r="3298" spans="27:30" x14ac:dyDescent="0.2">
      <c r="AA3298" s="86"/>
      <c r="AC3298" s="86"/>
      <c r="AD3298" s="86"/>
    </row>
    <row r="3299" spans="27:30" x14ac:dyDescent="0.2">
      <c r="AA3299" s="86"/>
      <c r="AC3299" s="86"/>
      <c r="AD3299" s="86"/>
    </row>
    <row r="3300" spans="27:30" x14ac:dyDescent="0.2">
      <c r="AA3300" s="86"/>
      <c r="AC3300" s="86"/>
      <c r="AD3300" s="86"/>
    </row>
    <row r="3301" spans="27:30" x14ac:dyDescent="0.2">
      <c r="AA3301" s="86"/>
      <c r="AC3301" s="86"/>
      <c r="AD3301" s="86"/>
    </row>
    <row r="3302" spans="27:30" x14ac:dyDescent="0.2">
      <c r="AA3302" s="86"/>
      <c r="AC3302" s="86"/>
      <c r="AD3302" s="86"/>
    </row>
    <row r="3303" spans="27:30" x14ac:dyDescent="0.2">
      <c r="AA3303" s="86"/>
      <c r="AC3303" s="86"/>
      <c r="AD3303" s="86"/>
    </row>
    <row r="3304" spans="27:30" x14ac:dyDescent="0.2">
      <c r="AA3304" s="86"/>
      <c r="AC3304" s="86"/>
      <c r="AD3304" s="86"/>
    </row>
    <row r="3305" spans="27:30" x14ac:dyDescent="0.2">
      <c r="AA3305" s="86"/>
      <c r="AC3305" s="86"/>
      <c r="AD3305" s="86"/>
    </row>
    <row r="3306" spans="27:30" x14ac:dyDescent="0.2">
      <c r="AA3306" s="86"/>
      <c r="AC3306" s="86"/>
      <c r="AD3306" s="86"/>
    </row>
    <row r="3307" spans="27:30" x14ac:dyDescent="0.2">
      <c r="AA3307" s="86"/>
      <c r="AC3307" s="86"/>
      <c r="AD3307" s="86"/>
    </row>
    <row r="3308" spans="27:30" x14ac:dyDescent="0.2">
      <c r="AA3308" s="86"/>
      <c r="AC3308" s="86"/>
      <c r="AD3308" s="86"/>
    </row>
    <row r="3309" spans="27:30" x14ac:dyDescent="0.2">
      <c r="AA3309" s="86"/>
      <c r="AC3309" s="86"/>
      <c r="AD3309" s="86"/>
    </row>
    <row r="3310" spans="27:30" x14ac:dyDescent="0.2">
      <c r="AA3310" s="86"/>
      <c r="AC3310" s="86"/>
      <c r="AD3310" s="86"/>
    </row>
    <row r="3311" spans="27:30" x14ac:dyDescent="0.2">
      <c r="AA3311" s="86"/>
      <c r="AC3311" s="86"/>
      <c r="AD3311" s="86"/>
    </row>
    <row r="3312" spans="27:30" x14ac:dyDescent="0.2">
      <c r="AA3312" s="86"/>
      <c r="AC3312" s="86"/>
      <c r="AD3312" s="86"/>
    </row>
    <row r="3313" spans="27:30" x14ac:dyDescent="0.2">
      <c r="AA3313" s="86"/>
      <c r="AC3313" s="86"/>
      <c r="AD3313" s="86"/>
    </row>
    <row r="3314" spans="27:30" x14ac:dyDescent="0.2">
      <c r="AA3314" s="86"/>
      <c r="AC3314" s="86"/>
      <c r="AD3314" s="86"/>
    </row>
    <row r="3315" spans="27:30" x14ac:dyDescent="0.2">
      <c r="AA3315" s="86"/>
      <c r="AC3315" s="86"/>
      <c r="AD3315" s="86"/>
    </row>
    <row r="3316" spans="27:30" x14ac:dyDescent="0.2">
      <c r="AA3316" s="86"/>
      <c r="AC3316" s="86"/>
      <c r="AD3316" s="86"/>
    </row>
    <row r="3317" spans="27:30" x14ac:dyDescent="0.2">
      <c r="AA3317" s="86"/>
      <c r="AC3317" s="86"/>
      <c r="AD3317" s="86"/>
    </row>
    <row r="3318" spans="27:30" x14ac:dyDescent="0.2">
      <c r="AA3318" s="86"/>
      <c r="AC3318" s="86"/>
      <c r="AD3318" s="86"/>
    </row>
    <row r="3319" spans="27:30" x14ac:dyDescent="0.2">
      <c r="AA3319" s="86"/>
      <c r="AC3319" s="86"/>
      <c r="AD3319" s="86"/>
    </row>
    <row r="3320" spans="27:30" x14ac:dyDescent="0.2">
      <c r="AA3320" s="86"/>
      <c r="AC3320" s="86"/>
      <c r="AD3320" s="86"/>
    </row>
    <row r="3321" spans="27:30" x14ac:dyDescent="0.2">
      <c r="AA3321" s="86"/>
      <c r="AC3321" s="86"/>
      <c r="AD3321" s="86"/>
    </row>
    <row r="3322" spans="27:30" x14ac:dyDescent="0.2">
      <c r="AA3322" s="86"/>
      <c r="AC3322" s="86"/>
      <c r="AD3322" s="86"/>
    </row>
    <row r="3323" spans="27:30" x14ac:dyDescent="0.2">
      <c r="AA3323" s="86"/>
      <c r="AC3323" s="86"/>
      <c r="AD3323" s="86"/>
    </row>
    <row r="3324" spans="27:30" x14ac:dyDescent="0.2">
      <c r="AA3324" s="86"/>
      <c r="AC3324" s="86"/>
      <c r="AD3324" s="86"/>
    </row>
    <row r="3325" spans="27:30" x14ac:dyDescent="0.2">
      <c r="AA3325" s="86"/>
      <c r="AC3325" s="86"/>
      <c r="AD3325" s="86"/>
    </row>
    <row r="3326" spans="27:30" x14ac:dyDescent="0.2">
      <c r="AA3326" s="86"/>
      <c r="AC3326" s="86"/>
      <c r="AD3326" s="86"/>
    </row>
    <row r="3327" spans="27:30" x14ac:dyDescent="0.2">
      <c r="AA3327" s="86"/>
      <c r="AC3327" s="86"/>
      <c r="AD3327" s="86"/>
    </row>
    <row r="3328" spans="27:30" x14ac:dyDescent="0.2">
      <c r="AA3328" s="86"/>
      <c r="AC3328" s="86"/>
      <c r="AD3328" s="86"/>
    </row>
    <row r="3329" spans="27:30" x14ac:dyDescent="0.2">
      <c r="AA3329" s="86"/>
      <c r="AC3329" s="86"/>
      <c r="AD3329" s="86"/>
    </row>
    <row r="3330" spans="27:30" x14ac:dyDescent="0.2">
      <c r="AA3330" s="86"/>
      <c r="AC3330" s="86"/>
      <c r="AD3330" s="86"/>
    </row>
    <row r="3331" spans="27:30" x14ac:dyDescent="0.2">
      <c r="AA3331" s="86"/>
      <c r="AC3331" s="86"/>
      <c r="AD3331" s="86"/>
    </row>
    <row r="3332" spans="27:30" x14ac:dyDescent="0.2">
      <c r="AA3332" s="86"/>
      <c r="AC3332" s="86"/>
      <c r="AD3332" s="86"/>
    </row>
    <row r="3333" spans="27:30" x14ac:dyDescent="0.2">
      <c r="AA3333" s="86"/>
      <c r="AC3333" s="86"/>
      <c r="AD3333" s="86"/>
    </row>
    <row r="3334" spans="27:30" x14ac:dyDescent="0.2">
      <c r="AA3334" s="86"/>
      <c r="AC3334" s="86"/>
      <c r="AD3334" s="86"/>
    </row>
    <row r="3335" spans="27:30" x14ac:dyDescent="0.2">
      <c r="AA3335" s="86"/>
      <c r="AC3335" s="86"/>
      <c r="AD3335" s="86"/>
    </row>
    <row r="3336" spans="27:30" x14ac:dyDescent="0.2">
      <c r="AA3336" s="86"/>
      <c r="AC3336" s="86"/>
      <c r="AD3336" s="86"/>
    </row>
    <row r="3337" spans="27:30" x14ac:dyDescent="0.2">
      <c r="AA3337" s="86"/>
      <c r="AC3337" s="86"/>
      <c r="AD3337" s="86"/>
    </row>
    <row r="3338" spans="27:30" x14ac:dyDescent="0.2">
      <c r="AA3338" s="86"/>
      <c r="AC3338" s="86"/>
      <c r="AD3338" s="86"/>
    </row>
    <row r="3339" spans="27:30" x14ac:dyDescent="0.2">
      <c r="AA3339" s="86"/>
      <c r="AC3339" s="86"/>
      <c r="AD3339" s="86"/>
    </row>
    <row r="3340" spans="27:30" x14ac:dyDescent="0.2">
      <c r="AA3340" s="86"/>
      <c r="AC3340" s="86"/>
      <c r="AD3340" s="86"/>
    </row>
    <row r="3341" spans="27:30" x14ac:dyDescent="0.2">
      <c r="AA3341" s="86"/>
      <c r="AC3341" s="86"/>
      <c r="AD3341" s="86"/>
    </row>
    <row r="3342" spans="27:30" x14ac:dyDescent="0.2">
      <c r="AA3342" s="86"/>
      <c r="AC3342" s="86"/>
      <c r="AD3342" s="86"/>
    </row>
    <row r="3343" spans="27:30" x14ac:dyDescent="0.2">
      <c r="AA3343" s="86"/>
      <c r="AC3343" s="86"/>
      <c r="AD3343" s="86"/>
    </row>
    <row r="3344" spans="27:30" x14ac:dyDescent="0.2">
      <c r="AA3344" s="86"/>
      <c r="AC3344" s="86"/>
      <c r="AD3344" s="86"/>
    </row>
    <row r="3345" spans="27:30" x14ac:dyDescent="0.2">
      <c r="AA3345" s="86"/>
      <c r="AC3345" s="86"/>
      <c r="AD3345" s="86"/>
    </row>
    <row r="3346" spans="27:30" x14ac:dyDescent="0.2">
      <c r="AA3346" s="86"/>
      <c r="AC3346" s="86"/>
      <c r="AD3346" s="86"/>
    </row>
    <row r="3347" spans="27:30" x14ac:dyDescent="0.2">
      <c r="AA3347" s="86"/>
      <c r="AC3347" s="86"/>
      <c r="AD3347" s="86"/>
    </row>
    <row r="3348" spans="27:30" x14ac:dyDescent="0.2">
      <c r="AA3348" s="86"/>
      <c r="AC3348" s="86"/>
      <c r="AD3348" s="86"/>
    </row>
    <row r="3349" spans="27:30" x14ac:dyDescent="0.2">
      <c r="AA3349" s="86"/>
      <c r="AC3349" s="86"/>
      <c r="AD3349" s="86"/>
    </row>
    <row r="3350" spans="27:30" x14ac:dyDescent="0.2">
      <c r="AA3350" s="86"/>
      <c r="AC3350" s="86"/>
      <c r="AD3350" s="86"/>
    </row>
    <row r="3351" spans="27:30" x14ac:dyDescent="0.2">
      <c r="AA3351" s="86"/>
      <c r="AC3351" s="86"/>
      <c r="AD3351" s="86"/>
    </row>
    <row r="3352" spans="27:30" x14ac:dyDescent="0.2">
      <c r="AA3352" s="86"/>
      <c r="AC3352" s="86"/>
      <c r="AD3352" s="86"/>
    </row>
    <row r="3353" spans="27:30" x14ac:dyDescent="0.2">
      <c r="AA3353" s="86"/>
      <c r="AC3353" s="86"/>
      <c r="AD3353" s="86"/>
    </row>
    <row r="3354" spans="27:30" x14ac:dyDescent="0.2">
      <c r="AA3354" s="86"/>
      <c r="AC3354" s="86"/>
      <c r="AD3354" s="86"/>
    </row>
    <row r="3355" spans="27:30" x14ac:dyDescent="0.2">
      <c r="AA3355" s="86"/>
      <c r="AC3355" s="86"/>
      <c r="AD3355" s="86"/>
    </row>
    <row r="3356" spans="27:30" x14ac:dyDescent="0.2">
      <c r="AA3356" s="86"/>
      <c r="AC3356" s="86"/>
      <c r="AD3356" s="86"/>
    </row>
    <row r="3357" spans="27:30" x14ac:dyDescent="0.2">
      <c r="AA3357" s="86"/>
      <c r="AC3357" s="86"/>
      <c r="AD3357" s="86"/>
    </row>
    <row r="3358" spans="27:30" x14ac:dyDescent="0.2">
      <c r="AA3358" s="86"/>
      <c r="AC3358" s="86"/>
      <c r="AD3358" s="86"/>
    </row>
    <row r="3359" spans="27:30" x14ac:dyDescent="0.2">
      <c r="AA3359" s="86"/>
      <c r="AC3359" s="86"/>
      <c r="AD3359" s="86"/>
    </row>
    <row r="3360" spans="27:30" x14ac:dyDescent="0.2">
      <c r="AA3360" s="86"/>
      <c r="AC3360" s="86"/>
      <c r="AD3360" s="86"/>
    </row>
    <row r="3361" spans="27:30" x14ac:dyDescent="0.2">
      <c r="AA3361" s="86"/>
      <c r="AC3361" s="86"/>
      <c r="AD3361" s="86"/>
    </row>
    <row r="3362" spans="27:30" x14ac:dyDescent="0.2">
      <c r="AA3362" s="86"/>
      <c r="AC3362" s="86"/>
      <c r="AD3362" s="86"/>
    </row>
    <row r="3363" spans="27:30" x14ac:dyDescent="0.2">
      <c r="AA3363" s="86"/>
      <c r="AC3363" s="86"/>
      <c r="AD3363" s="86"/>
    </row>
    <row r="3364" spans="27:30" x14ac:dyDescent="0.2">
      <c r="AA3364" s="86"/>
      <c r="AC3364" s="86"/>
      <c r="AD3364" s="86"/>
    </row>
    <row r="3365" spans="27:30" x14ac:dyDescent="0.2">
      <c r="AA3365" s="86"/>
      <c r="AC3365" s="86"/>
      <c r="AD3365" s="86"/>
    </row>
    <row r="3366" spans="27:30" x14ac:dyDescent="0.2">
      <c r="AA3366" s="86"/>
      <c r="AC3366" s="86"/>
      <c r="AD3366" s="86"/>
    </row>
    <row r="3367" spans="27:30" x14ac:dyDescent="0.2">
      <c r="AA3367" s="86"/>
      <c r="AC3367" s="86"/>
      <c r="AD3367" s="86"/>
    </row>
    <row r="3368" spans="27:30" x14ac:dyDescent="0.2">
      <c r="AA3368" s="86"/>
      <c r="AC3368" s="86"/>
      <c r="AD3368" s="86"/>
    </row>
    <row r="3369" spans="27:30" x14ac:dyDescent="0.2">
      <c r="AA3369" s="86"/>
      <c r="AC3369" s="86"/>
      <c r="AD3369" s="86"/>
    </row>
    <row r="3370" spans="27:30" x14ac:dyDescent="0.2">
      <c r="AA3370" s="86"/>
      <c r="AC3370" s="86"/>
      <c r="AD3370" s="86"/>
    </row>
    <row r="3371" spans="27:30" x14ac:dyDescent="0.2">
      <c r="AA3371" s="86"/>
      <c r="AC3371" s="86"/>
      <c r="AD3371" s="86"/>
    </row>
    <row r="3372" spans="27:30" x14ac:dyDescent="0.2">
      <c r="AA3372" s="86"/>
      <c r="AC3372" s="86"/>
      <c r="AD3372" s="86"/>
    </row>
    <row r="3373" spans="27:30" x14ac:dyDescent="0.2">
      <c r="AA3373" s="86"/>
      <c r="AC3373" s="86"/>
      <c r="AD3373" s="86"/>
    </row>
    <row r="3374" spans="27:30" x14ac:dyDescent="0.2">
      <c r="AA3374" s="86"/>
      <c r="AC3374" s="86"/>
      <c r="AD3374" s="86"/>
    </row>
    <row r="3375" spans="27:30" x14ac:dyDescent="0.2">
      <c r="AA3375" s="86"/>
      <c r="AC3375" s="86"/>
      <c r="AD3375" s="86"/>
    </row>
    <row r="3376" spans="27:30" x14ac:dyDescent="0.2">
      <c r="AA3376" s="86"/>
      <c r="AC3376" s="86"/>
      <c r="AD3376" s="86"/>
    </row>
    <row r="3377" spans="27:30" x14ac:dyDescent="0.2">
      <c r="AA3377" s="86"/>
      <c r="AC3377" s="86"/>
      <c r="AD3377" s="86"/>
    </row>
    <row r="3378" spans="27:30" x14ac:dyDescent="0.2">
      <c r="AA3378" s="86"/>
      <c r="AC3378" s="86"/>
      <c r="AD3378" s="86"/>
    </row>
    <row r="3379" spans="27:30" x14ac:dyDescent="0.2">
      <c r="AA3379" s="86"/>
      <c r="AC3379" s="86"/>
      <c r="AD3379" s="86"/>
    </row>
    <row r="3380" spans="27:30" x14ac:dyDescent="0.2">
      <c r="AA3380" s="86"/>
      <c r="AC3380" s="86"/>
      <c r="AD3380" s="86"/>
    </row>
    <row r="3381" spans="27:30" x14ac:dyDescent="0.2">
      <c r="AA3381" s="86"/>
      <c r="AC3381" s="86"/>
      <c r="AD3381" s="86"/>
    </row>
    <row r="3382" spans="27:30" x14ac:dyDescent="0.2">
      <c r="AA3382" s="86"/>
      <c r="AC3382" s="86"/>
      <c r="AD3382" s="86"/>
    </row>
    <row r="3383" spans="27:30" x14ac:dyDescent="0.2">
      <c r="AA3383" s="86"/>
      <c r="AC3383" s="86"/>
      <c r="AD3383" s="86"/>
    </row>
    <row r="3384" spans="27:30" x14ac:dyDescent="0.2">
      <c r="AA3384" s="86"/>
      <c r="AC3384" s="86"/>
      <c r="AD3384" s="86"/>
    </row>
    <row r="3385" spans="27:30" x14ac:dyDescent="0.2">
      <c r="AA3385" s="86"/>
      <c r="AC3385" s="86"/>
      <c r="AD3385" s="86"/>
    </row>
    <row r="3386" spans="27:30" x14ac:dyDescent="0.2">
      <c r="AA3386" s="86"/>
      <c r="AC3386" s="86"/>
      <c r="AD3386" s="86"/>
    </row>
    <row r="3387" spans="27:30" x14ac:dyDescent="0.2">
      <c r="AA3387" s="86"/>
      <c r="AC3387" s="86"/>
      <c r="AD3387" s="86"/>
    </row>
    <row r="3388" spans="27:30" x14ac:dyDescent="0.2">
      <c r="AA3388" s="86"/>
      <c r="AC3388" s="86"/>
      <c r="AD3388" s="86"/>
    </row>
    <row r="3389" spans="27:30" x14ac:dyDescent="0.2">
      <c r="AA3389" s="86"/>
      <c r="AC3389" s="86"/>
      <c r="AD3389" s="86"/>
    </row>
    <row r="3390" spans="27:30" x14ac:dyDescent="0.2">
      <c r="AA3390" s="86"/>
      <c r="AC3390" s="86"/>
      <c r="AD3390" s="86"/>
    </row>
    <row r="3391" spans="27:30" x14ac:dyDescent="0.2">
      <c r="AA3391" s="86"/>
      <c r="AC3391" s="86"/>
      <c r="AD3391" s="86"/>
    </row>
    <row r="3392" spans="27:30" x14ac:dyDescent="0.2">
      <c r="AA3392" s="86"/>
      <c r="AC3392" s="86"/>
      <c r="AD3392" s="86"/>
    </row>
    <row r="3393" spans="27:30" x14ac:dyDescent="0.2">
      <c r="AA3393" s="86"/>
      <c r="AC3393" s="86"/>
      <c r="AD3393" s="86"/>
    </row>
    <row r="3394" spans="27:30" x14ac:dyDescent="0.2">
      <c r="AA3394" s="86"/>
      <c r="AC3394" s="86"/>
      <c r="AD3394" s="86"/>
    </row>
    <row r="3395" spans="27:30" x14ac:dyDescent="0.2">
      <c r="AA3395" s="86"/>
      <c r="AC3395" s="86"/>
      <c r="AD3395" s="86"/>
    </row>
    <row r="3396" spans="27:30" x14ac:dyDescent="0.2">
      <c r="AA3396" s="86"/>
      <c r="AC3396" s="86"/>
      <c r="AD3396" s="86"/>
    </row>
    <row r="3397" spans="27:30" x14ac:dyDescent="0.2">
      <c r="AA3397" s="86"/>
      <c r="AC3397" s="86"/>
      <c r="AD3397" s="86"/>
    </row>
    <row r="3398" spans="27:30" x14ac:dyDescent="0.2">
      <c r="AA3398" s="86"/>
      <c r="AC3398" s="86"/>
      <c r="AD3398" s="86"/>
    </row>
    <row r="3399" spans="27:30" x14ac:dyDescent="0.2">
      <c r="AA3399" s="86"/>
      <c r="AC3399" s="86"/>
      <c r="AD3399" s="86"/>
    </row>
    <row r="3400" spans="27:30" x14ac:dyDescent="0.2">
      <c r="AA3400" s="86"/>
      <c r="AC3400" s="86"/>
      <c r="AD3400" s="86"/>
    </row>
    <row r="3401" spans="27:30" x14ac:dyDescent="0.2">
      <c r="AA3401" s="86"/>
      <c r="AC3401" s="86"/>
      <c r="AD3401" s="86"/>
    </row>
    <row r="3402" spans="27:30" x14ac:dyDescent="0.2">
      <c r="AA3402" s="86"/>
      <c r="AC3402" s="86"/>
      <c r="AD3402" s="86"/>
    </row>
    <row r="3403" spans="27:30" x14ac:dyDescent="0.2">
      <c r="AA3403" s="86"/>
      <c r="AC3403" s="86"/>
      <c r="AD3403" s="86"/>
    </row>
    <row r="3404" spans="27:30" x14ac:dyDescent="0.2">
      <c r="AA3404" s="86"/>
      <c r="AC3404" s="86"/>
      <c r="AD3404" s="86"/>
    </row>
    <row r="3405" spans="27:30" x14ac:dyDescent="0.2">
      <c r="AA3405" s="86"/>
      <c r="AC3405" s="86"/>
      <c r="AD3405" s="86"/>
    </row>
    <row r="3406" spans="27:30" x14ac:dyDescent="0.2">
      <c r="AA3406" s="86"/>
      <c r="AC3406" s="86"/>
      <c r="AD3406" s="86"/>
    </row>
    <row r="3407" spans="27:30" x14ac:dyDescent="0.2">
      <c r="AA3407" s="86"/>
      <c r="AC3407" s="86"/>
      <c r="AD3407" s="86"/>
    </row>
    <row r="3408" spans="27:30" x14ac:dyDescent="0.2">
      <c r="AA3408" s="86"/>
      <c r="AC3408" s="86"/>
      <c r="AD3408" s="86"/>
    </row>
    <row r="3409" spans="27:30" x14ac:dyDescent="0.2">
      <c r="AA3409" s="86"/>
      <c r="AC3409" s="86"/>
      <c r="AD3409" s="86"/>
    </row>
    <row r="3410" spans="27:30" x14ac:dyDescent="0.2">
      <c r="AA3410" s="86"/>
      <c r="AC3410" s="86"/>
      <c r="AD3410" s="86"/>
    </row>
    <row r="3411" spans="27:30" x14ac:dyDescent="0.2">
      <c r="AA3411" s="86"/>
      <c r="AC3411" s="86"/>
      <c r="AD3411" s="86"/>
    </row>
    <row r="3412" spans="27:30" x14ac:dyDescent="0.2">
      <c r="AA3412" s="86"/>
      <c r="AC3412" s="86"/>
      <c r="AD3412" s="86"/>
    </row>
    <row r="3413" spans="27:30" x14ac:dyDescent="0.2">
      <c r="AA3413" s="86"/>
      <c r="AC3413" s="86"/>
      <c r="AD3413" s="86"/>
    </row>
    <row r="3414" spans="27:30" x14ac:dyDescent="0.2">
      <c r="AA3414" s="86"/>
      <c r="AC3414" s="86"/>
      <c r="AD3414" s="86"/>
    </row>
    <row r="3415" spans="27:30" x14ac:dyDescent="0.2">
      <c r="AA3415" s="86"/>
      <c r="AC3415" s="86"/>
      <c r="AD3415" s="86"/>
    </row>
    <row r="3416" spans="27:30" x14ac:dyDescent="0.2">
      <c r="AA3416" s="86"/>
      <c r="AC3416" s="86"/>
      <c r="AD3416" s="86"/>
    </row>
    <row r="3417" spans="27:30" x14ac:dyDescent="0.2">
      <c r="AA3417" s="86"/>
      <c r="AC3417" s="86"/>
      <c r="AD3417" s="86"/>
    </row>
    <row r="3418" spans="27:30" x14ac:dyDescent="0.2">
      <c r="AA3418" s="86"/>
      <c r="AC3418" s="86"/>
      <c r="AD3418" s="86"/>
    </row>
    <row r="3419" spans="27:30" x14ac:dyDescent="0.2">
      <c r="AA3419" s="86"/>
      <c r="AC3419" s="86"/>
      <c r="AD3419" s="86"/>
    </row>
    <row r="3420" spans="27:30" x14ac:dyDescent="0.2">
      <c r="AA3420" s="86"/>
      <c r="AC3420" s="86"/>
      <c r="AD3420" s="86"/>
    </row>
    <row r="3421" spans="27:30" x14ac:dyDescent="0.2">
      <c r="AA3421" s="86"/>
      <c r="AC3421" s="86"/>
      <c r="AD3421" s="86"/>
    </row>
    <row r="3422" spans="27:30" x14ac:dyDescent="0.2">
      <c r="AA3422" s="86"/>
      <c r="AC3422" s="86"/>
      <c r="AD3422" s="86"/>
    </row>
    <row r="3423" spans="27:30" x14ac:dyDescent="0.2">
      <c r="AA3423" s="86"/>
      <c r="AC3423" s="86"/>
      <c r="AD3423" s="86"/>
    </row>
    <row r="3424" spans="27:30" x14ac:dyDescent="0.2">
      <c r="AA3424" s="86"/>
      <c r="AC3424" s="86"/>
      <c r="AD3424" s="86"/>
    </row>
    <row r="3425" spans="27:30" x14ac:dyDescent="0.2">
      <c r="AA3425" s="86"/>
      <c r="AC3425" s="86"/>
      <c r="AD3425" s="86"/>
    </row>
    <row r="3426" spans="27:30" x14ac:dyDescent="0.2">
      <c r="AA3426" s="86"/>
      <c r="AC3426" s="86"/>
      <c r="AD3426" s="86"/>
    </row>
    <row r="3427" spans="27:30" x14ac:dyDescent="0.2">
      <c r="AA3427" s="86"/>
      <c r="AC3427" s="86"/>
      <c r="AD3427" s="86"/>
    </row>
    <row r="3428" spans="27:30" x14ac:dyDescent="0.2">
      <c r="AA3428" s="86"/>
      <c r="AC3428" s="86"/>
      <c r="AD3428" s="86"/>
    </row>
    <row r="3429" spans="27:30" x14ac:dyDescent="0.2">
      <c r="AA3429" s="86"/>
      <c r="AC3429" s="86"/>
      <c r="AD3429" s="86"/>
    </row>
    <row r="3430" spans="27:30" x14ac:dyDescent="0.2">
      <c r="AA3430" s="86"/>
      <c r="AC3430" s="86"/>
      <c r="AD3430" s="86"/>
    </row>
    <row r="3431" spans="27:30" x14ac:dyDescent="0.2">
      <c r="AA3431" s="86"/>
      <c r="AC3431" s="86"/>
      <c r="AD3431" s="86"/>
    </row>
    <row r="3432" spans="27:30" x14ac:dyDescent="0.2">
      <c r="AA3432" s="86"/>
      <c r="AC3432" s="86"/>
      <c r="AD3432" s="86"/>
    </row>
    <row r="3433" spans="27:30" x14ac:dyDescent="0.2">
      <c r="AA3433" s="86"/>
      <c r="AC3433" s="86"/>
      <c r="AD3433" s="86"/>
    </row>
    <row r="3434" spans="27:30" x14ac:dyDescent="0.2">
      <c r="AA3434" s="86"/>
      <c r="AC3434" s="86"/>
      <c r="AD3434" s="86"/>
    </row>
    <row r="3435" spans="27:30" x14ac:dyDescent="0.2">
      <c r="AA3435" s="86"/>
      <c r="AC3435" s="86"/>
      <c r="AD3435" s="86"/>
    </row>
    <row r="3436" spans="27:30" x14ac:dyDescent="0.2">
      <c r="AA3436" s="86"/>
      <c r="AC3436" s="86"/>
      <c r="AD3436" s="86"/>
    </row>
    <row r="3437" spans="27:30" x14ac:dyDescent="0.2">
      <c r="AA3437" s="86"/>
      <c r="AC3437" s="86"/>
      <c r="AD3437" s="86"/>
    </row>
    <row r="3438" spans="27:30" x14ac:dyDescent="0.2">
      <c r="AA3438" s="86"/>
      <c r="AC3438" s="86"/>
      <c r="AD3438" s="86"/>
    </row>
    <row r="3439" spans="27:30" x14ac:dyDescent="0.2">
      <c r="AA3439" s="86"/>
      <c r="AC3439" s="86"/>
      <c r="AD3439" s="86"/>
    </row>
    <row r="3440" spans="27:30" x14ac:dyDescent="0.2">
      <c r="AA3440" s="86"/>
      <c r="AC3440" s="86"/>
      <c r="AD3440" s="86"/>
    </row>
    <row r="3441" spans="27:30" x14ac:dyDescent="0.2">
      <c r="AA3441" s="86"/>
      <c r="AC3441" s="86"/>
      <c r="AD3441" s="86"/>
    </row>
    <row r="3442" spans="27:30" x14ac:dyDescent="0.2">
      <c r="AA3442" s="86"/>
      <c r="AC3442" s="86"/>
      <c r="AD3442" s="86"/>
    </row>
    <row r="3443" spans="27:30" x14ac:dyDescent="0.2">
      <c r="AA3443" s="86"/>
      <c r="AC3443" s="86"/>
      <c r="AD3443" s="86"/>
    </row>
    <row r="3444" spans="27:30" x14ac:dyDescent="0.2">
      <c r="AA3444" s="86"/>
      <c r="AC3444" s="86"/>
      <c r="AD3444" s="86"/>
    </row>
    <row r="3445" spans="27:30" x14ac:dyDescent="0.2">
      <c r="AA3445" s="86"/>
      <c r="AC3445" s="86"/>
      <c r="AD3445" s="86"/>
    </row>
    <row r="3446" spans="27:30" x14ac:dyDescent="0.2">
      <c r="AA3446" s="86"/>
      <c r="AC3446" s="86"/>
      <c r="AD3446" s="86"/>
    </row>
    <row r="3447" spans="27:30" x14ac:dyDescent="0.2">
      <c r="AA3447" s="86"/>
      <c r="AC3447" s="86"/>
      <c r="AD3447" s="86"/>
    </row>
    <row r="3448" spans="27:30" x14ac:dyDescent="0.2">
      <c r="AA3448" s="86"/>
      <c r="AC3448" s="86"/>
      <c r="AD3448" s="86"/>
    </row>
    <row r="3449" spans="27:30" x14ac:dyDescent="0.2">
      <c r="AA3449" s="86"/>
      <c r="AC3449" s="86"/>
      <c r="AD3449" s="86"/>
    </row>
    <row r="3450" spans="27:30" x14ac:dyDescent="0.2">
      <c r="AA3450" s="86"/>
      <c r="AC3450" s="86"/>
      <c r="AD3450" s="86"/>
    </row>
    <row r="3451" spans="27:30" x14ac:dyDescent="0.2">
      <c r="AA3451" s="86"/>
      <c r="AC3451" s="86"/>
      <c r="AD3451" s="86"/>
    </row>
    <row r="3452" spans="27:30" x14ac:dyDescent="0.2">
      <c r="AA3452" s="86"/>
      <c r="AC3452" s="86"/>
      <c r="AD3452" s="86"/>
    </row>
    <row r="3453" spans="27:30" x14ac:dyDescent="0.2">
      <c r="AA3453" s="86"/>
      <c r="AC3453" s="86"/>
      <c r="AD3453" s="86"/>
    </row>
    <row r="3454" spans="27:30" x14ac:dyDescent="0.2">
      <c r="AA3454" s="86"/>
      <c r="AC3454" s="86"/>
      <c r="AD3454" s="86"/>
    </row>
    <row r="3455" spans="27:30" x14ac:dyDescent="0.2">
      <c r="AA3455" s="86"/>
      <c r="AC3455" s="86"/>
      <c r="AD3455" s="86"/>
    </row>
    <row r="3456" spans="27:30" x14ac:dyDescent="0.2">
      <c r="AA3456" s="86"/>
      <c r="AC3456" s="86"/>
      <c r="AD3456" s="86"/>
    </row>
    <row r="3457" spans="27:30" x14ac:dyDescent="0.2">
      <c r="AA3457" s="86"/>
      <c r="AC3457" s="86"/>
      <c r="AD3457" s="86"/>
    </row>
    <row r="3458" spans="27:30" x14ac:dyDescent="0.2">
      <c r="AA3458" s="86"/>
      <c r="AC3458" s="86"/>
      <c r="AD3458" s="86"/>
    </row>
    <row r="3459" spans="27:30" x14ac:dyDescent="0.2">
      <c r="AA3459" s="86"/>
      <c r="AC3459" s="86"/>
      <c r="AD3459" s="86"/>
    </row>
    <row r="3460" spans="27:30" x14ac:dyDescent="0.2">
      <c r="AA3460" s="86"/>
      <c r="AC3460" s="86"/>
      <c r="AD3460" s="86"/>
    </row>
    <row r="3461" spans="27:30" x14ac:dyDescent="0.2">
      <c r="AA3461" s="86"/>
      <c r="AC3461" s="86"/>
      <c r="AD3461" s="86"/>
    </row>
    <row r="3462" spans="27:30" x14ac:dyDescent="0.2">
      <c r="AA3462" s="86"/>
      <c r="AC3462" s="86"/>
      <c r="AD3462" s="86"/>
    </row>
    <row r="3463" spans="27:30" x14ac:dyDescent="0.2">
      <c r="AA3463" s="86"/>
      <c r="AC3463" s="86"/>
      <c r="AD3463" s="86"/>
    </row>
    <row r="3464" spans="27:30" x14ac:dyDescent="0.2">
      <c r="AA3464" s="86"/>
      <c r="AC3464" s="86"/>
      <c r="AD3464" s="86"/>
    </row>
    <row r="3465" spans="27:30" x14ac:dyDescent="0.2">
      <c r="AA3465" s="86"/>
      <c r="AC3465" s="86"/>
      <c r="AD3465" s="86"/>
    </row>
    <row r="3466" spans="27:30" x14ac:dyDescent="0.2">
      <c r="AA3466" s="86"/>
      <c r="AC3466" s="86"/>
      <c r="AD3466" s="86"/>
    </row>
    <row r="3467" spans="27:30" x14ac:dyDescent="0.2">
      <c r="AA3467" s="86"/>
      <c r="AC3467" s="86"/>
      <c r="AD3467" s="86"/>
    </row>
    <row r="3468" spans="27:30" x14ac:dyDescent="0.2">
      <c r="AA3468" s="86"/>
      <c r="AC3468" s="86"/>
      <c r="AD3468" s="86"/>
    </row>
    <row r="3469" spans="27:30" x14ac:dyDescent="0.2">
      <c r="AA3469" s="86"/>
      <c r="AC3469" s="86"/>
      <c r="AD3469" s="86"/>
    </row>
    <row r="3470" spans="27:30" x14ac:dyDescent="0.2">
      <c r="AA3470" s="86"/>
      <c r="AC3470" s="86"/>
      <c r="AD3470" s="86"/>
    </row>
    <row r="3471" spans="27:30" x14ac:dyDescent="0.2">
      <c r="AA3471" s="86"/>
      <c r="AC3471" s="86"/>
      <c r="AD3471" s="86"/>
    </row>
    <row r="3472" spans="27:30" x14ac:dyDescent="0.2">
      <c r="AA3472" s="86"/>
      <c r="AC3472" s="86"/>
      <c r="AD3472" s="86"/>
    </row>
    <row r="3473" spans="27:30" x14ac:dyDescent="0.2">
      <c r="AA3473" s="86"/>
      <c r="AC3473" s="86"/>
      <c r="AD3473" s="86"/>
    </row>
    <row r="3474" spans="27:30" x14ac:dyDescent="0.2">
      <c r="AA3474" s="86"/>
      <c r="AC3474" s="86"/>
      <c r="AD3474" s="86"/>
    </row>
    <row r="3475" spans="27:30" x14ac:dyDescent="0.2">
      <c r="AA3475" s="86"/>
      <c r="AC3475" s="86"/>
      <c r="AD3475" s="86"/>
    </row>
    <row r="3476" spans="27:30" x14ac:dyDescent="0.2">
      <c r="AA3476" s="86"/>
      <c r="AC3476" s="86"/>
      <c r="AD3476" s="86"/>
    </row>
    <row r="3477" spans="27:30" x14ac:dyDescent="0.2">
      <c r="AA3477" s="86"/>
      <c r="AC3477" s="86"/>
      <c r="AD3477" s="86"/>
    </row>
    <row r="3478" spans="27:30" x14ac:dyDescent="0.2">
      <c r="AA3478" s="86"/>
      <c r="AC3478" s="86"/>
      <c r="AD3478" s="86"/>
    </row>
    <row r="3479" spans="27:30" x14ac:dyDescent="0.2">
      <c r="AA3479" s="86"/>
      <c r="AC3479" s="86"/>
      <c r="AD3479" s="86"/>
    </row>
    <row r="3480" spans="27:30" x14ac:dyDescent="0.2">
      <c r="AA3480" s="86"/>
      <c r="AC3480" s="86"/>
      <c r="AD3480" s="86"/>
    </row>
    <row r="3481" spans="27:30" x14ac:dyDescent="0.2">
      <c r="AA3481" s="86"/>
      <c r="AC3481" s="86"/>
      <c r="AD3481" s="86"/>
    </row>
    <row r="3482" spans="27:30" x14ac:dyDescent="0.2">
      <c r="AA3482" s="86"/>
      <c r="AC3482" s="86"/>
      <c r="AD3482" s="86"/>
    </row>
    <row r="3483" spans="27:30" x14ac:dyDescent="0.2">
      <c r="AA3483" s="86"/>
      <c r="AC3483" s="86"/>
      <c r="AD3483" s="86"/>
    </row>
    <row r="3484" spans="27:30" x14ac:dyDescent="0.2">
      <c r="AA3484" s="86"/>
      <c r="AC3484" s="86"/>
      <c r="AD3484" s="86"/>
    </row>
    <row r="3485" spans="27:30" x14ac:dyDescent="0.2">
      <c r="AA3485" s="86"/>
      <c r="AC3485" s="86"/>
      <c r="AD3485" s="86"/>
    </row>
    <row r="3486" spans="27:30" x14ac:dyDescent="0.2">
      <c r="AA3486" s="86"/>
      <c r="AC3486" s="86"/>
      <c r="AD3486" s="86"/>
    </row>
    <row r="3487" spans="27:30" x14ac:dyDescent="0.2">
      <c r="AA3487" s="86"/>
      <c r="AC3487" s="86"/>
      <c r="AD3487" s="86"/>
    </row>
    <row r="3488" spans="27:30" x14ac:dyDescent="0.2">
      <c r="AA3488" s="86"/>
      <c r="AC3488" s="86"/>
      <c r="AD3488" s="86"/>
    </row>
    <row r="3489" spans="27:30" x14ac:dyDescent="0.2">
      <c r="AA3489" s="86"/>
      <c r="AC3489" s="86"/>
      <c r="AD3489" s="86"/>
    </row>
    <row r="3490" spans="27:30" x14ac:dyDescent="0.2">
      <c r="AA3490" s="86"/>
      <c r="AC3490" s="86"/>
      <c r="AD3490" s="86"/>
    </row>
    <row r="3491" spans="27:30" x14ac:dyDescent="0.2">
      <c r="AA3491" s="86"/>
      <c r="AC3491" s="86"/>
      <c r="AD3491" s="86"/>
    </row>
    <row r="3492" spans="27:30" x14ac:dyDescent="0.2">
      <c r="AA3492" s="86"/>
      <c r="AC3492" s="86"/>
      <c r="AD3492" s="86"/>
    </row>
    <row r="3493" spans="27:30" x14ac:dyDescent="0.2">
      <c r="AA3493" s="86"/>
      <c r="AC3493" s="86"/>
      <c r="AD3493" s="86"/>
    </row>
    <row r="3494" spans="27:30" x14ac:dyDescent="0.2">
      <c r="AA3494" s="86"/>
      <c r="AC3494" s="86"/>
      <c r="AD3494" s="86"/>
    </row>
    <row r="3495" spans="27:30" x14ac:dyDescent="0.2">
      <c r="AA3495" s="86"/>
      <c r="AC3495" s="86"/>
      <c r="AD3495" s="86"/>
    </row>
    <row r="3496" spans="27:30" x14ac:dyDescent="0.2">
      <c r="AA3496" s="86"/>
      <c r="AC3496" s="86"/>
      <c r="AD3496" s="86"/>
    </row>
    <row r="3497" spans="27:30" x14ac:dyDescent="0.2">
      <c r="AA3497" s="86"/>
      <c r="AC3497" s="86"/>
      <c r="AD3497" s="86"/>
    </row>
    <row r="3498" spans="27:30" x14ac:dyDescent="0.2">
      <c r="AA3498" s="86"/>
      <c r="AC3498" s="86"/>
      <c r="AD3498" s="86"/>
    </row>
    <row r="3499" spans="27:30" x14ac:dyDescent="0.2">
      <c r="AA3499" s="86"/>
      <c r="AC3499" s="86"/>
      <c r="AD3499" s="86"/>
    </row>
    <row r="3500" spans="27:30" x14ac:dyDescent="0.2">
      <c r="AA3500" s="86"/>
      <c r="AC3500" s="86"/>
      <c r="AD3500" s="86"/>
    </row>
    <row r="3501" spans="27:30" x14ac:dyDescent="0.2">
      <c r="AA3501" s="86"/>
      <c r="AC3501" s="86"/>
      <c r="AD3501" s="86"/>
    </row>
    <row r="3502" spans="27:30" x14ac:dyDescent="0.2">
      <c r="AA3502" s="86"/>
      <c r="AC3502" s="86"/>
      <c r="AD3502" s="86"/>
    </row>
    <row r="3503" spans="27:30" x14ac:dyDescent="0.2">
      <c r="AA3503" s="86"/>
      <c r="AC3503" s="86"/>
      <c r="AD3503" s="86"/>
    </row>
    <row r="3504" spans="27:30" x14ac:dyDescent="0.2">
      <c r="AA3504" s="86"/>
      <c r="AC3504" s="86"/>
      <c r="AD3504" s="86"/>
    </row>
    <row r="3505" spans="27:30" x14ac:dyDescent="0.2">
      <c r="AA3505" s="86"/>
      <c r="AC3505" s="86"/>
      <c r="AD3505" s="86"/>
    </row>
    <row r="3506" spans="27:30" x14ac:dyDescent="0.2">
      <c r="AA3506" s="86"/>
      <c r="AC3506" s="86"/>
      <c r="AD3506" s="86"/>
    </row>
    <row r="3507" spans="27:30" x14ac:dyDescent="0.2">
      <c r="AA3507" s="86"/>
      <c r="AC3507" s="86"/>
      <c r="AD3507" s="86"/>
    </row>
    <row r="3508" spans="27:30" x14ac:dyDescent="0.2">
      <c r="AA3508" s="86"/>
      <c r="AC3508" s="86"/>
      <c r="AD3508" s="86"/>
    </row>
    <row r="3509" spans="27:30" x14ac:dyDescent="0.2">
      <c r="AA3509" s="86"/>
      <c r="AC3509" s="86"/>
      <c r="AD3509" s="86"/>
    </row>
    <row r="3510" spans="27:30" x14ac:dyDescent="0.2">
      <c r="AA3510" s="86"/>
      <c r="AC3510" s="86"/>
      <c r="AD3510" s="86"/>
    </row>
    <row r="3511" spans="27:30" x14ac:dyDescent="0.2">
      <c r="AA3511" s="86"/>
      <c r="AC3511" s="86"/>
      <c r="AD3511" s="86"/>
    </row>
    <row r="3512" spans="27:30" x14ac:dyDescent="0.2">
      <c r="AA3512" s="86"/>
      <c r="AC3512" s="86"/>
      <c r="AD3512" s="86"/>
    </row>
    <row r="3513" spans="27:30" x14ac:dyDescent="0.2">
      <c r="AA3513" s="86"/>
      <c r="AC3513" s="86"/>
      <c r="AD3513" s="86"/>
    </row>
    <row r="3514" spans="27:30" x14ac:dyDescent="0.2">
      <c r="AA3514" s="86"/>
      <c r="AC3514" s="86"/>
      <c r="AD3514" s="86"/>
    </row>
    <row r="3515" spans="27:30" x14ac:dyDescent="0.2">
      <c r="AA3515" s="86"/>
      <c r="AC3515" s="86"/>
      <c r="AD3515" s="86"/>
    </row>
    <row r="3516" spans="27:30" x14ac:dyDescent="0.2">
      <c r="AA3516" s="86"/>
      <c r="AC3516" s="86"/>
      <c r="AD3516" s="86"/>
    </row>
    <row r="3517" spans="27:30" x14ac:dyDescent="0.2">
      <c r="AA3517" s="86"/>
      <c r="AC3517" s="86"/>
      <c r="AD3517" s="86"/>
    </row>
    <row r="3518" spans="27:30" x14ac:dyDescent="0.2">
      <c r="AA3518" s="86"/>
      <c r="AC3518" s="86"/>
      <c r="AD3518" s="86"/>
    </row>
    <row r="3519" spans="27:30" x14ac:dyDescent="0.2">
      <c r="AA3519" s="86"/>
      <c r="AC3519" s="86"/>
      <c r="AD3519" s="86"/>
    </row>
    <row r="3520" spans="27:30" x14ac:dyDescent="0.2">
      <c r="AA3520" s="86"/>
      <c r="AC3520" s="86"/>
      <c r="AD3520" s="86"/>
    </row>
    <row r="3521" spans="27:30" x14ac:dyDescent="0.2">
      <c r="AA3521" s="86"/>
      <c r="AC3521" s="86"/>
      <c r="AD3521" s="86"/>
    </row>
    <row r="3522" spans="27:30" x14ac:dyDescent="0.2">
      <c r="AA3522" s="86"/>
      <c r="AC3522" s="86"/>
      <c r="AD3522" s="86"/>
    </row>
    <row r="3523" spans="27:30" x14ac:dyDescent="0.2">
      <c r="AA3523" s="86"/>
      <c r="AC3523" s="86"/>
      <c r="AD3523" s="86"/>
    </row>
    <row r="3524" spans="27:30" x14ac:dyDescent="0.2">
      <c r="AA3524" s="86"/>
      <c r="AC3524" s="86"/>
      <c r="AD3524" s="86"/>
    </row>
    <row r="3525" spans="27:30" x14ac:dyDescent="0.2">
      <c r="AA3525" s="86"/>
      <c r="AC3525" s="86"/>
      <c r="AD3525" s="86"/>
    </row>
    <row r="3526" spans="27:30" x14ac:dyDescent="0.2">
      <c r="AA3526" s="86"/>
      <c r="AC3526" s="86"/>
      <c r="AD3526" s="86"/>
    </row>
    <row r="3527" spans="27:30" x14ac:dyDescent="0.2">
      <c r="AA3527" s="86"/>
      <c r="AC3527" s="86"/>
      <c r="AD3527" s="86"/>
    </row>
    <row r="3528" spans="27:30" x14ac:dyDescent="0.2">
      <c r="AA3528" s="86"/>
      <c r="AC3528" s="86"/>
      <c r="AD3528" s="86"/>
    </row>
    <row r="3529" spans="27:30" x14ac:dyDescent="0.2">
      <c r="AA3529" s="86"/>
      <c r="AC3529" s="86"/>
      <c r="AD3529" s="86"/>
    </row>
    <row r="3530" spans="27:30" x14ac:dyDescent="0.2">
      <c r="AA3530" s="86"/>
      <c r="AC3530" s="86"/>
      <c r="AD3530" s="86"/>
    </row>
    <row r="3531" spans="27:30" x14ac:dyDescent="0.2">
      <c r="AA3531" s="86"/>
      <c r="AC3531" s="86"/>
      <c r="AD3531" s="86"/>
    </row>
    <row r="3532" spans="27:30" x14ac:dyDescent="0.2">
      <c r="AA3532" s="86"/>
      <c r="AC3532" s="86"/>
      <c r="AD3532" s="86"/>
    </row>
    <row r="3533" spans="27:30" x14ac:dyDescent="0.2">
      <c r="AA3533" s="86"/>
      <c r="AC3533" s="86"/>
      <c r="AD3533" s="86"/>
    </row>
    <row r="3534" spans="27:30" x14ac:dyDescent="0.2">
      <c r="AA3534" s="86"/>
      <c r="AC3534" s="86"/>
      <c r="AD3534" s="86"/>
    </row>
    <row r="3535" spans="27:30" x14ac:dyDescent="0.2">
      <c r="AA3535" s="86"/>
      <c r="AC3535" s="86"/>
      <c r="AD3535" s="86"/>
    </row>
    <row r="3536" spans="27:30" x14ac:dyDescent="0.2">
      <c r="AA3536" s="86"/>
      <c r="AC3536" s="86"/>
      <c r="AD3536" s="86"/>
    </row>
    <row r="3537" spans="27:30" x14ac:dyDescent="0.2">
      <c r="AA3537" s="86"/>
      <c r="AC3537" s="86"/>
      <c r="AD3537" s="86"/>
    </row>
    <row r="3538" spans="27:30" x14ac:dyDescent="0.2">
      <c r="AA3538" s="86"/>
      <c r="AC3538" s="86"/>
      <c r="AD3538" s="86"/>
    </row>
    <row r="3539" spans="27:30" x14ac:dyDescent="0.2">
      <c r="AA3539" s="86"/>
      <c r="AC3539" s="86"/>
      <c r="AD3539" s="86"/>
    </row>
    <row r="3540" spans="27:30" x14ac:dyDescent="0.2">
      <c r="AA3540" s="86"/>
      <c r="AC3540" s="86"/>
      <c r="AD3540" s="86"/>
    </row>
    <row r="3541" spans="27:30" x14ac:dyDescent="0.2">
      <c r="AA3541" s="86"/>
      <c r="AC3541" s="86"/>
      <c r="AD3541" s="86"/>
    </row>
  </sheetData>
  <dataValidations count="1">
    <dataValidation type="list" allowBlank="1" showInputMessage="1" showErrorMessage="1" sqref="N17:O24 N3:O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384"/>
  <sheetViews>
    <sheetView showGridLines="0" topLeftCell="A2" workbookViewId="0">
      <selection activeCell="D2" sqref="D2"/>
    </sheetView>
  </sheetViews>
  <sheetFormatPr defaultColWidth="9.33203125" defaultRowHeight="11.25" outlineLevelRow="1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5" width="20.1640625" style="60" bestFit="1" customWidth="1"/>
    <col min="6" max="6" width="12.6640625" style="60" customWidth="1"/>
    <col min="7" max="7" width="20.1640625" style="60" bestFit="1" customWidth="1"/>
    <col min="8" max="8" width="8.1640625" style="60" bestFit="1" customWidth="1"/>
    <col min="9" max="9" width="11.6640625" style="60" customWidth="1"/>
    <col min="10" max="11" width="14.1640625" style="60" hidden="1" customWidth="1" outlineLevel="1"/>
    <col min="12" max="12" width="10.5" style="60" bestFit="1" customWidth="1" collapsed="1"/>
    <col min="13" max="13" width="9.33203125" style="60" bestFit="1" customWidth="1"/>
    <col min="14" max="15" width="10.33203125" style="60" customWidth="1"/>
    <col min="16" max="16" width="9.33203125" style="60" bestFit="1" customWidth="1"/>
    <col min="17" max="17" width="7" style="60" bestFit="1" customWidth="1"/>
    <col min="18" max="18" width="9.33203125" style="60" bestFit="1" customWidth="1"/>
    <col min="19" max="19" width="13.6640625" style="60" customWidth="1"/>
    <col min="20" max="20" width="11.83203125" style="60" customWidth="1"/>
    <col min="21" max="21" width="4.6640625" style="60" customWidth="1"/>
    <col min="22" max="22" width="20.1640625" style="60" bestFit="1" customWidth="1"/>
    <col min="23" max="23" width="12.6640625" style="60" customWidth="1"/>
    <col min="24" max="24" width="10.83203125" style="60" customWidth="1"/>
    <col min="25" max="25" width="12.83203125" style="60" customWidth="1"/>
    <col min="26" max="26" width="4.33203125" style="60" customWidth="1"/>
    <col min="27" max="28" width="12.83203125" style="60" customWidth="1"/>
    <col min="29" max="29" width="17.83203125" style="60" customWidth="1"/>
    <col min="30" max="30" width="12.83203125" style="60" customWidth="1"/>
    <col min="31" max="16384" width="9.33203125" style="60"/>
  </cols>
  <sheetData>
    <row r="1" spans="1:30" hidden="1" outlineLevel="1" x14ac:dyDescent="0.2">
      <c r="E1" s="234" t="s">
        <v>99</v>
      </c>
      <c r="F1" s="234"/>
      <c r="G1" s="250" t="s">
        <v>37</v>
      </c>
      <c r="P1" s="60" t="str">
        <f>_xll.qlInterpolation(,interpolator6M,_xll.ohFilter(E3:E21,N3:N21),_xll.ohFilter(M3:M21,N3:N21))</f>
        <v>obj_005bc#0001</v>
      </c>
    </row>
    <row r="2" spans="1:30" ht="26.45" customHeight="1" collapsed="1" x14ac:dyDescent="0.2">
      <c r="D2" s="87" t="str">
        <f>G1&amp;" Instruments"</f>
        <v>6M Instruments</v>
      </c>
      <c r="E2" s="87" t="s">
        <v>100</v>
      </c>
      <c r="F2" s="87" t="s">
        <v>151</v>
      </c>
      <c r="G2" s="87" t="s">
        <v>101</v>
      </c>
      <c r="H2" s="87" t="s">
        <v>119</v>
      </c>
      <c r="I2" s="87" t="str">
        <f>G1&amp;" Market quote"</f>
        <v>6M Market quote</v>
      </c>
      <c r="J2" s="87" t="s">
        <v>120</v>
      </c>
      <c r="K2" s="87" t="s">
        <v>121</v>
      </c>
      <c r="L2" s="87" t="s">
        <v>122</v>
      </c>
      <c r="M2" s="87" t="s">
        <v>132</v>
      </c>
      <c r="N2" s="87" t="s">
        <v>78</v>
      </c>
      <c r="O2" s="87" t="s">
        <v>159</v>
      </c>
      <c r="P2" s="87" t="s">
        <v>126</v>
      </c>
      <c r="Q2" s="87" t="s">
        <v>135</v>
      </c>
      <c r="R2" s="87" t="s">
        <v>123</v>
      </c>
      <c r="S2" s="87" t="s">
        <v>152</v>
      </c>
      <c r="T2" s="87" t="s">
        <v>156</v>
      </c>
      <c r="V2" s="87" t="s">
        <v>100</v>
      </c>
      <c r="W2" s="87" t="s">
        <v>151</v>
      </c>
      <c r="X2" s="87" t="s">
        <v>126</v>
      </c>
      <c r="Y2" s="87" t="s">
        <v>152</v>
      </c>
      <c r="AA2" s="87" t="s">
        <v>145</v>
      </c>
      <c r="AB2" s="87" t="s">
        <v>146</v>
      </c>
      <c r="AC2" s="87" t="s">
        <v>149</v>
      </c>
      <c r="AD2" s="87" t="s">
        <v>150</v>
      </c>
    </row>
    <row r="3" spans="1:30" ht="11.25" customHeight="1" x14ac:dyDescent="0.2">
      <c r="C3" s="272" t="str">
        <f>SUBSTITUTE(G1,"M","")</f>
        <v>6</v>
      </c>
      <c r="D3" s="244" t="str">
        <f>PROPER(Currency&amp;IborType)&amp;G1&amp;"LastFixing"&amp;QuoteSuffix</f>
        <v>Euribor6MLastFixing_Quote</v>
      </c>
      <c r="E3" s="245">
        <f>SettlementDate</f>
        <v>42797</v>
      </c>
      <c r="F3" s="95">
        <f t="shared" ref="F3:F21" si="0">($E3-EvaluationDate)/365</f>
        <v>5.4794520547945206E-3</v>
      </c>
      <c r="G3" s="245">
        <f>_xll.qlCalendarAdvance(Calendar,E3,$G$1,"mf",,Trigger)</f>
        <v>42982</v>
      </c>
      <c r="H3" s="95">
        <f>_xll.qlDayCounterYearFraction(DayCounter,E3,G3,,,Trigger)</f>
        <v>0.51388888888888884</v>
      </c>
      <c r="I3" s="246">
        <f>_xll.qlQuoteValue(D3,LastFixingsTrigger)</f>
        <v>-2.3900000000000002E-3</v>
      </c>
      <c r="J3" s="247">
        <f>_xll.qlYieldTSDiscount(Discounting,E3,,AllTriggers)</f>
        <v>1.000020555872458</v>
      </c>
      <c r="K3" s="247">
        <f>_xll.qlYieldTSDiscount(Discounting,G3,,AllTriggers)</f>
        <v>1.0018385113188129</v>
      </c>
      <c r="L3" s="246">
        <f>(J3/K3-1)/H3</f>
        <v>-3.5311509697183536E-3</v>
      </c>
      <c r="M3" s="246">
        <f>I3-L3</f>
        <v>1.1411509697183534E-3</v>
      </c>
      <c r="N3" s="233" t="b">
        <v>0</v>
      </c>
      <c r="O3" s="233" t="b">
        <v>1</v>
      </c>
      <c r="P3" s="239">
        <f>_xll.qlInterpolationInterpolate($P$1,E3,TRUE)</f>
        <v>1.1509987654302627E-3</v>
      </c>
      <c r="Q3" s="240">
        <f>(M3-P3)*10000</f>
        <v>-9.8477957119092338E-2</v>
      </c>
      <c r="R3" s="274">
        <f t="shared" ref="R3:R5" si="1">LN((1+I3*H3)/(1+L3*H3))</f>
        <v>5.8731837093059969E-4</v>
      </c>
      <c r="S3" s="239">
        <f>_xll.qlInterpolationInterpolate(AbcdInterpolation6M,F3,TRUE)</f>
        <v>1.1323934431734122E-3</v>
      </c>
      <c r="T3" s="240">
        <f>(M3-S3)*10000</f>
        <v>8.757526544941191E-2</v>
      </c>
      <c r="V3" s="109">
        <f>E3</f>
        <v>42797</v>
      </c>
      <c r="W3" s="110">
        <f t="shared" ref="W3:W66" si="2">(V3-EvaluationDate)/365</f>
        <v>5.4794520547945206E-3</v>
      </c>
      <c r="X3" s="125">
        <f>_xll.qlInterpolationInterpolate(B6Minterpolation,V3,TRUE)</f>
        <v>1.1509987654302627E-3</v>
      </c>
      <c r="Y3" s="125">
        <f>_xll.qlInterpolationInterpolate(AbcdInterpolation6M,W3,TRUE)</f>
        <v>1.1323934431734122E-3</v>
      </c>
      <c r="AA3" s="331" t="s">
        <v>141</v>
      </c>
      <c r="AB3" s="336">
        <f>M4-M21</f>
        <v>-8.8488271733798201E-4</v>
      </c>
      <c r="AC3" s="344" t="str">
        <f>_xll.qlAbcdInterpolation(,_xll.ohFilter($F$3:$F$21,$O$3:$O$21),_xll.ohFilter($M$3:$M$21,$O$3:$O$21),$AB$3,$AB$4,$AB$5,$AB$6,,,,,FALSE,EndCriteria,LevenbergMarquardt,,Trigger)</f>
        <v>obj_005bd#0001</v>
      </c>
      <c r="AD3" s="336">
        <f>_xll.qlAbcdInterpolationA(AbcdInterpolation6M,Trigger)</f>
        <v>-1.4450445932893804E-3</v>
      </c>
    </row>
    <row r="4" spans="1:30" ht="11.25" customHeight="1" x14ac:dyDescent="0.2">
      <c r="A4" s="60">
        <v>1</v>
      </c>
      <c r="B4" s="60" t="s">
        <v>32</v>
      </c>
      <c r="C4" s="60">
        <f>A4+SUBSTITUTE($G$1,"M","")</f>
        <v>7</v>
      </c>
      <c r="D4" s="248" t="str">
        <f t="shared" ref="D4:D21" si="3">Currency&amp;A4&amp;B4&amp;C4&amp;"F"&amp;QuoteSuffix</f>
        <v>EUR1x7F_Quote</v>
      </c>
      <c r="E4" s="114">
        <f>_xll.qlCalendarAdvance("target",$E$3,A4&amp;"M","mf",,Trigger)</f>
        <v>42828</v>
      </c>
      <c r="F4" s="100">
        <f t="shared" si="0"/>
        <v>9.0410958904109592E-2</v>
      </c>
      <c r="G4" s="114">
        <f>_xll.qlCalendarAdvance(Calendar,E4,$G$1,"mf",,Trigger)</f>
        <v>43011</v>
      </c>
      <c r="H4" s="100">
        <f>_xll.qlDayCounterYearFraction(DayCounter,E4,G4,,,Trigger)</f>
        <v>0.5083333333333333</v>
      </c>
      <c r="I4" s="112">
        <f>_xll.qlQuoteValue(D4,AllTriggers)</f>
        <v>-2.3E-3</v>
      </c>
      <c r="J4" s="111">
        <f>_xll.qlYieldTSDiscount(Discounting,E4,,AllTriggers)</f>
        <v>1.0003246267722015</v>
      </c>
      <c r="K4" s="111">
        <f>_xll.qlYieldTSDiscount(Discounting,G4,,AllTriggers)</f>
        <v>1.002122508009355</v>
      </c>
      <c r="L4" s="112">
        <f t="shared" ref="L4:L21" si="4">(J4/K4-1)/H4</f>
        <v>-3.5293245289185681E-3</v>
      </c>
      <c r="M4" s="125">
        <f t="shared" ref="M4:M21" si="5">I4-L4</f>
        <v>1.2293245289185682E-3</v>
      </c>
      <c r="N4" s="50" t="b">
        <v>1</v>
      </c>
      <c r="O4" s="50" t="b">
        <v>1</v>
      </c>
      <c r="P4" s="112">
        <f>_xll.qlInterpolationInterpolate($P$1,E4,TRUE)</f>
        <v>1.2293245289185682E-3</v>
      </c>
      <c r="Q4" s="242">
        <f t="shared" ref="Q4:Q21" si="6">(M4-P4)*10000</f>
        <v>0</v>
      </c>
      <c r="R4" s="237">
        <f t="shared" si="1"/>
        <v>6.2583390394904106E-4</v>
      </c>
      <c r="S4" s="112">
        <f>_xll.qlInterpolationInterpolate(AbcdInterpolation6M,F4,TRUE)</f>
        <v>1.2358202411313704E-3</v>
      </c>
      <c r="T4" s="242">
        <f t="shared" ref="T4:T21" si="7">(M4-S4)*10000</f>
        <v>-6.4957122128022141E-2</v>
      </c>
      <c r="V4" s="114">
        <f>_xll.qlCalendarAdvance(Calendar,V3,"1D","f")</f>
        <v>42800</v>
      </c>
      <c r="W4" s="100">
        <f t="shared" si="2"/>
        <v>1.3698630136986301E-2</v>
      </c>
      <c r="X4" s="112">
        <f>_xll.qlInterpolationInterpolate(B6Minterpolation,V4,TRUE)</f>
        <v>1.1606040863981785E-3</v>
      </c>
      <c r="Y4" s="112">
        <f>_xll.qlInterpolationInterpolate(AbcdInterpolation6M,W4,TRUE)</f>
        <v>1.1427385393831728E-3</v>
      </c>
      <c r="AA4" s="331" t="s">
        <v>142</v>
      </c>
      <c r="AB4" s="337">
        <v>5.0000000000000001E-4</v>
      </c>
      <c r="AC4" s="326"/>
      <c r="AD4" s="342">
        <f>_xll.qlAbcdInterpolationB(AbcdInterpolation6M,Trigger)</f>
        <v>-1.2391020493288324E-6</v>
      </c>
    </row>
    <row r="5" spans="1:30" ht="11.25" customHeight="1" x14ac:dyDescent="0.2">
      <c r="A5" s="60">
        <v>2</v>
      </c>
      <c r="B5" s="60" t="s">
        <v>32</v>
      </c>
      <c r="C5" s="60">
        <f t="shared" ref="C5:C21" si="8">A5+SUBSTITUTE($G$1,"M","")</f>
        <v>8</v>
      </c>
      <c r="D5" s="248" t="str">
        <f t="shared" si="3"/>
        <v>EUR2x8F_Quote</v>
      </c>
      <c r="E5" s="114">
        <f>_xll.qlCalendarAdvance("target",$E$3,A5&amp;"M","mf",,Trigger)</f>
        <v>42858</v>
      </c>
      <c r="F5" s="100">
        <f t="shared" si="0"/>
        <v>0.17260273972602741</v>
      </c>
      <c r="G5" s="114">
        <f>_xll.qlCalendarAdvance(Calendar,E5,$G$1,"mf",,Trigger)</f>
        <v>43042</v>
      </c>
      <c r="H5" s="100">
        <f>_xll.qlDayCounterYearFraction(DayCounter,E5,G5,,,Trigger)</f>
        <v>0.51111111111111107</v>
      </c>
      <c r="I5" s="112">
        <f>_xll.qlQuoteValue(D5,AllTriggers)</f>
        <v>-2.2200000000000002E-3</v>
      </c>
      <c r="J5" s="115">
        <f>_xll.qlYieldTSDiscount(Discounting,E5,,AllTriggers)</f>
        <v>1.0006195858250457</v>
      </c>
      <c r="K5" s="115">
        <f>_xll.qlYieldTSDiscount(Discounting,G5,,AllTriggers)</f>
        <v>1.0024253022553387</v>
      </c>
      <c r="L5" s="112">
        <f t="shared" si="4"/>
        <v>-3.5243757740595653E-3</v>
      </c>
      <c r="M5" s="112">
        <f t="shared" si="5"/>
        <v>1.3043757740595651E-3</v>
      </c>
      <c r="N5" s="50" t="b">
        <v>1</v>
      </c>
      <c r="O5" s="50" t="b">
        <v>1</v>
      </c>
      <c r="P5" s="112">
        <f>_xll.qlInterpolationInterpolate($P$1,E5,TRUE)</f>
        <v>1.3043757740595651E-3</v>
      </c>
      <c r="Q5" s="242">
        <f t="shared" si="6"/>
        <v>0</v>
      </c>
      <c r="R5" s="237">
        <f t="shared" si="1"/>
        <v>6.6766110722557928E-4</v>
      </c>
      <c r="S5" s="112">
        <f>_xll.qlInterpolationInterpolate(AbcdInterpolation6M,F5,TRUE)</f>
        <v>1.3283332772787179E-3</v>
      </c>
      <c r="T5" s="242">
        <f t="shared" si="7"/>
        <v>-0.23957503219152776</v>
      </c>
      <c r="V5" s="114">
        <f>_xll.qlCalendarAdvance(Calendar,V4,"1D","f")</f>
        <v>42801</v>
      </c>
      <c r="W5" s="100">
        <f t="shared" si="2"/>
        <v>1.643835616438356E-2</v>
      </c>
      <c r="X5" s="112">
        <f>_xll.qlInterpolationInterpolate(B6Minterpolation,V5,TRUE)</f>
        <v>1.1636652748079717E-3</v>
      </c>
      <c r="Y5" s="112">
        <f>_xll.qlInterpolationInterpolate(AbcdInterpolation6M,W5,TRUE)</f>
        <v>1.1461714171475213E-3</v>
      </c>
      <c r="AA5" s="331" t="s">
        <v>143</v>
      </c>
      <c r="AB5" s="338">
        <v>1.25</v>
      </c>
      <c r="AC5" s="326"/>
      <c r="AD5" s="338">
        <f>_xll.qlAbcdInterpolationC(AbcdInterpolation6M,Trigger)</f>
        <v>1.7564017386042876</v>
      </c>
    </row>
    <row r="6" spans="1:30" ht="11.25" customHeight="1" x14ac:dyDescent="0.2">
      <c r="A6" s="60">
        <f>A5+1</f>
        <v>3</v>
      </c>
      <c r="B6" s="60" t="s">
        <v>32</v>
      </c>
      <c r="C6" s="60">
        <f t="shared" si="8"/>
        <v>9</v>
      </c>
      <c r="D6" s="248" t="str">
        <f t="shared" si="3"/>
        <v>EUR3x9F_Quote</v>
      </c>
      <c r="E6" s="114">
        <f>_xll.qlCalendarAdvance("target",$E$3,A6&amp;"M","mf",,Trigger)</f>
        <v>42891</v>
      </c>
      <c r="F6" s="100">
        <f t="shared" si="0"/>
        <v>0.26301369863013696</v>
      </c>
      <c r="G6" s="114">
        <f>_xll.qlCalendarAdvance(Calendar,E6,$G$1,"mf",,Trigger)</f>
        <v>43074</v>
      </c>
      <c r="H6" s="100">
        <f>_xll.qlDayCounterYearFraction(DayCounter,E6,G6,,,Trigger)</f>
        <v>0.5083333333333333</v>
      </c>
      <c r="I6" s="112">
        <f>_xll.qlQuoteValue(D6,AllTriggers)</f>
        <v>-2.0900000000000003E-3</v>
      </c>
      <c r="J6" s="115">
        <f>_xll.qlYieldTSDiscount(Discounting,E6,,AllTriggers)</f>
        <v>1.0009443099914743</v>
      </c>
      <c r="K6" s="115">
        <f>_xll.qlYieldTSDiscount(Discounting,G6,,AllTriggers)</f>
        <v>1.0027392010904121</v>
      </c>
      <c r="L6" s="112">
        <f t="shared" si="4"/>
        <v>-3.5212877940208826E-3</v>
      </c>
      <c r="M6" s="112">
        <f t="shared" si="5"/>
        <v>1.4312877940208823E-3</v>
      </c>
      <c r="N6" s="50" t="b">
        <v>1</v>
      </c>
      <c r="O6" s="50" t="b">
        <v>1</v>
      </c>
      <c r="P6" s="112">
        <f>_xll.qlInterpolationInterpolate($P$1,E6,TRUE)</f>
        <v>1.4312877940208823E-3</v>
      </c>
      <c r="Q6" s="242">
        <f t="shared" si="6"/>
        <v>0</v>
      </c>
      <c r="R6" s="237">
        <f t="shared" ref="R6:R21" si="9">LN((1+I6*H6)/(1+L6*H6))</f>
        <v>7.2861047342473006E-4</v>
      </c>
      <c r="S6" s="112">
        <f>_xll.qlInterpolationInterpolate(AbcdInterpolation6M,F6,TRUE)</f>
        <v>1.4215086102970364E-3</v>
      </c>
      <c r="T6" s="242">
        <f t="shared" si="7"/>
        <v>9.7791837238459398E-2</v>
      </c>
      <c r="V6" s="114">
        <f>_xll.qlCalendarAdvance(Calendar,V5,"1D","f")</f>
        <v>42802</v>
      </c>
      <c r="W6" s="100">
        <f t="shared" si="2"/>
        <v>1.9178082191780823E-2</v>
      </c>
      <c r="X6" s="112">
        <f>_xll.qlInterpolationInterpolate(B6Minterpolation,V6,TRUE)</f>
        <v>1.1666602573750875E-3</v>
      </c>
      <c r="Y6" s="112">
        <f>_xll.qlInterpolationInterpolate(AbcdInterpolation6M,W6,TRUE)</f>
        <v>1.1495964896459565E-3</v>
      </c>
      <c r="AA6" s="332" t="s">
        <v>144</v>
      </c>
      <c r="AB6" s="339">
        <f>M21</f>
        <v>2.1142072462565502E-3</v>
      </c>
      <c r="AC6" s="333"/>
      <c r="AD6" s="339">
        <f>_xll.qlAbcdInterpolationD(AbcdInterpolation6M,Trigger)</f>
        <v>2.5705029811896808E-3</v>
      </c>
    </row>
    <row r="7" spans="1:30" ht="11.25" customHeight="1" x14ac:dyDescent="0.2">
      <c r="A7" s="60">
        <f t="shared" ref="A7:A21" si="10">A6+1</f>
        <v>4</v>
      </c>
      <c r="B7" s="60" t="s">
        <v>32</v>
      </c>
      <c r="C7" s="60">
        <f t="shared" si="8"/>
        <v>10</v>
      </c>
      <c r="D7" s="248" t="str">
        <f t="shared" si="3"/>
        <v>EUR4x10F_Quote</v>
      </c>
      <c r="E7" s="114">
        <f>_xll.qlCalendarAdvance("target",$E$3,A7&amp;"M","mf",,Trigger)</f>
        <v>42919</v>
      </c>
      <c r="F7" s="100">
        <f t="shared" si="0"/>
        <v>0.33972602739726027</v>
      </c>
      <c r="G7" s="114">
        <f>_xll.qlCalendarAdvance(Calendar,E7,$G$1,"mf",,Trigger)</f>
        <v>43103</v>
      </c>
      <c r="H7" s="100">
        <f>_xll.qlDayCounterYearFraction(DayCounter,E7,G7,,,Trigger)</f>
        <v>0.51111111111111107</v>
      </c>
      <c r="I7" s="112">
        <f>_xll.qlQuoteValue(D7,AllTriggers)</f>
        <v>-1.99E-3</v>
      </c>
      <c r="J7" s="115">
        <f>_xll.qlYieldTSDiscount(Discounting,E7,,AllTriggers)</f>
        <v>1.0012198517777355</v>
      </c>
      <c r="K7" s="115">
        <f>_xll.qlYieldTSDiscount(Discounting,G7,,AllTriggers)</f>
        <v>1.0030228100170737</v>
      </c>
      <c r="L7" s="112">
        <f t="shared" si="4"/>
        <v>-3.5168960813059223E-3</v>
      </c>
      <c r="M7" s="112">
        <f t="shared" si="5"/>
        <v>1.5268960813059223E-3</v>
      </c>
      <c r="N7" s="50" t="b">
        <v>0</v>
      </c>
      <c r="O7" s="50" t="b">
        <v>0</v>
      </c>
      <c r="P7" s="112">
        <f>_xll.qlInterpolationInterpolate($P$1,E7,TRUE)</f>
        <v>1.5259010893620458E-3</v>
      </c>
      <c r="Q7" s="242">
        <f t="shared" si="6"/>
        <v>9.9499194387646893E-3</v>
      </c>
      <c r="R7" s="237">
        <f t="shared" si="9"/>
        <v>7.8151343021764098E-4</v>
      </c>
      <c r="S7" s="112">
        <f>_xll.qlInterpolationInterpolate(AbcdInterpolation6M,F7,TRUE)</f>
        <v>1.4938260183680757E-3</v>
      </c>
      <c r="T7" s="242">
        <f t="shared" si="7"/>
        <v>0.33070062937846617</v>
      </c>
      <c r="V7" s="114">
        <f>_xll.qlCalendarAdvance(Calendar,V6,"1D","f")</f>
        <v>42803</v>
      </c>
      <c r="W7" s="100">
        <f t="shared" si="2"/>
        <v>2.1917808219178082E-2</v>
      </c>
      <c r="X7" s="112">
        <f>_xll.qlInterpolationInterpolate(B6Minterpolation,V7,TRUE)</f>
        <v>1.1695914861677736E-3</v>
      </c>
      <c r="Y7" s="112">
        <f>_xll.qlInterpolationInterpolate(AbcdInterpolation6M,W7,TRUE)</f>
        <v>1.1530137221504883E-3</v>
      </c>
    </row>
    <row r="8" spans="1:30" ht="11.25" customHeight="1" x14ac:dyDescent="0.2">
      <c r="A8" s="60">
        <f t="shared" si="10"/>
        <v>5</v>
      </c>
      <c r="B8" s="60" t="s">
        <v>32</v>
      </c>
      <c r="C8" s="60">
        <f t="shared" si="8"/>
        <v>11</v>
      </c>
      <c r="D8" s="248" t="str">
        <f t="shared" si="3"/>
        <v>EUR5x11F_Quote</v>
      </c>
      <c r="E8" s="114">
        <f>_xll.qlCalendarAdvance("target",$E$3,A8&amp;"M","mf",,Trigger)</f>
        <v>42950</v>
      </c>
      <c r="F8" s="100">
        <f t="shared" si="0"/>
        <v>0.42465753424657532</v>
      </c>
      <c r="G8" s="114">
        <f>_xll.qlCalendarAdvance(Calendar,E8,$G$1,"mf",,Trigger)</f>
        <v>43136</v>
      </c>
      <c r="H8" s="100">
        <f>_xll.qlDayCounterYearFraction(DayCounter,E8,G8,,,Trigger)</f>
        <v>0.51666666666666672</v>
      </c>
      <c r="I8" s="112">
        <f>_xll.qlQuoteValue(D8,AllTriggers)</f>
        <v>-1.9E-3</v>
      </c>
      <c r="J8" s="115">
        <f>_xll.qlYieldTSDiscount(Discounting,E8,,AllTriggers)</f>
        <v>1.0015239797167339</v>
      </c>
      <c r="K8" s="115">
        <f>_xll.qlYieldTSDiscount(Discounting,G8,,AllTriggers)</f>
        <v>1.0033419268415087</v>
      </c>
      <c r="L8" s="112">
        <f t="shared" si="4"/>
        <v>-3.5068875765516122E-3</v>
      </c>
      <c r="M8" s="112">
        <f t="shared" si="5"/>
        <v>1.6068875765516122E-3</v>
      </c>
      <c r="N8" s="50" t="b">
        <v>0</v>
      </c>
      <c r="O8" s="50" t="b">
        <v>0</v>
      </c>
      <c r="P8" s="112">
        <f>_xll.qlInterpolationInterpolate($P$1,E8,TRUE)</f>
        <v>1.6055778265743669E-3</v>
      </c>
      <c r="Q8" s="242">
        <f t="shared" si="6"/>
        <v>1.3097499772453565E-2</v>
      </c>
      <c r="R8" s="237">
        <f t="shared" si="9"/>
        <v>8.3138655923472378E-4</v>
      </c>
      <c r="S8" s="112">
        <f>_xll.qlInterpolationInterpolate(AbcdInterpolation6M,F8,TRUE)</f>
        <v>1.5671591998250023E-3</v>
      </c>
      <c r="T8" s="242">
        <f t="shared" si="7"/>
        <v>0.39728376726609921</v>
      </c>
      <c r="V8" s="114">
        <f>_xll.qlCalendarAdvance(Calendar,V7,"1D","f")</f>
        <v>42804</v>
      </c>
      <c r="W8" s="100">
        <f t="shared" si="2"/>
        <v>2.4657534246575342E-2</v>
      </c>
      <c r="X8" s="112">
        <f>_xll.qlInterpolationInterpolate(B6Minterpolation,V8,TRUE)</f>
        <v>1.172461413254277E-3</v>
      </c>
      <c r="Y8" s="112">
        <f>_xll.qlInterpolationInterpolate(AbcdInterpolation6M,W8,TRUE)</f>
        <v>1.1564230813121714E-3</v>
      </c>
    </row>
    <row r="9" spans="1:30" ht="11.25" customHeight="1" x14ac:dyDescent="0.2">
      <c r="A9" s="60">
        <f t="shared" si="10"/>
        <v>6</v>
      </c>
      <c r="B9" s="60" t="s">
        <v>32</v>
      </c>
      <c r="C9" s="60">
        <f t="shared" si="8"/>
        <v>12</v>
      </c>
      <c r="D9" s="248" t="str">
        <f t="shared" si="3"/>
        <v>EUR6x12F_Quote</v>
      </c>
      <c r="E9" s="114">
        <f>_xll.qlCalendarAdvance("target",$E$3,A9&amp;"M","mf",,Trigger)</f>
        <v>42982</v>
      </c>
      <c r="F9" s="100">
        <f t="shared" si="0"/>
        <v>0.51232876712328768</v>
      </c>
      <c r="G9" s="114">
        <f>_xll.qlCalendarAdvance(Calendar,E9,$G$1,"mf",,Trigger)</f>
        <v>43164</v>
      </c>
      <c r="H9" s="100">
        <f>_xll.qlDayCounterYearFraction(DayCounter,E9,G9,,,Trigger)</f>
        <v>0.50555555555555554</v>
      </c>
      <c r="I9" s="112">
        <f>_xll.qlQuoteValue(D9,AllTriggers)</f>
        <v>-1.82E-3</v>
      </c>
      <c r="J9" s="115">
        <f>_xll.qlYieldTSDiscount(Discounting,E9,,AllTriggers)</f>
        <v>1.0018385113188129</v>
      </c>
      <c r="K9" s="115">
        <f>_xll.qlYieldTSDiscount(Discounting,G9,,AllTriggers)</f>
        <v>1.003609142356672</v>
      </c>
      <c r="L9" s="112">
        <f t="shared" si="4"/>
        <v>-3.4897520957500616E-3</v>
      </c>
      <c r="M9" s="112">
        <f t="shared" si="5"/>
        <v>1.6697520957500616E-3</v>
      </c>
      <c r="N9" s="50" t="b">
        <v>1</v>
      </c>
      <c r="O9" s="50" t="b">
        <v>1</v>
      </c>
      <c r="P9" s="112">
        <f>_xll.qlInterpolationInterpolate($P$1,E9,TRUE)</f>
        <v>1.6697520957500616E-3</v>
      </c>
      <c r="Q9" s="242">
        <f t="shared" si="6"/>
        <v>0</v>
      </c>
      <c r="R9" s="237">
        <f t="shared" si="9"/>
        <v>8.4528703221923207E-4</v>
      </c>
      <c r="S9" s="112">
        <f>_xll.qlInterpolationInterpolate(AbcdInterpolation6M,F9,TRUE)</f>
        <v>1.6360223784463114E-3</v>
      </c>
      <c r="T9" s="242">
        <f t="shared" si="7"/>
        <v>0.33729717303750173</v>
      </c>
      <c r="V9" s="114">
        <f>_xll.qlCalendarAdvance(Calendar,V8,"1D","f")</f>
        <v>42807</v>
      </c>
      <c r="W9" s="100">
        <f t="shared" si="2"/>
        <v>3.287671232876712E-2</v>
      </c>
      <c r="X9" s="112">
        <f>_xll.qlInterpolationInterpolate(B6Minterpolation,V9,TRUE)</f>
        <v>1.1807279049591648E-3</v>
      </c>
      <c r="Y9" s="112">
        <f>_xll.qlInterpolationInterpolate(AbcdInterpolation6M,W9,TRUE)</f>
        <v>1.1666036052518387E-3</v>
      </c>
    </row>
    <row r="10" spans="1:30" ht="11.25" customHeight="1" x14ac:dyDescent="0.2">
      <c r="A10" s="60">
        <f t="shared" si="10"/>
        <v>7</v>
      </c>
      <c r="B10" s="60" t="s">
        <v>32</v>
      </c>
      <c r="C10" s="60">
        <f t="shared" si="8"/>
        <v>13</v>
      </c>
      <c r="D10" s="248" t="str">
        <f t="shared" si="3"/>
        <v>EUR7x13F_Quote</v>
      </c>
      <c r="E10" s="114">
        <f>_xll.qlCalendarAdvance("target",$E$3,A10&amp;"M","mf",,Trigger)</f>
        <v>43011</v>
      </c>
      <c r="F10" s="100">
        <f t="shared" si="0"/>
        <v>0.59178082191780823</v>
      </c>
      <c r="G10" s="114">
        <f>_xll.qlCalendarAdvance(Calendar,E10,$G$1,"mf",,Trigger)</f>
        <v>43193</v>
      </c>
      <c r="H10" s="100">
        <f>_xll.qlDayCounterYearFraction(DayCounter,E10,G10,,,Trigger)</f>
        <v>0.50555555555555554</v>
      </c>
      <c r="I10" s="112">
        <f>_xll.qlQuoteValue(D10,AllTriggers)</f>
        <v>-1.7499999999999998E-3</v>
      </c>
      <c r="J10" s="115">
        <f>_xll.qlYieldTSDiscount(Discounting,E10,,AllTriggers)</f>
        <v>1.002122508009355</v>
      </c>
      <c r="K10" s="115">
        <f>_xll.qlYieldTSDiscount(Discounting,G10,,AllTriggers)</f>
        <v>1.0038821069059682</v>
      </c>
      <c r="L10" s="112">
        <f t="shared" si="4"/>
        <v>-3.4670657700349144E-3</v>
      </c>
      <c r="M10" s="112">
        <f t="shared" si="5"/>
        <v>1.7170657700349146E-3</v>
      </c>
      <c r="N10" s="50" t="b">
        <v>0</v>
      </c>
      <c r="O10" s="50" t="b">
        <v>0</v>
      </c>
      <c r="P10" s="112">
        <f>_xll.qlInterpolationInterpolate($P$1,E10,TRUE)</f>
        <v>1.7192350254006477E-3</v>
      </c>
      <c r="Q10" s="242">
        <f t="shared" si="6"/>
        <v>-2.1692553657331158E-2</v>
      </c>
      <c r="R10" s="237">
        <f t="shared" si="9"/>
        <v>8.6921848303266123E-4</v>
      </c>
      <c r="S10" s="112">
        <f>_xll.qlInterpolationInterpolate(AbcdInterpolation6M,F10,TRUE)</f>
        <v>1.6929533905981871E-3</v>
      </c>
      <c r="T10" s="242">
        <f t="shared" si="7"/>
        <v>0.24112379436727444</v>
      </c>
      <c r="V10" s="114">
        <f>_xll.qlCalendarAdvance(Calendar,V9,"1D","f")</f>
        <v>42808</v>
      </c>
      <c r="W10" s="100">
        <f t="shared" si="2"/>
        <v>3.5616438356164383E-2</v>
      </c>
      <c r="X10" s="112">
        <f>_xll.qlInterpolationInterpolate(B6Minterpolation,V10,TRUE)</f>
        <v>1.1833771459034109E-3</v>
      </c>
      <c r="Y10" s="112">
        <f>_xll.qlInterpolationInterpolate(AbcdInterpolation6M,W10,TRUE)</f>
        <v>1.169981164000087E-3</v>
      </c>
    </row>
    <row r="11" spans="1:30" ht="11.25" customHeight="1" x14ac:dyDescent="0.2">
      <c r="A11" s="60">
        <f t="shared" si="10"/>
        <v>8</v>
      </c>
      <c r="B11" s="60" t="s">
        <v>32</v>
      </c>
      <c r="C11" s="60">
        <f t="shared" si="8"/>
        <v>14</v>
      </c>
      <c r="D11" s="248" t="str">
        <f t="shared" si="3"/>
        <v>EUR8x14F_Quote</v>
      </c>
      <c r="E11" s="114">
        <f>_xll.qlCalendarAdvance("target",$E$3,A11&amp;"M","mf",,Trigger)</f>
        <v>43042</v>
      </c>
      <c r="F11" s="100">
        <f t="shared" si="0"/>
        <v>0.67671232876712328</v>
      </c>
      <c r="G11" s="114">
        <f>_xll.qlCalendarAdvance(Calendar,E11,$G$1,"mf",,Trigger)</f>
        <v>43223</v>
      </c>
      <c r="H11" s="100">
        <f>_xll.qlDayCounterYearFraction(DayCounter,E11,G11,,,Trigger)</f>
        <v>0.50277777777777777</v>
      </c>
      <c r="I11" s="112">
        <f>_xll.qlQuoteValue(D11,AllTriggers)</f>
        <v>-1.67E-3</v>
      </c>
      <c r="J11" s="115">
        <f>_xll.qlYieldTSDiscount(Discounting,E11,,AllTriggers)</f>
        <v>1.0024253022553387</v>
      </c>
      <c r="K11" s="115">
        <f>_xll.qlYieldTSDiscount(Discounting,G11,,AllTriggers)</f>
        <v>1.0041601448610491</v>
      </c>
      <c r="L11" s="112">
        <f t="shared" si="4"/>
        <v>-3.4362205047916766E-3</v>
      </c>
      <c r="M11" s="112">
        <f t="shared" si="5"/>
        <v>1.7662205047916765E-3</v>
      </c>
      <c r="N11" s="50" t="b">
        <v>0</v>
      </c>
      <c r="O11" s="50" t="b">
        <v>0</v>
      </c>
      <c r="P11" s="112">
        <f>_xll.qlInterpolationInterpolate($P$1,E11,TRUE)</f>
        <v>1.7644650483774852E-3</v>
      </c>
      <c r="Q11" s="242">
        <f t="shared" si="6"/>
        <v>1.755456414191366E-2</v>
      </c>
      <c r="R11" s="237">
        <f t="shared" si="9"/>
        <v>8.8915784385714151E-4</v>
      </c>
      <c r="S11" s="112">
        <f>_xll.qlInterpolationInterpolate(AbcdInterpolation6M,F11,TRUE)</f>
        <v>1.7485796922959919E-3</v>
      </c>
      <c r="T11" s="242">
        <f t="shared" si="7"/>
        <v>0.17640812495684638</v>
      </c>
      <c r="V11" s="114">
        <f>_xll.qlCalendarAdvance(Calendar,V10,"1D","f")</f>
        <v>42809</v>
      </c>
      <c r="W11" s="100">
        <f t="shared" si="2"/>
        <v>3.8356164383561646E-2</v>
      </c>
      <c r="X11" s="112">
        <f>_xll.qlInterpolationInterpolate(B6Minterpolation,V11,TRUE)</f>
        <v>1.1859773454827108E-3</v>
      </c>
      <c r="Y11" s="112">
        <f>_xll.qlInterpolationInterpolate(AbcdInterpolation6M,W11,TRUE)</f>
        <v>1.173350702223805E-3</v>
      </c>
    </row>
    <row r="12" spans="1:30" ht="11.25" customHeight="1" x14ac:dyDescent="0.2">
      <c r="A12" s="60">
        <f t="shared" si="10"/>
        <v>9</v>
      </c>
      <c r="B12" s="60" t="s">
        <v>32</v>
      </c>
      <c r="C12" s="60">
        <f t="shared" si="8"/>
        <v>15</v>
      </c>
      <c r="D12" s="248" t="str">
        <f t="shared" si="3"/>
        <v>EUR9x15F_Quote</v>
      </c>
      <c r="E12" s="114">
        <f>_xll.qlCalendarAdvance("target",$E$3,A12&amp;"M","mf",,Trigger)</f>
        <v>43073</v>
      </c>
      <c r="F12" s="100">
        <f t="shared" si="0"/>
        <v>0.76164383561643834</v>
      </c>
      <c r="G12" s="114">
        <f>_xll.qlCalendarAdvance(Calendar,E12,$G$1,"mf",,Trigger)</f>
        <v>43255</v>
      </c>
      <c r="H12" s="100">
        <f>_xll.qlDayCounterYearFraction(DayCounter,E12,G12,,,Trigger)</f>
        <v>0.50555555555555554</v>
      </c>
      <c r="I12" s="112">
        <f>_xll.qlQuoteValue(D12,AllTriggers)</f>
        <v>-1.5900000000000001E-3</v>
      </c>
      <c r="J12" s="115">
        <f>_xll.qlYieldTSDiscount(Discounting,E12,,AllTriggers)</f>
        <v>1.002729387122127</v>
      </c>
      <c r="K12" s="115">
        <f>_xll.qlYieldTSDiscount(Discounting,G12,,AllTriggers)</f>
        <v>1.0044516414122564</v>
      </c>
      <c r="L12" s="112">
        <f t="shared" si="4"/>
        <v>-3.3915588338617134E-3</v>
      </c>
      <c r="M12" s="112">
        <f t="shared" si="5"/>
        <v>1.8015588338617134E-3</v>
      </c>
      <c r="N12" s="50" t="b">
        <v>1</v>
      </c>
      <c r="O12" s="50" t="b">
        <v>1</v>
      </c>
      <c r="P12" s="112">
        <f>_xll.qlInterpolationInterpolate($P$1,E12,TRUE)</f>
        <v>1.8015588338617134E-3</v>
      </c>
      <c r="Q12" s="242">
        <f t="shared" si="6"/>
        <v>0</v>
      </c>
      <c r="R12" s="237">
        <f t="shared" si="9"/>
        <v>9.1193647561016499E-4</v>
      </c>
      <c r="S12" s="112">
        <f>_xll.qlInterpolationInterpolate(AbcdInterpolation6M,F12,TRUE)</f>
        <v>1.7993045748979182E-3</v>
      </c>
      <c r="T12" s="242">
        <f t="shared" si="7"/>
        <v>2.2542589637952141E-2</v>
      </c>
      <c r="V12" s="114">
        <f>_xll.qlCalendarAdvance(Calendar,V11,"1D","f")</f>
        <v>42810</v>
      </c>
      <c r="W12" s="100">
        <f t="shared" si="2"/>
        <v>4.1095890410958902E-2</v>
      </c>
      <c r="X12" s="112">
        <f>_xll.qlInterpolationInterpolate(B6Minterpolation,V12,TRUE)</f>
        <v>1.1885309557653119E-3</v>
      </c>
      <c r="Y12" s="112">
        <f>_xll.qlInterpolationInterpolate(AbcdInterpolation6M,W12,TRUE)</f>
        <v>1.1767121941854339E-3</v>
      </c>
    </row>
    <row r="13" spans="1:30" ht="11.25" customHeight="1" x14ac:dyDescent="0.2">
      <c r="A13" s="60">
        <f t="shared" si="10"/>
        <v>10</v>
      </c>
      <c r="B13" s="60" t="s">
        <v>32</v>
      </c>
      <c r="C13" s="60">
        <f t="shared" si="8"/>
        <v>16</v>
      </c>
      <c r="D13" s="248" t="str">
        <f t="shared" si="3"/>
        <v>EUR10x16F_Quote</v>
      </c>
      <c r="E13" s="114">
        <f>_xll.qlCalendarAdvance("target",$E$3,A13&amp;"M","mf",,Trigger)</f>
        <v>43103</v>
      </c>
      <c r="F13" s="100">
        <f t="shared" si="0"/>
        <v>0.84383561643835614</v>
      </c>
      <c r="G13" s="114">
        <f>_xll.qlCalendarAdvance(Calendar,E13,$G$1,"mf",,Trigger)</f>
        <v>43284</v>
      </c>
      <c r="H13" s="100">
        <f>_xll.qlDayCounterYearFraction(DayCounter,E13,G13,,,Trigger)</f>
        <v>0.50277777777777777</v>
      </c>
      <c r="I13" s="112">
        <f>_xll.qlQuoteValue(D13,AllTriggers)</f>
        <v>-1.5199999999999999E-3</v>
      </c>
      <c r="J13" s="115">
        <f>_xll.qlYieldTSDiscount(Discounting,E13,,AllTriggers)</f>
        <v>1.0030228100170737</v>
      </c>
      <c r="K13" s="115">
        <f>_xll.qlYieldTSDiscount(Discounting,G13,,AllTriggers)</f>
        <v>1.0047113628674562</v>
      </c>
      <c r="L13" s="112">
        <f t="shared" si="4"/>
        <v>-3.3426989903191707E-3</v>
      </c>
      <c r="M13" s="112">
        <f t="shared" si="5"/>
        <v>1.8226989903191708E-3</v>
      </c>
      <c r="N13" s="50" t="b">
        <v>0</v>
      </c>
      <c r="O13" s="50" t="b">
        <v>0</v>
      </c>
      <c r="P13" s="112">
        <f>_xll.qlInterpolationInterpolate($P$1,E13,TRUE)</f>
        <v>1.8302482852510221E-3</v>
      </c>
      <c r="Q13" s="242">
        <f t="shared" si="6"/>
        <v>-7.5492949318512179E-2</v>
      </c>
      <c r="R13" s="237">
        <f t="shared" si="9"/>
        <v>9.1753423219365548E-4</v>
      </c>
      <c r="S13" s="112">
        <f>_xll.qlInterpolationInterpolate(AbcdInterpolation6M,F13,TRUE)</f>
        <v>1.8441738073133381E-3</v>
      </c>
      <c r="T13" s="242">
        <f t="shared" si="7"/>
        <v>-0.21474816994167256</v>
      </c>
      <c r="V13" s="114">
        <f>_xll.qlCalendarAdvance(Calendar,V12,"1D","f")</f>
        <v>42811</v>
      </c>
      <c r="W13" s="100">
        <f t="shared" si="2"/>
        <v>4.3835616438356165E-2</v>
      </c>
      <c r="X13" s="112">
        <f>_xll.qlInterpolationInterpolate(B6Minterpolation,V13,TRUE)</f>
        <v>1.1910404288194617E-3</v>
      </c>
      <c r="Y13" s="112">
        <f>_xll.qlInterpolationInterpolate(AbcdInterpolation6M,W13,TRUE)</f>
        <v>1.1800656153124511E-3</v>
      </c>
    </row>
    <row r="14" spans="1:30" ht="11.25" customHeight="1" x14ac:dyDescent="0.2">
      <c r="A14" s="60">
        <f t="shared" si="10"/>
        <v>11</v>
      </c>
      <c r="B14" s="60" t="s">
        <v>32</v>
      </c>
      <c r="C14" s="60">
        <f t="shared" si="8"/>
        <v>17</v>
      </c>
      <c r="D14" s="248" t="str">
        <f t="shared" si="3"/>
        <v>EUR11x17F_Quote</v>
      </c>
      <c r="E14" s="114">
        <f>_xll.qlCalendarAdvance("target",$E$3,A14&amp;"M","mf",,Trigger)</f>
        <v>43136</v>
      </c>
      <c r="F14" s="100">
        <f t="shared" si="0"/>
        <v>0.9342465753424658</v>
      </c>
      <c r="G14" s="114">
        <f>_xll.qlCalendarAdvance(Calendar,E14,$G$1,"mf",,Trigger)</f>
        <v>43318</v>
      </c>
      <c r="H14" s="100">
        <f>_xll.qlDayCounterYearFraction(DayCounter,E14,G14,,,Trigger)</f>
        <v>0.50555555555555554</v>
      </c>
      <c r="I14" s="112">
        <f>_xll.qlQuoteValue(D14,AllTriggers)</f>
        <v>-1.4300000000000001E-3</v>
      </c>
      <c r="J14" s="115">
        <f>_xll.qlYieldTSDiscount(Discounting,E14,,AllTriggers)</f>
        <v>1.0033419268415087</v>
      </c>
      <c r="K14" s="115">
        <f>_xll.qlYieldTSDiscount(Discounting,G14,,AllTriggers)</f>
        <v>1.0050117899624587</v>
      </c>
      <c r="L14" s="112">
        <f t="shared" si="4"/>
        <v>-3.286554433008881E-3</v>
      </c>
      <c r="M14" s="112">
        <f t="shared" si="5"/>
        <v>1.856554433008881E-3</v>
      </c>
      <c r="N14" s="50" t="b">
        <v>0</v>
      </c>
      <c r="O14" s="50" t="b">
        <v>0</v>
      </c>
      <c r="P14" s="112">
        <f>_xll.qlInterpolationInterpolate($P$1,E14,TRUE)</f>
        <v>1.857873367295063E-3</v>
      </c>
      <c r="Q14" s="242">
        <f t="shared" si="6"/>
        <v>-1.3189342861819921E-2</v>
      </c>
      <c r="R14" s="237">
        <f t="shared" si="9"/>
        <v>9.3971183905062052E-4</v>
      </c>
      <c r="S14" s="112">
        <f>_xll.qlInterpolationInterpolate(AbcdInterpolation6M,F14,TRUE)</f>
        <v>1.889209528057881E-3</v>
      </c>
      <c r="T14" s="242">
        <f t="shared" si="7"/>
        <v>-0.3265509504900006</v>
      </c>
      <c r="V14" s="114">
        <f>_xll.qlCalendarAdvance(Calendar,V13,"1D","f")</f>
        <v>42814</v>
      </c>
      <c r="W14" s="100">
        <f t="shared" si="2"/>
        <v>5.2054794520547946E-2</v>
      </c>
      <c r="X14" s="112">
        <f>_xll.qlInterpolationInterpolate(B6Minterpolation,V14,TRUE)</f>
        <v>1.1983285452936748E-3</v>
      </c>
      <c r="Y14" s="112">
        <f>_xll.qlInterpolationInterpolate(AbcdInterpolation6M,W14,TRUE)</f>
        <v>1.190077224859201E-3</v>
      </c>
    </row>
    <row r="15" spans="1:30" ht="11.25" customHeight="1" x14ac:dyDescent="0.2">
      <c r="A15" s="60">
        <f t="shared" si="10"/>
        <v>12</v>
      </c>
      <c r="B15" s="60" t="s">
        <v>32</v>
      </c>
      <c r="C15" s="60">
        <f t="shared" si="8"/>
        <v>18</v>
      </c>
      <c r="D15" s="248" t="str">
        <f t="shared" si="3"/>
        <v>EUR12x18F_Quote</v>
      </c>
      <c r="E15" s="114">
        <f>_xll.qlCalendarAdvance("target",$E$3,A15&amp;"M","mf",,Trigger)</f>
        <v>43164</v>
      </c>
      <c r="F15" s="100">
        <f t="shared" si="0"/>
        <v>1.010958904109589</v>
      </c>
      <c r="G15" s="114">
        <f>_xll.qlCalendarAdvance(Calendar,E15,$G$1,"mf",,Trigger)</f>
        <v>43348</v>
      </c>
      <c r="H15" s="100">
        <f>_xll.qlDayCounterYearFraction(DayCounter,E15,G15,,,Trigger)</f>
        <v>0.51111111111111107</v>
      </c>
      <c r="I15" s="112">
        <f>_xll.qlQuoteValue(D15,AllTriggers)</f>
        <v>-1.3600000000000001E-3</v>
      </c>
      <c r="J15" s="115">
        <f>_xll.qlYieldTSDiscount(Discounting,E15,,AllTriggers)</f>
        <v>1.003609142356672</v>
      </c>
      <c r="K15" s="115">
        <f>_xll.qlYieldTSDiscount(Discounting,G15,,AllTriggers)</f>
        <v>1.0052750007243789</v>
      </c>
      <c r="L15" s="112">
        <f t="shared" si="4"/>
        <v>-3.2421855794508799E-3</v>
      </c>
      <c r="M15" s="112">
        <f t="shared" si="5"/>
        <v>1.8821855794508798E-3</v>
      </c>
      <c r="N15" s="50" t="b">
        <v>1</v>
      </c>
      <c r="O15" s="50" t="b">
        <v>1</v>
      </c>
      <c r="P15" s="112">
        <f>_xll.qlInterpolationInterpolate($P$1,E15,TRUE)</f>
        <v>1.8821855794508798E-3</v>
      </c>
      <c r="Q15" s="242">
        <f t="shared" si="6"/>
        <v>0</v>
      </c>
      <c r="R15" s="237">
        <f t="shared" si="9"/>
        <v>9.6313879831026045E-4</v>
      </c>
      <c r="S15" s="112">
        <f>_xll.qlInterpolationInterpolate(AbcdInterpolation6M,F15,TRUE)</f>
        <v>1.9242134360325433E-3</v>
      </c>
      <c r="T15" s="242">
        <f t="shared" si="7"/>
        <v>-0.42027856581663492</v>
      </c>
      <c r="V15" s="114">
        <f>_xll.qlCalendarAdvance(Calendar,V14,"1D","f")</f>
        <v>42815</v>
      </c>
      <c r="W15" s="100">
        <f t="shared" si="2"/>
        <v>5.4794520547945202E-2</v>
      </c>
      <c r="X15" s="112">
        <f>_xll.qlInterpolationInterpolate(B6Minterpolation,V15,TRUE)</f>
        <v>1.2006859901164918E-3</v>
      </c>
      <c r="Y15" s="112">
        <f>_xll.qlInterpolationInterpolate(AbcdInterpolation6M,W15,TRUE)</f>
        <v>1.1933981392677616E-3</v>
      </c>
    </row>
    <row r="16" spans="1:30" ht="11.25" customHeight="1" x14ac:dyDescent="0.2">
      <c r="A16" s="60">
        <f t="shared" si="10"/>
        <v>13</v>
      </c>
      <c r="B16" s="60" t="s">
        <v>32</v>
      </c>
      <c r="C16" s="60">
        <f t="shared" si="8"/>
        <v>19</v>
      </c>
      <c r="D16" s="248" t="str">
        <f t="shared" si="3"/>
        <v>EUR13x19F_Quote</v>
      </c>
      <c r="E16" s="114">
        <f>_xll.qlCalendarAdvance("target",$E$3,A16&amp;"M","mf",,Trigger)</f>
        <v>43193</v>
      </c>
      <c r="F16" s="100">
        <f t="shared" si="0"/>
        <v>1.0904109589041096</v>
      </c>
      <c r="G16" s="114">
        <f>_xll.qlCalendarAdvance(Calendar,E16,$G$1,"mf",,Trigger)</f>
        <v>43376</v>
      </c>
      <c r="H16" s="100">
        <f>_xll.qlDayCounterYearFraction(DayCounter,E16,G16,,,Trigger)</f>
        <v>0.5083333333333333</v>
      </c>
      <c r="I16" s="112">
        <f>_xll.qlQuoteValue(D16,AllTriggers)</f>
        <v>-1.2800000000000001E-3</v>
      </c>
      <c r="J16" s="115">
        <f>_xll.qlYieldTSDiscount(Discounting,E16,,AllTriggers)</f>
        <v>1.0038821069059682</v>
      </c>
      <c r="K16" s="115">
        <f>_xll.qlYieldTSDiscount(Discounting,G16,,AllTriggers)</f>
        <v>1.0055200118231633</v>
      </c>
      <c r="L16" s="112">
        <f t="shared" si="4"/>
        <v>-3.2044195997493388E-3</v>
      </c>
      <c r="M16" s="112">
        <f t="shared" si="5"/>
        <v>1.9244195997493386E-3</v>
      </c>
      <c r="N16" s="50" t="b">
        <v>0</v>
      </c>
      <c r="O16" s="50" t="b">
        <v>0</v>
      </c>
      <c r="P16" s="112">
        <f>_xll.qlInterpolationInterpolate($P$1,E16,TRUE)</f>
        <v>1.9113672761553189E-3</v>
      </c>
      <c r="Q16" s="242">
        <f t="shared" si="6"/>
        <v>0.13052323594019793</v>
      </c>
      <c r="R16" s="237">
        <f t="shared" si="9"/>
        <v>9.7936297617181689E-4</v>
      </c>
      <c r="S16" s="112">
        <f>_xll.qlInterpolationInterpolate(AbcdInterpolation6M,F16,TRUE)</f>
        <v>1.9576580715170533E-3</v>
      </c>
      <c r="T16" s="242">
        <f t="shared" si="7"/>
        <v>-0.33238471767714622</v>
      </c>
      <c r="V16" s="114">
        <f>_xll.qlCalendarAdvance(Calendar,V15,"1D","f")</f>
        <v>42816</v>
      </c>
      <c r="W16" s="100">
        <f t="shared" si="2"/>
        <v>5.7534246575342465E-2</v>
      </c>
      <c r="X16" s="112">
        <f>_xll.qlInterpolationInterpolate(B6Minterpolation,V16,TRUE)</f>
        <v>1.2030115580520936E-3</v>
      </c>
      <c r="Y16" s="112">
        <f>_xll.qlInterpolationInterpolate(AbcdInterpolation6M,W16,TRUE)</f>
        <v>1.1967108765081572E-3</v>
      </c>
    </row>
    <row r="17" spans="1:25" ht="11.25" customHeight="1" x14ac:dyDescent="0.2">
      <c r="A17" s="60">
        <f t="shared" si="10"/>
        <v>14</v>
      </c>
      <c r="B17" s="60" t="s">
        <v>32</v>
      </c>
      <c r="C17" s="60">
        <f t="shared" si="8"/>
        <v>20</v>
      </c>
      <c r="D17" s="248" t="str">
        <f t="shared" si="3"/>
        <v>EUR14x20F_Quote</v>
      </c>
      <c r="E17" s="114">
        <f>_xll.qlCalendarAdvance("target",$E$3,A17&amp;"M","mf",,Trigger)</f>
        <v>43223</v>
      </c>
      <c r="F17" s="100">
        <f t="shared" si="0"/>
        <v>1.1726027397260275</v>
      </c>
      <c r="G17" s="114">
        <f>_xll.qlCalendarAdvance(Calendar,E17,$G$1,"mf",,Trigger)</f>
        <v>43409</v>
      </c>
      <c r="H17" s="100">
        <f>_xll.qlDayCounterYearFraction(DayCounter,E17,G17,,,Trigger)</f>
        <v>0.51666666666666672</v>
      </c>
      <c r="I17" s="112">
        <f>_xll.qlQuoteValue(D17,AllTriggers)</f>
        <v>-1.1900000000000001E-3</v>
      </c>
      <c r="J17" s="115">
        <f>_xll.qlYieldTSDiscount(Discounting,E17,,AllTriggers)</f>
        <v>1.0041601448610491</v>
      </c>
      <c r="K17" s="115">
        <f>_xll.qlYieldTSDiscount(Discounting,G17,,AllTriggers)</f>
        <v>1.0058048578424141</v>
      </c>
      <c r="L17" s="112">
        <f t="shared" si="4"/>
        <v>-3.164943401279621E-3</v>
      </c>
      <c r="M17" s="112">
        <f t="shared" si="5"/>
        <v>1.9749434012796209E-3</v>
      </c>
      <c r="N17" s="50" t="b">
        <v>0</v>
      </c>
      <c r="O17" s="50" t="b">
        <v>0</v>
      </c>
      <c r="P17" s="112">
        <f>_xll.qlInterpolationInterpolate($P$1,E17,TRUE)</f>
        <v>1.9458031396756572E-3</v>
      </c>
      <c r="Q17" s="242">
        <f t="shared" si="6"/>
        <v>0.29140261603963735</v>
      </c>
      <c r="R17" s="237">
        <f t="shared" si="9"/>
        <v>1.0215367692221027E-3</v>
      </c>
      <c r="S17" s="112">
        <f>_xll.qlInterpolationInterpolate(AbcdInterpolation6M,F17,TRUE)</f>
        <v>1.9895236940666206E-3</v>
      </c>
      <c r="T17" s="242">
        <f t="shared" si="7"/>
        <v>-0.14580292786999655</v>
      </c>
      <c r="V17" s="114">
        <f>_xll.qlCalendarAdvance(Calendar,V16,"1D","f")</f>
        <v>42817</v>
      </c>
      <c r="W17" s="100">
        <f t="shared" si="2"/>
        <v>6.0273972602739728E-2</v>
      </c>
      <c r="X17" s="112">
        <f>_xll.qlInterpolationInterpolate(B6Minterpolation,V17,TRUE)</f>
        <v>1.2053077011687278E-3</v>
      </c>
      <c r="Y17" s="112">
        <f>_xll.qlInterpolationInterpolate(AbcdInterpolation6M,W17,TRUE)</f>
        <v>1.2000154184390955E-3</v>
      </c>
    </row>
    <row r="18" spans="1:25" ht="11.25" customHeight="1" x14ac:dyDescent="0.2">
      <c r="A18" s="60">
        <f t="shared" si="10"/>
        <v>15</v>
      </c>
      <c r="B18" s="60" t="s">
        <v>32</v>
      </c>
      <c r="C18" s="60">
        <f t="shared" si="8"/>
        <v>21</v>
      </c>
      <c r="D18" s="248" t="str">
        <f t="shared" si="3"/>
        <v>EUR15x21F_Quote</v>
      </c>
      <c r="E18" s="114">
        <f>_xll.qlCalendarAdvance("target",$E$3,A18&amp;"M","mf",,Trigger)</f>
        <v>43255</v>
      </c>
      <c r="F18" s="100">
        <f t="shared" si="0"/>
        <v>1.2602739726027397</v>
      </c>
      <c r="G18" s="114">
        <f>_xll.qlCalendarAdvance(Calendar,E18,$G$1,"mf",,Trigger)</f>
        <v>43438</v>
      </c>
      <c r="H18" s="100">
        <f>_xll.qlDayCounterYearFraction(DayCounter,E18,G18,,,Trigger)</f>
        <v>0.5083333333333333</v>
      </c>
      <c r="I18" s="112">
        <f>_xll.qlQuoteValue(D18,AllTriggers)</f>
        <v>-1.1000000000000001E-3</v>
      </c>
      <c r="J18" s="115">
        <f>_xll.qlYieldTSDiscount(Discounting,E18,,AllTriggers)</f>
        <v>1.0044516414122564</v>
      </c>
      <c r="K18" s="115">
        <f>_xll.qlYieldTSDiscount(Discounting,G18,,AllTriggers)</f>
        <v>1.006047494478727</v>
      </c>
      <c r="L18" s="112">
        <f t="shared" si="4"/>
        <v>-3.120511803677862E-3</v>
      </c>
      <c r="M18" s="112">
        <f t="shared" si="5"/>
        <v>2.0205118036778621E-3</v>
      </c>
      <c r="N18" s="50" t="b">
        <v>0</v>
      </c>
      <c r="O18" s="50" t="b">
        <v>0</v>
      </c>
      <c r="P18" s="112">
        <f>_xll.qlInterpolationInterpolate($P$1,E18,TRUE)</f>
        <v>1.9863501567839691E-3</v>
      </c>
      <c r="Q18" s="242">
        <f t="shared" si="6"/>
        <v>0.34161646893893055</v>
      </c>
      <c r="R18" s="237">
        <f t="shared" si="9"/>
        <v>1.0281965509240103E-3</v>
      </c>
      <c r="S18" s="112">
        <f>_xll.qlInterpolationInterpolate(AbcdInterpolation6M,F18,TRUE)</f>
        <v>2.0207428399348576E-3</v>
      </c>
      <c r="T18" s="242">
        <f t="shared" si="7"/>
        <v>-2.3103625699551211E-3</v>
      </c>
      <c r="V18" s="114">
        <f>_xll.qlCalendarAdvance(Calendar,V17,"1D","f")</f>
        <v>42818</v>
      </c>
      <c r="W18" s="100">
        <f t="shared" si="2"/>
        <v>6.3013698630136991E-2</v>
      </c>
      <c r="X18" s="112">
        <f>_xll.qlInterpolationInterpolate(B6Minterpolation,V18,TRUE)</f>
        <v>1.2075768715346417E-3</v>
      </c>
      <c r="Y18" s="112">
        <f>_xll.qlInterpolationInterpolate(AbcdInterpolation6M,W18,TRUE)</f>
        <v>1.2033117479037919E-3</v>
      </c>
    </row>
    <row r="19" spans="1:25" ht="11.25" customHeight="1" x14ac:dyDescent="0.2">
      <c r="A19" s="60">
        <f t="shared" si="10"/>
        <v>16</v>
      </c>
      <c r="B19" s="60" t="s">
        <v>32</v>
      </c>
      <c r="C19" s="60">
        <f t="shared" si="8"/>
        <v>22</v>
      </c>
      <c r="D19" s="248" t="str">
        <f t="shared" si="3"/>
        <v>EUR16x22F_Quote</v>
      </c>
      <c r="E19" s="114">
        <f>_xll.qlCalendarAdvance("target",$E$3,A19&amp;"M","mf",,Trigger)</f>
        <v>43284</v>
      </c>
      <c r="F19" s="100">
        <f t="shared" si="0"/>
        <v>1.3397260273972602</v>
      </c>
      <c r="G19" s="114">
        <f>_xll.qlCalendarAdvance(Calendar,E19,$G$1,"mf",,Trigger)</f>
        <v>43468</v>
      </c>
      <c r="H19" s="100">
        <f>_xll.qlDayCounterYearFraction(DayCounter,E19,G19,,,Trigger)</f>
        <v>0.51111111111111107</v>
      </c>
      <c r="I19" s="112">
        <f>_xll.qlQuoteValue(D19,AllTriggers)</f>
        <v>-9.8999999999999999E-4</v>
      </c>
      <c r="J19" s="115">
        <f>_xll.qlYieldTSDiscount(Discounting,E19,,AllTriggers)</f>
        <v>1.0047113628674562</v>
      </c>
      <c r="K19" s="115">
        <f>_xll.qlYieldTSDiscount(Discounting,G19,,AllTriggers)</f>
        <v>1.0062872100505176</v>
      </c>
      <c r="L19" s="112">
        <f t="shared" si="4"/>
        <v>-3.0639157890641083E-3</v>
      </c>
      <c r="M19" s="112">
        <f t="shared" si="5"/>
        <v>2.0739157890641083E-3</v>
      </c>
      <c r="N19" s="50" t="b">
        <v>0</v>
      </c>
      <c r="O19" s="50" t="b">
        <v>0</v>
      </c>
      <c r="P19" s="112">
        <f>_xll.qlInterpolationInterpolate($P$1,E19,TRUE)</f>
        <v>2.0256543155038075E-3</v>
      </c>
      <c r="Q19" s="242">
        <f t="shared" si="6"/>
        <v>0.48261473560300744</v>
      </c>
      <c r="R19" s="237">
        <f t="shared" si="9"/>
        <v>1.0611008039345434E-3</v>
      </c>
      <c r="S19" s="112">
        <f>_xll.qlInterpolationInterpolate(AbcdInterpolation6M,F19,TRUE)</f>
        <v>2.0467987106877572E-3</v>
      </c>
      <c r="T19" s="242">
        <f t="shared" si="7"/>
        <v>0.27117078376351095</v>
      </c>
      <c r="V19" s="114">
        <f>_xll.qlCalendarAdvance(Calendar,V18,"1D","f")</f>
        <v>42821</v>
      </c>
      <c r="W19" s="100">
        <f t="shared" si="2"/>
        <v>7.1232876712328766E-2</v>
      </c>
      <c r="X19" s="112">
        <f>_xll.qlInterpolationInterpolate(B6Minterpolation,V19,TRUE)</f>
        <v>1.2142470668105342E-3</v>
      </c>
      <c r="Y19" s="112">
        <f>_xll.qlInterpolationInterpolate(AbcdInterpolation6M,W19,TRUE)</f>
        <v>1.2131513042129758E-3</v>
      </c>
    </row>
    <row r="20" spans="1:25" ht="11.25" customHeight="1" x14ac:dyDescent="0.2">
      <c r="A20" s="60">
        <f t="shared" si="10"/>
        <v>17</v>
      </c>
      <c r="B20" s="60" t="s">
        <v>32</v>
      </c>
      <c r="C20" s="60">
        <f t="shared" si="8"/>
        <v>23</v>
      </c>
      <c r="D20" s="248" t="str">
        <f t="shared" si="3"/>
        <v>EUR17x23F_Quote</v>
      </c>
      <c r="E20" s="114">
        <f>_xll.qlCalendarAdvance("target",$E$3,A20&amp;"M","mf",,Trigger)</f>
        <v>43315</v>
      </c>
      <c r="F20" s="100">
        <f t="shared" si="0"/>
        <v>1.4246575342465753</v>
      </c>
      <c r="G20" s="114">
        <f>_xll.qlCalendarAdvance(Calendar,E20,$G$1,"mf",,Trigger)</f>
        <v>43500</v>
      </c>
      <c r="H20" s="100">
        <f>_xll.qlDayCounterYearFraction(DayCounter,E20,G20,,,Trigger)</f>
        <v>0.51388888888888884</v>
      </c>
      <c r="I20" s="112">
        <f>_xll.qlQuoteValue(D20,AllTriggers)</f>
        <v>-8.8999999999999995E-4</v>
      </c>
      <c r="J20" s="115">
        <f>_xll.qlYieldTSDiscount(Discounting,E20,,AllTriggers)</f>
        <v>1.0049854065459094</v>
      </c>
      <c r="K20" s="115">
        <f>_xll.qlYieldTSDiscount(Discounting,G20,,AllTriggers)</f>
        <v>1.0065308593674502</v>
      </c>
      <c r="L20" s="112">
        <f t="shared" si="4"/>
        <v>-2.9878543958583282E-3</v>
      </c>
      <c r="M20" s="112">
        <f t="shared" si="5"/>
        <v>2.0978543958583284E-3</v>
      </c>
      <c r="N20" s="50" t="b">
        <v>0</v>
      </c>
      <c r="O20" s="50" t="b">
        <v>0</v>
      </c>
      <c r="P20" s="112">
        <f>_xll.qlInterpolationInterpolate($P$1,E20,TRUE)</f>
        <v>2.0694624616181931E-3</v>
      </c>
      <c r="Q20" s="242">
        <f t="shared" si="6"/>
        <v>0.28391934240135347</v>
      </c>
      <c r="R20" s="237">
        <f t="shared" si="9"/>
        <v>1.0791394162742152E-3</v>
      </c>
      <c r="S20" s="112">
        <f>_xll.qlInterpolationInterpolate(AbcdInterpolation6M,F20,TRUE)</f>
        <v>2.0725234126369309E-3</v>
      </c>
      <c r="T20" s="242">
        <f t="shared" si="7"/>
        <v>0.25330983221397585</v>
      </c>
      <c r="V20" s="114">
        <f>_xll.qlCalendarAdvance(Calendar,V19,"1D","f")</f>
        <v>42822</v>
      </c>
      <c r="W20" s="100">
        <f t="shared" si="2"/>
        <v>7.3972602739726029E-2</v>
      </c>
      <c r="X20" s="112">
        <f>_xll.qlInterpolationInterpolate(B6Minterpolation,V20,TRUE)</f>
        <v>1.2164328668560398E-3</v>
      </c>
      <c r="Y20" s="112">
        <f>_xll.qlInterpolationInterpolate(AbcdInterpolation6M,W20,TRUE)</f>
        <v>1.2164146311280106E-3</v>
      </c>
    </row>
    <row r="21" spans="1:25" ht="11.25" customHeight="1" x14ac:dyDescent="0.2">
      <c r="A21" s="60">
        <f t="shared" si="10"/>
        <v>18</v>
      </c>
      <c r="B21" s="60" t="s">
        <v>32</v>
      </c>
      <c r="C21" s="60">
        <f t="shared" si="8"/>
        <v>24</v>
      </c>
      <c r="D21" s="249" t="str">
        <f t="shared" si="3"/>
        <v>EUR18x24F_Quote</v>
      </c>
      <c r="E21" s="118">
        <f>_xll.qlCalendarAdvance("target",$E$3,A21&amp;"M","mf",,Trigger)</f>
        <v>43346</v>
      </c>
      <c r="F21" s="105">
        <f t="shared" si="0"/>
        <v>1.5095890410958903</v>
      </c>
      <c r="G21" s="118">
        <f>_xll.qlCalendarAdvance(Calendar,E21,$G$1,"mf",,Trigger)</f>
        <v>43528</v>
      </c>
      <c r="H21" s="105">
        <f>_xll.qlDayCounterYearFraction(DayCounter,E21,G21,,,Trigger)</f>
        <v>0.50555555555555554</v>
      </c>
      <c r="I21" s="121">
        <f>_xll.qlQuoteValue(D21,AllTriggers)</f>
        <v>-7.9000000000000001E-4</v>
      </c>
      <c r="J21" s="119">
        <f>_xll.qlYieldTSDiscount(Discounting,E21,,AllTriggers)</f>
        <v>1.0052574673792218</v>
      </c>
      <c r="K21" s="119">
        <f>_xll.qlYieldTSDiscount(Discounting,G21,,AllTriggers)</f>
        <v>1.0067355949442276</v>
      </c>
      <c r="L21" s="121">
        <f t="shared" si="4"/>
        <v>-2.9042072462565501E-3</v>
      </c>
      <c r="M21" s="121">
        <f t="shared" si="5"/>
        <v>2.1142072462565502E-3</v>
      </c>
      <c r="N21" s="55" t="b">
        <v>1</v>
      </c>
      <c r="O21" s="55" t="b">
        <v>1</v>
      </c>
      <c r="P21" s="121">
        <f>_xll.qlInterpolationInterpolate($P$1,E21,TRUE)</f>
        <v>2.1142072462565502E-3</v>
      </c>
      <c r="Q21" s="243">
        <f t="shared" si="6"/>
        <v>0</v>
      </c>
      <c r="R21" s="275">
        <f t="shared" si="9"/>
        <v>1.0698483597285202E-3</v>
      </c>
      <c r="S21" s="121">
        <f>_xll.qlInterpolationInterpolate(AbcdInterpolation6M,F21,TRUE)</f>
        <v>2.0962538102828527E-3</v>
      </c>
      <c r="T21" s="243">
        <f t="shared" si="7"/>
        <v>0.17953435973697487</v>
      </c>
      <c r="V21" s="114">
        <f>_xll.qlCalendarAdvance(Calendar,V20,"1D","f")</f>
        <v>42823</v>
      </c>
      <c r="W21" s="100">
        <f t="shared" si="2"/>
        <v>7.6712328767123292E-2</v>
      </c>
      <c r="X21" s="112">
        <f>_xll.qlInterpolationInterpolate(B6Minterpolation,V21,TRUE)</f>
        <v>1.2186039544920615E-3</v>
      </c>
      <c r="Y21" s="112">
        <f>_xll.qlInterpolationInterpolate(AbcdInterpolation6M,W21,TRUE)</f>
        <v>1.2196696737610138E-3</v>
      </c>
    </row>
    <row r="22" spans="1:25" ht="11.25" customHeight="1" x14ac:dyDescent="0.2">
      <c r="E22" s="229"/>
      <c r="F22" s="229"/>
      <c r="G22" s="229"/>
      <c r="H22" s="229"/>
      <c r="I22" s="86"/>
      <c r="J22" s="62"/>
      <c r="K22" s="62"/>
      <c r="L22" s="86"/>
      <c r="M22" s="86"/>
      <c r="Q22" s="62"/>
      <c r="R22" s="62"/>
      <c r="S22" s="62"/>
      <c r="T22" s="62"/>
      <c r="V22" s="114">
        <f>_xll.qlCalendarAdvance(Calendar,V21,"1D","f")</f>
        <v>42824</v>
      </c>
      <c r="W22" s="100">
        <f t="shared" si="2"/>
        <v>7.9452054794520555E-2</v>
      </c>
      <c r="X22" s="112">
        <f>_xll.qlInterpolationInterpolate(B6Minterpolation,V22,TRUE)</f>
        <v>1.2207627817868467E-3</v>
      </c>
      <c r="Y22" s="112">
        <f>_xll.qlInterpolationInterpolate(AbcdInterpolation6M,W22,TRUE)</f>
        <v>1.2229164203899914E-3</v>
      </c>
    </row>
    <row r="23" spans="1:25" ht="11.25" customHeight="1" x14ac:dyDescent="0.2">
      <c r="E23" s="229"/>
      <c r="F23" s="229"/>
      <c r="G23" s="229"/>
      <c r="H23" s="229"/>
      <c r="I23" s="86"/>
      <c r="L23" s="86"/>
      <c r="M23" s="86"/>
      <c r="R23" s="62"/>
      <c r="S23" s="62"/>
      <c r="T23" s="62"/>
      <c r="V23" s="114">
        <f>_xll.qlCalendarAdvance(Calendar,V22,"1D","f")</f>
        <v>42825</v>
      </c>
      <c r="W23" s="100">
        <f t="shared" si="2"/>
        <v>8.2191780821917804E-2</v>
      </c>
      <c r="X23" s="112">
        <f>_xll.qlInterpolationInterpolate(B6Minterpolation,V23,TRUE)</f>
        <v>1.2229118008086426E-3</v>
      </c>
      <c r="Y23" s="112">
        <f>_xll.qlInterpolationInterpolate(AbcdInterpolation6M,W23,TRUE)</f>
        <v>1.2261548601248924E-3</v>
      </c>
    </row>
    <row r="24" spans="1:25" ht="11.25" customHeight="1" x14ac:dyDescent="0.2">
      <c r="E24" s="229"/>
      <c r="F24" s="229"/>
      <c r="G24" s="229"/>
      <c r="H24" s="229"/>
      <c r="I24" s="86"/>
      <c r="L24" s="86"/>
      <c r="M24" s="86"/>
      <c r="V24" s="114">
        <f>_xll.qlCalendarAdvance(Calendar,V23,"1D","f")</f>
        <v>42828</v>
      </c>
      <c r="W24" s="100">
        <f t="shared" si="2"/>
        <v>9.0410958904109592E-2</v>
      </c>
      <c r="X24" s="112">
        <f>_xll.qlInterpolationInterpolate(B6Minterpolation,V24,TRUE)</f>
        <v>1.2293245289185682E-3</v>
      </c>
      <c r="Y24" s="112">
        <f>_xll.qlInterpolationInterpolate(AbcdInterpolation6M,W24,TRUE)</f>
        <v>1.2358202411313704E-3</v>
      </c>
    </row>
    <row r="25" spans="1:25" ht="11.25" customHeight="1" x14ac:dyDescent="0.2">
      <c r="E25" s="229"/>
      <c r="F25" s="229"/>
      <c r="G25" s="229"/>
      <c r="H25" s="229"/>
      <c r="I25" s="86"/>
      <c r="L25" s="86"/>
      <c r="M25" s="86"/>
      <c r="V25" s="114">
        <f>_xll.qlCalendarAdvance(Calendar,V24,"1D","f")</f>
        <v>42829</v>
      </c>
      <c r="W25" s="100">
        <f t="shared" si="2"/>
        <v>9.3150684931506855E-2</v>
      </c>
      <c r="X25" s="112">
        <f>_xll.qlInterpolationInterpolate(B6Minterpolation,V25,TRUE)</f>
        <v>1.2314588355308803E-3</v>
      </c>
      <c r="Y25" s="112">
        <f>_xll.qlInterpolationInterpolate(AbcdInterpolation6M,W25,TRUE)</f>
        <v>1.239025360345272E-3</v>
      </c>
    </row>
    <row r="26" spans="1:25" ht="11.25" customHeight="1" x14ac:dyDescent="0.2">
      <c r="E26" s="229"/>
      <c r="F26" s="229"/>
      <c r="G26" s="229"/>
      <c r="H26" s="229"/>
      <c r="I26" s="86"/>
      <c r="L26" s="86"/>
      <c r="M26" s="86"/>
      <c r="V26" s="114">
        <f>_xll.qlCalendarAdvance(Calendar,V25,"1D","f")</f>
        <v>42830</v>
      </c>
      <c r="W26" s="100">
        <f t="shared" si="2"/>
        <v>9.5890410958904104E-2</v>
      </c>
      <c r="X26" s="112">
        <f>_xll.qlInterpolationInterpolate(B6Minterpolation,V26,TRUE)</f>
        <v>1.2335955942114397E-3</v>
      </c>
      <c r="Y26" s="112">
        <f>_xll.qlInterpolationInterpolate(AbcdInterpolation6M,W26,TRUE)</f>
        <v>1.2422221300172924E-3</v>
      </c>
    </row>
    <row r="27" spans="1:25" ht="11.25" customHeight="1" x14ac:dyDescent="0.2">
      <c r="E27" s="229"/>
      <c r="F27" s="229"/>
      <c r="G27" s="229"/>
      <c r="H27" s="229"/>
      <c r="I27" s="86"/>
      <c r="L27" s="86"/>
      <c r="M27" s="86"/>
      <c r="V27" s="114">
        <f>_xll.qlCalendarAdvance(Calendar,V26,"1D","f")</f>
        <v>42831</v>
      </c>
      <c r="W27" s="100">
        <f t="shared" si="2"/>
        <v>9.8630136986301367E-2</v>
      </c>
      <c r="X27" s="112">
        <f>_xll.qlInterpolationInterpolate(B6Minterpolation,V27,TRUE)</f>
        <v>1.2357372570284937E-3</v>
      </c>
      <c r="Y27" s="112">
        <f>_xll.qlInterpolationInterpolate(AbcdInterpolation6M,W27,TRUE)</f>
        <v>1.2454105438492705E-3</v>
      </c>
    </row>
    <row r="28" spans="1:25" ht="11.25" customHeight="1" x14ac:dyDescent="0.2">
      <c r="E28" s="229"/>
      <c r="F28" s="229"/>
      <c r="G28" s="229"/>
      <c r="H28" s="229"/>
      <c r="I28" s="86"/>
      <c r="L28" s="86"/>
      <c r="M28" s="86"/>
      <c r="V28" s="114">
        <f>_xll.qlCalendarAdvance(Calendar,V27,"1D","f")</f>
        <v>42832</v>
      </c>
      <c r="W28" s="100">
        <f t="shared" si="2"/>
        <v>0.10136986301369863</v>
      </c>
      <c r="X28" s="112">
        <f>_xll.qlInterpolationInterpolate(B6Minterpolation,V28,TRUE)</f>
        <v>1.2378862760502897E-3</v>
      </c>
      <c r="Y28" s="112">
        <f>_xll.qlInterpolationInterpolate(AbcdInterpolation6M,W28,TRUE)</f>
        <v>1.2485905962458012E-3</v>
      </c>
    </row>
    <row r="29" spans="1:25" ht="11.25" customHeight="1" x14ac:dyDescent="0.2">
      <c r="E29" s="229"/>
      <c r="F29" s="229"/>
      <c r="G29" s="229"/>
      <c r="H29" s="229"/>
      <c r="I29" s="86"/>
      <c r="L29" s="86"/>
      <c r="M29" s="86"/>
      <c r="V29" s="114">
        <f>_xll.qlCalendarAdvance(Calendar,V28,"1D","f")</f>
        <v>42835</v>
      </c>
      <c r="W29" s="100">
        <f t="shared" si="2"/>
        <v>0.1095890410958904</v>
      </c>
      <c r="X29" s="112">
        <f>_xll.qlInterpolationInterpolate(B6Minterpolation,V29,TRUE)</f>
        <v>1.2444019910266022E-3</v>
      </c>
      <c r="Y29" s="112">
        <f>_xll.qlInterpolationInterpolate(AbcdInterpolation6M,W29,TRUE)</f>
        <v>1.258080539060372E-3</v>
      </c>
    </row>
    <row r="30" spans="1:25" ht="11.25" customHeight="1" x14ac:dyDescent="0.2">
      <c r="E30" s="229"/>
      <c r="F30" s="229"/>
      <c r="G30" s="229"/>
      <c r="H30" s="229"/>
      <c r="I30" s="86"/>
      <c r="L30" s="86"/>
      <c r="M30" s="86"/>
      <c r="V30" s="114">
        <f>_xll.qlCalendarAdvance(Calendar,V29,"1D","f")</f>
        <v>42836</v>
      </c>
      <c r="W30" s="100">
        <f t="shared" si="2"/>
        <v>0.11232876712328767</v>
      </c>
      <c r="X30" s="112">
        <f>_xll.qlInterpolationInterpolate(B6Minterpolation,V30,TRUE)</f>
        <v>1.2466049555498388E-3</v>
      </c>
      <c r="Y30" s="112">
        <f>_xll.qlInterpolationInterpolate(AbcdInterpolation6M,W30,TRUE)</f>
        <v>1.2612271032370849E-3</v>
      </c>
    </row>
    <row r="31" spans="1:25" ht="11.25" customHeight="1" x14ac:dyDescent="0.2">
      <c r="E31" s="229"/>
      <c r="F31" s="229"/>
      <c r="G31" s="229"/>
      <c r="H31" s="229"/>
      <c r="I31" s="86"/>
      <c r="L31" s="86"/>
      <c r="M31" s="86"/>
      <c r="V31" s="114">
        <f>_xll.qlCalendarAdvance(Calendar,V30,"1D","f")</f>
        <v>42837</v>
      </c>
      <c r="W31" s="100">
        <f t="shared" si="2"/>
        <v>0.11506849315068493</v>
      </c>
      <c r="X31" s="112">
        <f>_xll.qlInterpolationInterpolate(B6Minterpolation,V31,TRUE)</f>
        <v>1.248827536619054E-3</v>
      </c>
      <c r="Y31" s="112">
        <f>_xll.qlInterpolationInterpolate(AbcdInterpolation6M,W31,TRUE)</f>
        <v>1.2643652879688961E-3</v>
      </c>
    </row>
    <row r="32" spans="1:25" ht="11.25" customHeight="1" x14ac:dyDescent="0.2">
      <c r="E32" s="229"/>
      <c r="F32" s="229"/>
      <c r="G32" s="229"/>
      <c r="H32" s="229"/>
      <c r="I32" s="86"/>
      <c r="L32" s="86"/>
      <c r="M32" s="86"/>
      <c r="V32" s="114">
        <f>_xll.qlCalendarAdvance(Calendar,V31,"1D","f")</f>
        <v>42838</v>
      </c>
      <c r="W32" s="100">
        <f t="shared" si="2"/>
        <v>0.11780821917808219</v>
      </c>
      <c r="X32" s="112">
        <f>_xll.qlInterpolationInterpolate(B6Minterpolation,V32,TRUE)</f>
        <v>1.2510721863024947E-3</v>
      </c>
      <c r="Y32" s="112">
        <f>_xll.qlInterpolationInterpolate(AbcdInterpolation6M,W32,TRUE)</f>
        <v>1.2674950915379118E-3</v>
      </c>
    </row>
    <row r="33" spans="5:25" ht="11.25" customHeight="1" x14ac:dyDescent="0.2">
      <c r="E33" s="229"/>
      <c r="F33" s="229"/>
      <c r="G33" s="229"/>
      <c r="H33" s="229"/>
      <c r="I33" s="86"/>
      <c r="L33" s="86"/>
      <c r="M33" s="86"/>
      <c r="V33" s="114">
        <f>_xll.qlCalendarAdvance(Calendar,V32,"1D","f")</f>
        <v>42843</v>
      </c>
      <c r="W33" s="100">
        <f t="shared" si="2"/>
        <v>0.13150684931506848</v>
      </c>
      <c r="X33" s="112">
        <f>_xll.qlInterpolationInterpolate(B6Minterpolation,V33,TRUE)</f>
        <v>1.2627122863217407E-3</v>
      </c>
      <c r="Y33" s="112">
        <f>_xll.qlInterpolationInterpolate(AbcdInterpolation6M,W33,TRUE)</f>
        <v>1.283018372547233E-3</v>
      </c>
    </row>
    <row r="34" spans="5:25" ht="11.25" customHeight="1" x14ac:dyDescent="0.2">
      <c r="E34" s="229"/>
      <c r="F34" s="229"/>
      <c r="G34" s="229"/>
      <c r="H34" s="229"/>
      <c r="I34" s="86"/>
      <c r="L34" s="86"/>
      <c r="M34" s="86"/>
      <c r="V34" s="114">
        <f>_xll.qlCalendarAdvance(Calendar,V33,"1D","f")</f>
        <v>42844</v>
      </c>
      <c r="W34" s="100">
        <f t="shared" si="2"/>
        <v>0.13424657534246576</v>
      </c>
      <c r="X34" s="112">
        <f>_xll.qlInterpolationInterpolate(B6Minterpolation,V34,TRUE)</f>
        <v>1.2651408411237291E-3</v>
      </c>
      <c r="Y34" s="112">
        <f>_xll.qlInterpolationInterpolate(AbcdInterpolation6M,W34,TRUE)</f>
        <v>1.286097885301412E-3</v>
      </c>
    </row>
    <row r="35" spans="5:25" ht="11.25" customHeight="1" x14ac:dyDescent="0.2">
      <c r="E35" s="229"/>
      <c r="F35" s="229"/>
      <c r="G35" s="229"/>
      <c r="H35" s="229"/>
      <c r="I35" s="86"/>
      <c r="L35" s="86"/>
      <c r="M35" s="86"/>
      <c r="V35" s="114">
        <f>_xll.qlCalendarAdvance(Calendar,V34,"1D","f")</f>
        <v>42845</v>
      </c>
      <c r="W35" s="100">
        <f t="shared" si="2"/>
        <v>0.13698630136986301</v>
      </c>
      <c r="X35" s="112">
        <f>_xll.qlInterpolationInterpolate(B6Minterpolation,V35,TRUE)</f>
        <v>1.2676086290176747E-3</v>
      </c>
      <c r="Y35" s="112">
        <f>_xll.qlInterpolationInterpolate(AbcdInterpolation6M,W35,TRUE)</f>
        <v>1.2891690207005656E-3</v>
      </c>
    </row>
    <row r="36" spans="5:25" ht="11.25" customHeight="1" x14ac:dyDescent="0.2">
      <c r="E36" s="229"/>
      <c r="F36" s="229"/>
      <c r="G36" s="229"/>
      <c r="H36" s="229"/>
      <c r="I36" s="86"/>
      <c r="L36" s="86"/>
      <c r="M36" s="86"/>
      <c r="V36" s="114">
        <f>_xll.qlCalendarAdvance(Calendar,V35,"1D","f")</f>
        <v>42846</v>
      </c>
      <c r="W36" s="100">
        <f t="shared" si="2"/>
        <v>0.13972602739726028</v>
      </c>
      <c r="X36" s="112">
        <f>_xll.qlInterpolationInterpolate(B6Minterpolation,V36,TRUE)</f>
        <v>1.2701181020718245E-3</v>
      </c>
      <c r="Y36" s="112">
        <f>_xll.qlInterpolationInterpolate(AbcdInterpolation6M,W36,TRUE)</f>
        <v>1.2922317813908728E-3</v>
      </c>
    </row>
    <row r="37" spans="5:25" ht="11.25" customHeight="1" x14ac:dyDescent="0.2">
      <c r="E37" s="229"/>
      <c r="F37" s="229"/>
      <c r="G37" s="229"/>
      <c r="H37" s="229"/>
      <c r="I37" s="86"/>
      <c r="L37" s="86"/>
      <c r="M37" s="86"/>
      <c r="V37" s="114">
        <f>_xll.qlCalendarAdvance(Calendar,V36,"1D","f")</f>
        <v>42849</v>
      </c>
      <c r="W37" s="100">
        <f t="shared" si="2"/>
        <v>0.14794520547945206</v>
      </c>
      <c r="X37" s="112">
        <f>_xll.qlInterpolationInterpolate(B6Minterpolation,V37,TRUE)</f>
        <v>1.2779211528779716E-3</v>
      </c>
      <c r="Y37" s="112">
        <f>_xll.qlInterpolationInterpolate(AbcdInterpolation6M,W37,TRUE)</f>
        <v>1.3013698489180209E-3</v>
      </c>
    </row>
    <row r="38" spans="5:25" ht="11.25" customHeight="1" x14ac:dyDescent="0.2">
      <c r="E38" s="229"/>
      <c r="F38" s="229"/>
      <c r="G38" s="229"/>
      <c r="H38" s="229"/>
      <c r="I38" s="86"/>
      <c r="L38" s="86"/>
      <c r="M38" s="86"/>
      <c r="V38" s="114">
        <f>_xll.qlCalendarAdvance(Calendar,V37,"1D","f")</f>
        <v>42850</v>
      </c>
      <c r="W38" s="100">
        <f t="shared" si="2"/>
        <v>0.15068493150684931</v>
      </c>
      <c r="X38" s="112">
        <f>_xll.qlInterpolationInterpolate(B6Minterpolation,V38,TRUE)</f>
        <v>1.2806218872554111E-3</v>
      </c>
      <c r="Y38" s="112">
        <f>_xll.qlInterpolationInterpolate(AbcdInterpolation6M,W38,TRUE)</f>
        <v>1.3043991468163661E-3</v>
      </c>
    </row>
    <row r="39" spans="5:25" ht="11.25" customHeight="1" x14ac:dyDescent="0.2">
      <c r="E39" s="229"/>
      <c r="F39" s="229"/>
      <c r="G39" s="229"/>
      <c r="H39" s="229"/>
      <c r="I39" s="86"/>
      <c r="L39" s="86"/>
      <c r="M39" s="86"/>
      <c r="V39" s="114">
        <f>_xll.qlCalendarAdvance(Calendar,V38,"1D","f")</f>
        <v>42851</v>
      </c>
      <c r="W39" s="100">
        <f t="shared" si="2"/>
        <v>0.15342465753424658</v>
      </c>
      <c r="X39" s="112">
        <f>_xll.qlInterpolationInterpolate(B6Minterpolation,V39,TRUE)</f>
        <v>1.2833765671342911E-3</v>
      </c>
      <c r="Y39" s="112">
        <f>_xll.qlInterpolationInterpolate(AbcdInterpolation6M,W39,TRUE)</f>
        <v>1.3074200903220746E-3</v>
      </c>
    </row>
    <row r="40" spans="5:25" ht="11.25" customHeight="1" x14ac:dyDescent="0.2">
      <c r="E40" s="229"/>
      <c r="F40" s="229"/>
      <c r="G40" s="229"/>
      <c r="H40" s="229"/>
      <c r="I40" s="86"/>
      <c r="L40" s="86"/>
      <c r="M40" s="86"/>
      <c r="V40" s="114">
        <f>_xll.qlCalendarAdvance(Calendar,V39,"1D","f")</f>
        <v>42852</v>
      </c>
      <c r="W40" s="100">
        <f t="shared" si="2"/>
        <v>0.15616438356164383</v>
      </c>
      <c r="X40" s="112">
        <f>_xll.qlInterpolationInterpolate(B6Minterpolation,V40,TRUE)</f>
        <v>1.2861876445828594E-3</v>
      </c>
      <c r="Y40" s="112">
        <f>_xll.qlInterpolationInterpolate(AbcdInterpolation6M,W40,TRUE)</f>
        <v>1.310432684836178E-3</v>
      </c>
    </row>
    <row r="41" spans="5:25" ht="11.25" customHeight="1" x14ac:dyDescent="0.2">
      <c r="E41" s="229"/>
      <c r="F41" s="229"/>
      <c r="G41" s="229"/>
      <c r="H41" s="229"/>
      <c r="I41" s="86"/>
      <c r="L41" s="86"/>
      <c r="M41" s="86"/>
      <c r="V41" s="114">
        <f>_xll.qlCalendarAdvance(Calendar,V40,"1D","f")</f>
        <v>42853</v>
      </c>
      <c r="W41" s="100">
        <f t="shared" si="2"/>
        <v>0.15890410958904111</v>
      </c>
      <c r="X41" s="112">
        <f>_xll.qlInterpolationInterpolate(B6Minterpolation,V41,TRUE)</f>
        <v>1.2890575716693628E-3</v>
      </c>
      <c r="Y41" s="112">
        <f>_xll.qlInterpolationInterpolate(AbcdInterpolation6M,W41,TRUE)</f>
        <v>1.313436936180397E-3</v>
      </c>
    </row>
    <row r="42" spans="5:25" ht="11.25" customHeight="1" x14ac:dyDescent="0.2">
      <c r="E42" s="229"/>
      <c r="F42" s="229"/>
      <c r="G42" s="229"/>
      <c r="H42" s="229"/>
      <c r="I42" s="86"/>
      <c r="L42" s="86"/>
      <c r="M42" s="86"/>
      <c r="V42" s="114">
        <f>_xll.qlCalendarAdvance(Calendar,V41,"1D","f")</f>
        <v>42857</v>
      </c>
      <c r="W42" s="100">
        <f t="shared" si="2"/>
        <v>0.16986301369863013</v>
      </c>
      <c r="X42" s="112">
        <f>_xll.qlInterpolationInterpolate(B6Minterpolation,V42,TRUE)</f>
        <v>1.3011748177596755E-3</v>
      </c>
      <c r="Y42" s="112">
        <f>_xll.qlInterpolationInterpolate(AbcdInterpolation6M,W42,TRUE)</f>
        <v>1.3253706404446218E-3</v>
      </c>
    </row>
    <row r="43" spans="5:25" ht="11.25" customHeight="1" x14ac:dyDescent="0.2">
      <c r="E43" s="229"/>
      <c r="F43" s="229"/>
      <c r="G43" s="229"/>
      <c r="H43" s="229"/>
      <c r="I43" s="86"/>
      <c r="L43" s="86"/>
      <c r="M43" s="86"/>
      <c r="V43" s="114">
        <f>_xll.qlCalendarAdvance(Calendar,V42,"1D","f")</f>
        <v>42858</v>
      </c>
      <c r="W43" s="100">
        <f t="shared" si="2"/>
        <v>0.17260273972602741</v>
      </c>
      <c r="X43" s="112">
        <f>_xll.qlInterpolationInterpolate(B6Minterpolation,V43,TRUE)</f>
        <v>1.3043757740595651E-3</v>
      </c>
      <c r="Y43" s="112">
        <f>_xll.qlInterpolationInterpolate(AbcdInterpolation6M,W43,TRUE)</f>
        <v>1.3283332772787179E-3</v>
      </c>
    </row>
    <row r="44" spans="5:25" ht="11.25" customHeight="1" x14ac:dyDescent="0.2">
      <c r="E44" s="229"/>
      <c r="F44" s="229"/>
      <c r="G44" s="229"/>
      <c r="H44" s="229"/>
      <c r="I44" s="86"/>
      <c r="L44" s="86"/>
      <c r="M44" s="86"/>
      <c r="V44" s="114">
        <f>_xll.qlCalendarAdvance(Calendar,V43,"1D","f")</f>
        <v>42859</v>
      </c>
      <c r="W44" s="100">
        <f t="shared" si="2"/>
        <v>0.17534246575342466</v>
      </c>
      <c r="X44" s="112">
        <f>_xll.qlInterpolationInterpolate(B6Minterpolation,V44,TRUE)</f>
        <v>1.3076493279128166E-3</v>
      </c>
      <c r="Y44" s="112">
        <f>_xll.qlInterpolationInterpolate(AbcdInterpolation6M,W44,TRUE)</f>
        <v>1.3312876141448966E-3</v>
      </c>
    </row>
    <row r="45" spans="5:25" ht="11.25" customHeight="1" x14ac:dyDescent="0.2">
      <c r="E45" s="229"/>
      <c r="F45" s="229"/>
      <c r="G45" s="229"/>
      <c r="H45" s="229"/>
      <c r="I45" s="86"/>
      <c r="L45" s="86"/>
      <c r="M45" s="86"/>
      <c r="V45" s="114">
        <f>_xll.qlCalendarAdvance(Calendar,V44,"1D","f")</f>
        <v>42860</v>
      </c>
      <c r="W45" s="100">
        <f t="shared" si="2"/>
        <v>0.17808219178082191</v>
      </c>
      <c r="X45" s="112">
        <f>_xll.qlInterpolationInterpolate(B6Minterpolation,V45,TRUE)</f>
        <v>1.3109931089173923E-3</v>
      </c>
      <c r="Y45" s="112">
        <f>_xll.qlInterpolationInterpolate(AbcdInterpolation6M,W45,TRUE)</f>
        <v>1.3342336595329287E-3</v>
      </c>
    </row>
    <row r="46" spans="5:25" ht="11.25" customHeight="1" x14ac:dyDescent="0.2">
      <c r="E46" s="229"/>
      <c r="F46" s="229"/>
      <c r="G46" s="229"/>
      <c r="H46" s="229"/>
      <c r="I46" s="86"/>
      <c r="L46" s="86"/>
      <c r="M46" s="86"/>
      <c r="V46" s="114">
        <f>_xll.qlCalendarAdvance(Calendar,V45,"1D","f")</f>
        <v>42863</v>
      </c>
      <c r="W46" s="100">
        <f t="shared" si="2"/>
        <v>0.18630136986301371</v>
      </c>
      <c r="X46" s="112">
        <f>_xll.qlInterpolationInterpolate(B6Minterpolation,V46,TRUE)</f>
        <v>1.3214124658781116E-3</v>
      </c>
      <c r="Y46" s="112">
        <f>_xll.qlInterpolationInterpolate(AbcdInterpolation6M,W46,TRUE)</f>
        <v>1.3430221368373374E-3</v>
      </c>
    </row>
    <row r="47" spans="5:25" ht="11.25" customHeight="1" x14ac:dyDescent="0.2">
      <c r="E47" s="229"/>
      <c r="F47" s="229"/>
      <c r="G47" s="229"/>
      <c r="H47" s="229"/>
      <c r="I47" s="86"/>
      <c r="L47" s="86"/>
      <c r="M47" s="86"/>
      <c r="V47" s="114">
        <f>_xll.qlCalendarAdvance(Calendar,V46,"1D","f")</f>
        <v>42864</v>
      </c>
      <c r="W47" s="100">
        <f t="shared" si="2"/>
        <v>0.18904109589041096</v>
      </c>
      <c r="X47" s="112">
        <f>_xll.qlInterpolationInterpolate(B6Minterpolation,V47,TRUE)</f>
        <v>1.3250038065270317E-3</v>
      </c>
      <c r="Y47" s="112">
        <f>_xll.qlInterpolationInterpolate(AbcdInterpolation6M,W47,TRUE)</f>
        <v>1.3459351079662797E-3</v>
      </c>
    </row>
    <row r="48" spans="5:25" ht="11.25" customHeight="1" x14ac:dyDescent="0.2">
      <c r="E48" s="229"/>
      <c r="F48" s="229"/>
      <c r="G48" s="229"/>
      <c r="H48" s="229"/>
      <c r="I48" s="86"/>
      <c r="L48" s="86"/>
      <c r="M48" s="86"/>
      <c r="V48" s="114">
        <f>_xll.qlCalendarAdvance(Calendar,V47,"1D","f")</f>
        <v>42865</v>
      </c>
      <c r="W48" s="100">
        <f t="shared" si="2"/>
        <v>0.19178082191780821</v>
      </c>
      <c r="X48" s="112">
        <f>_xll.qlInterpolationInterpolate(B6Minterpolation,V48,TRUE)</f>
        <v>1.3286486998468003E-3</v>
      </c>
      <c r="Y48" s="112">
        <f>_xll.qlInterpolationInterpolate(AbcdInterpolation6M,W48,TRUE)</f>
        <v>1.3488398350592473E-3</v>
      </c>
    </row>
    <row r="49" spans="5:25" ht="11.25" customHeight="1" x14ac:dyDescent="0.2">
      <c r="E49" s="229"/>
      <c r="F49" s="229"/>
      <c r="G49" s="229"/>
      <c r="H49" s="229"/>
      <c r="I49" s="86"/>
      <c r="L49" s="86"/>
      <c r="M49" s="86"/>
      <c r="V49" s="114">
        <f>_xll.qlCalendarAdvance(Calendar,V48,"1D","f")</f>
        <v>42866</v>
      </c>
      <c r="W49" s="100">
        <f t="shared" si="2"/>
        <v>0.19452054794520549</v>
      </c>
      <c r="X49" s="112">
        <f>_xll.qlInterpolationInterpolate(B6Minterpolation,V49,TRUE)</f>
        <v>1.3323438109413221E-3</v>
      </c>
      <c r="Y49" s="112">
        <f>_xll.qlInterpolationInterpolate(AbcdInterpolation6M,W49,TRUE)</f>
        <v>1.3517363285455593E-3</v>
      </c>
    </row>
    <row r="50" spans="5:25" ht="11.25" customHeight="1" x14ac:dyDescent="0.2">
      <c r="E50" s="229"/>
      <c r="F50" s="229"/>
      <c r="G50" s="229"/>
      <c r="H50" s="229"/>
      <c r="I50" s="86"/>
      <c r="L50" s="86"/>
      <c r="M50" s="86"/>
      <c r="V50" s="114">
        <f>_xll.qlCalendarAdvance(Calendar,V49,"1D","f")</f>
        <v>42867</v>
      </c>
      <c r="W50" s="100">
        <f t="shared" si="2"/>
        <v>0.19726027397260273</v>
      </c>
      <c r="X50" s="112">
        <f>_xll.qlInterpolationInterpolate(B6Minterpolation,V50,TRUE)</f>
        <v>1.3360858049145019E-3</v>
      </c>
      <c r="Y50" s="112">
        <f>_xll.qlInterpolationInterpolate(AbcdInterpolation6M,W50,TRUE)</f>
        <v>1.3546245991497439E-3</v>
      </c>
    </row>
    <row r="51" spans="5:25" ht="11.25" customHeight="1" x14ac:dyDescent="0.2">
      <c r="E51" s="229"/>
      <c r="F51" s="229"/>
      <c r="G51" s="229"/>
      <c r="H51" s="229"/>
      <c r="I51" s="86"/>
      <c r="L51" s="86"/>
      <c r="M51" s="86"/>
      <c r="V51" s="114">
        <f>_xll.qlCalendarAdvance(Calendar,V50,"1D","f")</f>
        <v>42870</v>
      </c>
      <c r="W51" s="100">
        <f t="shared" si="2"/>
        <v>0.20547945205479451</v>
      </c>
      <c r="X51" s="112">
        <f>_xll.qlInterpolationInterpolate(B6Minterpolation,V51,TRUE)</f>
        <v>1.3475597351450381E-3</v>
      </c>
      <c r="Y51" s="112">
        <f>_xll.qlInterpolationInterpolate(AbcdInterpolation6M,W51,TRUE)</f>
        <v>1.3632401851857035E-3</v>
      </c>
    </row>
    <row r="52" spans="5:25" ht="11.25" customHeight="1" x14ac:dyDescent="0.2">
      <c r="E52" s="229"/>
      <c r="F52" s="229"/>
      <c r="G52" s="229"/>
      <c r="H52" s="229"/>
      <c r="I52" s="86"/>
      <c r="L52" s="86"/>
      <c r="M52" s="86"/>
      <c r="V52" s="114">
        <f>_xll.qlCalendarAdvance(Calendar,V51,"1D","f")</f>
        <v>42871</v>
      </c>
      <c r="W52" s="100">
        <f t="shared" si="2"/>
        <v>0.20821917808219179</v>
      </c>
      <c r="X52" s="112">
        <f>_xll.qlInterpolationInterpolate(B6Minterpolation,V52,TRUE)</f>
        <v>1.3514559116718989E-3</v>
      </c>
      <c r="Y52" s="112">
        <f>_xll.qlInterpolationInterpolate(AbcdInterpolation6M,W52,TRUE)</f>
        <v>1.3660956771502553E-3</v>
      </c>
    </row>
    <row r="53" spans="5:25" x14ac:dyDescent="0.2">
      <c r="V53" s="114">
        <f>_xll.qlCalendarAdvance(Calendar,V52,"1D","f")</f>
        <v>42872</v>
      </c>
      <c r="W53" s="100">
        <f t="shared" si="2"/>
        <v>0.21095890410958903</v>
      </c>
      <c r="X53" s="112">
        <f>_xll.qlInterpolationInterpolate(B6Minterpolation,V53,TRUE)</f>
        <v>1.3553822965969419E-3</v>
      </c>
      <c r="Y53" s="112">
        <f>_xll.qlInterpolationInterpolate(AbcdInterpolation6M,W53,TRUE)</f>
        <v>1.3689430040251119E-3</v>
      </c>
    </row>
    <row r="54" spans="5:25" x14ac:dyDescent="0.2">
      <c r="V54" s="114">
        <f>_xll.qlCalendarAdvance(Calendar,V53,"1D","f")</f>
        <v>42873</v>
      </c>
      <c r="W54" s="100">
        <f t="shared" si="2"/>
        <v>0.21369863013698631</v>
      </c>
      <c r="X54" s="112">
        <f>_xll.qlInterpolationInterpolate(B6Minterpolation,V54,TRUE)</f>
        <v>1.359335555024072E-3</v>
      </c>
      <c r="Y54" s="112">
        <f>_xll.qlInterpolationInterpolate(AbcdInterpolation6M,W54,TRUE)</f>
        <v>1.3717821781532719E-3</v>
      </c>
    </row>
    <row r="55" spans="5:25" x14ac:dyDescent="0.2">
      <c r="V55" s="114">
        <f>_xll.qlCalendarAdvance(Calendar,V54,"1D","f")</f>
        <v>42874</v>
      </c>
      <c r="W55" s="100">
        <f t="shared" si="2"/>
        <v>0.21643835616438356</v>
      </c>
      <c r="X55" s="112">
        <f>_xll.qlInterpolationInterpolate(B6Minterpolation,V55,TRUE)</f>
        <v>1.3633123520571944E-3</v>
      </c>
      <c r="Y55" s="112">
        <f>_xll.qlInterpolationInterpolate(AbcdInterpolation6M,W55,TRUE)</f>
        <v>1.3746132121234731E-3</v>
      </c>
    </row>
    <row r="56" spans="5:25" x14ac:dyDescent="0.2">
      <c r="V56" s="114">
        <f>_xll.qlCalendarAdvance(Calendar,V55,"1D","f")</f>
        <v>42877</v>
      </c>
      <c r="W56" s="100">
        <f t="shared" si="2"/>
        <v>0.22465753424657534</v>
      </c>
      <c r="X56" s="112">
        <f>_xll.qlInterpolationInterpolate(B6Minterpolation,V56,TRUE)</f>
        <v>1.3753506258315628E-3</v>
      </c>
      <c r="Y56" s="112">
        <f>_xll.qlInterpolationInterpolate(AbcdInterpolation6M,W56,TRUE)</f>
        <v>1.3830576025250262E-3</v>
      </c>
    </row>
    <row r="57" spans="5:25" x14ac:dyDescent="0.2">
      <c r="V57" s="114">
        <f>_xll.qlCalendarAdvance(Calendar,V56,"1D","f")</f>
        <v>42878</v>
      </c>
      <c r="W57" s="100">
        <f t="shared" si="2"/>
        <v>0.22739726027397261</v>
      </c>
      <c r="X57" s="112">
        <f>_xll.qlInterpolationInterpolate(B6Minterpolation,V57,TRUE)</f>
        <v>1.3793882283277023E-3</v>
      </c>
      <c r="Y57" s="112">
        <f>_xll.qlInterpolationInterpolate(AbcdInterpolation6M,W57,TRUE)</f>
        <v>1.3858562064422517E-3</v>
      </c>
    </row>
    <row r="58" spans="5:25" x14ac:dyDescent="0.2">
      <c r="V58" s="114">
        <f>_xll.qlCalendarAdvance(Calendar,V57,"1D","f")</f>
        <v>42879</v>
      </c>
      <c r="W58" s="100">
        <f t="shared" si="2"/>
        <v>0.23013698630136986</v>
      </c>
      <c r="X58" s="112">
        <f>_xll.qlInterpolationInterpolate(B6Minterpolation,V58,TRUE)</f>
        <v>1.3834326949493582E-3</v>
      </c>
      <c r="Y58" s="112">
        <f>_xll.qlInterpolationInterpolate(AbcdInterpolation6M,W58,TRUE)</f>
        <v>1.3886467366099279E-3</v>
      </c>
    </row>
    <row r="59" spans="5:25" x14ac:dyDescent="0.2">
      <c r="V59" s="114">
        <f>_xll.qlCalendarAdvance(Calendar,V58,"1D","f")</f>
        <v>42880</v>
      </c>
      <c r="W59" s="100">
        <f t="shared" si="2"/>
        <v>0.23287671232876711</v>
      </c>
      <c r="X59" s="112">
        <f>_xll.qlInterpolationInterpolate(B6Minterpolation,V59,TRUE)</f>
        <v>1.3874806908004355E-3</v>
      </c>
      <c r="Y59" s="112">
        <f>_xll.qlInterpolationInterpolate(AbcdInterpolation6M,W59,TRUE)</f>
        <v>1.3914292069603081E-3</v>
      </c>
    </row>
    <row r="60" spans="5:25" x14ac:dyDescent="0.2">
      <c r="V60" s="114">
        <f>_xll.qlCalendarAdvance(Calendar,V59,"1D","f")</f>
        <v>42881</v>
      </c>
      <c r="W60" s="100">
        <f t="shared" si="2"/>
        <v>0.23561643835616439</v>
      </c>
      <c r="X60" s="112">
        <f>_xll.qlInterpolationInterpolate(B6Minterpolation,V60,TRUE)</f>
        <v>1.3915288809848388E-3</v>
      </c>
      <c r="Y60" s="112">
        <f>_xll.qlInterpolationInterpolate(AbcdInterpolation6M,W60,TRUE)</f>
        <v>1.3942036316289886E-3</v>
      </c>
    </row>
    <row r="61" spans="5:25" x14ac:dyDescent="0.2">
      <c r="V61" s="114">
        <f>_xll.qlCalendarAdvance(Calendar,V60,"1D","f")</f>
        <v>42884</v>
      </c>
      <c r="W61" s="100">
        <f t="shared" si="2"/>
        <v>0.24383561643835616</v>
      </c>
      <c r="X61" s="112">
        <f>_xll.qlInterpolationInterpolate(B6Minterpolation,V61,TRUE)</f>
        <v>1.4036412685770547E-3</v>
      </c>
      <c r="Y61" s="112">
        <f>_xll.qlInterpolationInterpolate(AbcdInterpolation6M,W61,TRUE)</f>
        <v>1.402478775835372E-3</v>
      </c>
    </row>
    <row r="62" spans="5:25" x14ac:dyDescent="0.2">
      <c r="V62" s="114">
        <f>_xll.qlCalendarAdvance(Calendar,V61,"1D","f")</f>
        <v>42885</v>
      </c>
      <c r="W62" s="100">
        <f t="shared" si="2"/>
        <v>0.24657534246575341</v>
      </c>
      <c r="X62" s="112">
        <f>_xll.qlInterpolationInterpolate(B6Minterpolation,V62,TRUE)</f>
        <v>1.4076568871338115E-3</v>
      </c>
      <c r="Y62" s="112">
        <f>_xll.qlInterpolationInterpolate(AbcdInterpolation6M,W62,TRUE)</f>
        <v>1.4052211630085616E-3</v>
      </c>
    </row>
    <row r="63" spans="5:25" x14ac:dyDescent="0.2">
      <c r="V63" s="114">
        <f>_xll.qlCalendarAdvance(Calendar,V62,"1D","f")</f>
        <v>42886</v>
      </c>
      <c r="W63" s="100">
        <f t="shared" si="2"/>
        <v>0.24931506849315069</v>
      </c>
      <c r="X63" s="112">
        <f>_xll.qlInterpolationInterpolate(B6Minterpolation,V63,TRUE)</f>
        <v>1.4116560255434186E-3</v>
      </c>
      <c r="Y63" s="112">
        <f>_xll.qlInterpolationInterpolate(AbcdInterpolation6M,W63,TRUE)</f>
        <v>1.4079555780383026E-3</v>
      </c>
    </row>
    <row r="64" spans="5:25" x14ac:dyDescent="0.2">
      <c r="V64" s="114">
        <f>_xll.qlCalendarAdvance(Calendar,V63,"1D","f")</f>
        <v>42887</v>
      </c>
      <c r="W64" s="100">
        <f t="shared" si="2"/>
        <v>0.25205479452054796</v>
      </c>
      <c r="X64" s="112">
        <f>_xll.qlInterpolationInterpolate(B6Minterpolation,V64,TRUE)</f>
        <v>1.4156353489097812E-3</v>
      </c>
      <c r="Y64" s="112">
        <f>_xll.qlInterpolationInterpolate(AbcdInterpolation6M,W64,TRUE)</f>
        <v>1.4106820361679435E-3</v>
      </c>
    </row>
    <row r="65" spans="22:25" x14ac:dyDescent="0.2">
      <c r="V65" s="114">
        <f>_xll.qlCalendarAdvance(Calendar,V64,"1D","f")</f>
        <v>42888</v>
      </c>
      <c r="W65" s="100">
        <f t="shared" si="2"/>
        <v>0.25479452054794521</v>
      </c>
      <c r="X65" s="112">
        <f>_xll.qlInterpolationInterpolate(B6Minterpolation,V65,TRUE)</f>
        <v>1.419591522336804E-3</v>
      </c>
      <c r="Y65" s="112">
        <f>_xll.qlInterpolationInterpolate(AbcdInterpolation6M,W65,TRUE)</f>
        <v>1.4134005528077982E-3</v>
      </c>
    </row>
    <row r="66" spans="22:25" x14ac:dyDescent="0.2">
      <c r="V66" s="114">
        <f>_xll.qlCalendarAdvance(Calendar,V65,"1D","f")</f>
        <v>42891</v>
      </c>
      <c r="W66" s="100">
        <f t="shared" si="2"/>
        <v>0.26301369863013696</v>
      </c>
      <c r="X66" s="112">
        <f>_xll.qlInterpolationInterpolate(B6Minterpolation,V66,TRUE)</f>
        <v>1.4312877940208823E-3</v>
      </c>
      <c r="Y66" s="112">
        <f>_xll.qlInterpolationInterpolate(AbcdInterpolation6M,W66,TRUE)</f>
        <v>1.4215086102970364E-3</v>
      </c>
    </row>
    <row r="67" spans="22:25" x14ac:dyDescent="0.2">
      <c r="V67" s="114">
        <f>_xll.qlCalendarAdvance(Calendar,V66,"1D","f")</f>
        <v>42892</v>
      </c>
      <c r="W67" s="100">
        <f t="shared" ref="W67:W130" si="11">(V67-EvaluationDate)/365</f>
        <v>0.26575342465753427</v>
      </c>
      <c r="X67" s="112">
        <f>_xll.qlInterpolationInterpolate(B6Minterpolation,V67,TRUE)</f>
        <v>1.4351186266812071E-3</v>
      </c>
      <c r="Y67" s="112">
        <f>_xll.qlInterpolationInterpolate(AbcdInterpolation6M,W67,TRUE)</f>
        <v>1.4241955182557561E-3</v>
      </c>
    </row>
    <row r="68" spans="22:25" x14ac:dyDescent="0.2">
      <c r="V68" s="114">
        <f>_xll.qlCalendarAdvance(Calendar,V67,"1D","f")</f>
        <v>42893</v>
      </c>
      <c r="W68" s="100">
        <f t="shared" si="11"/>
        <v>0.26849315068493151</v>
      </c>
      <c r="X68" s="112">
        <f>_xll.qlInterpolationInterpolate(B6Minterpolation,V68,TRUE)</f>
        <v>1.4389132826313907E-3</v>
      </c>
      <c r="Y68" s="112">
        <f>_xll.qlInterpolationInterpolate(AbcdInterpolation6M,W68,TRUE)</f>
        <v>1.4268745641177053E-3</v>
      </c>
    </row>
    <row r="69" spans="22:25" x14ac:dyDescent="0.2">
      <c r="V69" s="114">
        <f>_xll.qlCalendarAdvance(Calendar,V68,"1D","f")</f>
        <v>42894</v>
      </c>
      <c r="W69" s="100">
        <f t="shared" si="11"/>
        <v>0.27123287671232876</v>
      </c>
      <c r="X69" s="112">
        <f>_xll.qlInterpolationInterpolate(B6Minterpolation,V69,TRUE)</f>
        <v>1.4426720746850124E-3</v>
      </c>
      <c r="Y69" s="112">
        <f>_xll.qlInterpolationInterpolate(AbcdInterpolation6M,W69,TRUE)</f>
        <v>1.4295457641985497E-3</v>
      </c>
    </row>
    <row r="70" spans="22:25" x14ac:dyDescent="0.2">
      <c r="V70" s="114">
        <f>_xll.qlCalendarAdvance(Calendar,V69,"1D","f")</f>
        <v>42895</v>
      </c>
      <c r="W70" s="100">
        <f t="shared" si="11"/>
        <v>0.27397260273972601</v>
      </c>
      <c r="X70" s="112">
        <f>_xll.qlInterpolationInterpolate(B6Minterpolation,V70,TRUE)</f>
        <v>1.4463953156556512E-3</v>
      </c>
      <c r="Y70" s="112">
        <f>_xll.qlInterpolationInterpolate(AbcdInterpolation6M,W70,TRUE)</f>
        <v>1.4322091349496739E-3</v>
      </c>
    </row>
    <row r="71" spans="22:25" x14ac:dyDescent="0.2">
      <c r="V71" s="114">
        <f>_xll.qlCalendarAdvance(Calendar,V70,"1D","f")</f>
        <v>42898</v>
      </c>
      <c r="W71" s="100">
        <f t="shared" si="11"/>
        <v>0.28219178082191781</v>
      </c>
      <c r="X71" s="112">
        <f>_xll.qlInterpolationInterpolate(B6Minterpolation,V71,TRUE)</f>
        <v>1.4573548602054634E-3</v>
      </c>
      <c r="Y71" s="112">
        <f>_xll.qlInterpolationInterpolate(AbcdInterpolation6M,W71,TRUE)</f>
        <v>1.4401524376891318E-3</v>
      </c>
    </row>
    <row r="72" spans="22:25" x14ac:dyDescent="0.2">
      <c r="V72" s="114">
        <f>_xll.qlCalendarAdvance(Calendar,V71,"1D","f")</f>
        <v>42899</v>
      </c>
      <c r="W72" s="100">
        <f t="shared" si="11"/>
        <v>0.28493150684931506</v>
      </c>
      <c r="X72" s="112">
        <f>_xll.qlInterpolationInterpolate(B6Minterpolation,V72,TRUE)</f>
        <v>1.4609390249799631E-3</v>
      </c>
      <c r="Y72" s="112">
        <f>_xll.qlInterpolationInterpolate(AbcdInterpolation6M,W72,TRUE)</f>
        <v>1.442784658208333E-3</v>
      </c>
    </row>
    <row r="73" spans="22:25" x14ac:dyDescent="0.2">
      <c r="V73" s="114">
        <f>_xll.qlCalendarAdvance(Calendar,V72,"1D","f")</f>
        <v>42900</v>
      </c>
      <c r="W73" s="100">
        <f t="shared" si="11"/>
        <v>0.28767123287671231</v>
      </c>
      <c r="X73" s="112">
        <f>_xll.qlInterpolationInterpolate(B6Minterpolation,V73,TRUE)</f>
        <v>1.4644892027393761E-3</v>
      </c>
      <c r="Y73" s="112">
        <f>_xll.qlInterpolationInterpolate(AbcdInterpolation6M,W73,TRUE)</f>
        <v>1.4454091335504289E-3</v>
      </c>
    </row>
    <row r="74" spans="22:25" x14ac:dyDescent="0.2">
      <c r="V74" s="114">
        <f>_xll.qlCalendarAdvance(Calendar,V73,"1D","f")</f>
        <v>42901</v>
      </c>
      <c r="W74" s="100">
        <f t="shared" si="11"/>
        <v>0.29041095890410956</v>
      </c>
      <c r="X74" s="112">
        <f>_xll.qlInterpolationInterpolate(B6Minterpolation,V74,TRUE)</f>
        <v>1.4680057062972814E-3</v>
      </c>
      <c r="Y74" s="112">
        <f>_xll.qlInterpolationInterpolate(AbcdInterpolation6M,W74,TRUE)</f>
        <v>1.4480258808982327E-3</v>
      </c>
    </row>
    <row r="75" spans="22:25" x14ac:dyDescent="0.2">
      <c r="V75" s="114">
        <f>_xll.qlCalendarAdvance(Calendar,V74,"1D","f")</f>
        <v>42902</v>
      </c>
      <c r="W75" s="100">
        <f t="shared" si="11"/>
        <v>0.29315068493150687</v>
      </c>
      <c r="X75" s="112">
        <f>_xll.qlInterpolationInterpolate(B6Minterpolation,V75,TRUE)</f>
        <v>1.4714888484672582E-3</v>
      </c>
      <c r="Y75" s="112">
        <f>_xll.qlInterpolationInterpolate(AbcdInterpolation6M,W75,TRUE)</f>
        <v>1.4506349175434185E-3</v>
      </c>
    </row>
    <row r="76" spans="22:25" x14ac:dyDescent="0.2">
      <c r="V76" s="114">
        <f>_xll.qlCalendarAdvance(Calendar,V75,"1D","f")</f>
        <v>42905</v>
      </c>
      <c r="W76" s="100">
        <f t="shared" si="11"/>
        <v>0.30136986301369861</v>
      </c>
      <c r="X76" s="112">
        <f>_xll.qlInterpolationInterpolate(B6Minterpolation,V76,TRUE)</f>
        <v>1.48174123478541E-3</v>
      </c>
      <c r="Y76" s="112">
        <f>_xll.qlInterpolationInterpolate(AbcdInterpolation6M,W76,TRUE)</f>
        <v>1.4584159377395542E-3</v>
      </c>
    </row>
    <row r="77" spans="22:25" x14ac:dyDescent="0.2">
      <c r="V77" s="114">
        <f>_xll.qlCalendarAdvance(Calendar,V76,"1D","f")</f>
        <v>42906</v>
      </c>
      <c r="W77" s="100">
        <f t="shared" si="11"/>
        <v>0.30410958904109592</v>
      </c>
      <c r="X77" s="112">
        <f>_xll.qlInterpolationInterpolate(B6Minterpolation,V77,TRUE)</f>
        <v>1.4850940595394651E-3</v>
      </c>
      <c r="Y77" s="112">
        <f>_xll.qlInterpolationInterpolate(AbcdInterpolation6M,W77,TRUE)</f>
        <v>1.4609943065466468E-3</v>
      </c>
    </row>
    <row r="78" spans="22:25" x14ac:dyDescent="0.2">
      <c r="V78" s="114">
        <f>_xll.qlCalendarAdvance(Calendar,V77,"1D","f")</f>
        <v>42907</v>
      </c>
      <c r="W78" s="100">
        <f t="shared" si="11"/>
        <v>0.30684931506849317</v>
      </c>
      <c r="X78" s="112">
        <f>_xll.qlInterpolationInterpolate(B6Minterpolation,V78,TRUE)</f>
        <v>1.4884150869734875E-3</v>
      </c>
      <c r="Y78" s="112">
        <f>_xll.qlInterpolationInterpolate(AbcdInterpolation6M,W78,TRUE)</f>
        <v>1.4635650526218589E-3</v>
      </c>
    </row>
    <row r="79" spans="22:25" x14ac:dyDescent="0.2">
      <c r="V79" s="114">
        <f>_xll.qlCalendarAdvance(Calendar,V78,"1D","f")</f>
        <v>42908</v>
      </c>
      <c r="W79" s="100">
        <f t="shared" si="11"/>
        <v>0.30958904109589042</v>
      </c>
      <c r="X79" s="112">
        <f>_xll.qlInterpolationInterpolate(B6Minterpolation,V79,TRUE)</f>
        <v>1.4917046299010568E-3</v>
      </c>
      <c r="Y79" s="112">
        <f>_xll.qlInterpolationInterpolate(AbcdInterpolation6M,W79,TRUE)</f>
        <v>1.466128193838718E-3</v>
      </c>
    </row>
    <row r="80" spans="22:25" x14ac:dyDescent="0.2">
      <c r="V80" s="114">
        <f>_xll.qlCalendarAdvance(Calendar,V79,"1D","f")</f>
        <v>42909</v>
      </c>
      <c r="W80" s="100">
        <f t="shared" si="11"/>
        <v>0.31232876712328766</v>
      </c>
      <c r="X80" s="112">
        <f>_xll.qlInterpolationInterpolate(B6Minterpolation,V80,TRUE)</f>
        <v>1.4949630011357518E-3</v>
      </c>
      <c r="Y80" s="112">
        <f>_xll.qlInterpolationInterpolate(AbcdInterpolation6M,W80,TRUE)</f>
        <v>1.4686837481565022E-3</v>
      </c>
    </row>
    <row r="81" spans="22:25" x14ac:dyDescent="0.2">
      <c r="V81" s="114">
        <f>_xll.qlCalendarAdvance(Calendar,V80,"1D","f")</f>
        <v>42912</v>
      </c>
      <c r="W81" s="100">
        <f t="shared" si="11"/>
        <v>0.32054794520547947</v>
      </c>
      <c r="X81" s="112">
        <f>_xll.qlInterpolationInterpolate(B6Minterpolation,V81,TRUE)</f>
        <v>1.504554212818384E-3</v>
      </c>
      <c r="Y81" s="112">
        <f>_xll.qlInterpolationInterpolate(AbcdInterpolation6M,W81,TRUE)</f>
        <v>1.4763050705313807E-3</v>
      </c>
    </row>
    <row r="82" spans="22:25" x14ac:dyDescent="0.2">
      <c r="V82" s="114">
        <f>_xll.qlCalendarAdvance(Calendar,V81,"1D","f")</f>
        <v>42913</v>
      </c>
      <c r="W82" s="100">
        <f t="shared" si="11"/>
        <v>0.32328767123287672</v>
      </c>
      <c r="X82" s="112">
        <f>_xll.qlInterpolationInterpolate(B6Minterpolation,V82,TRUE)</f>
        <v>1.5076910254173744E-3</v>
      </c>
      <c r="Y82" s="112">
        <f>_xll.qlInterpolationInterpolate(AbcdInterpolation6M,W82,TRUE)</f>
        <v>1.4788304584561123E-3</v>
      </c>
    </row>
    <row r="83" spans="22:25" x14ac:dyDescent="0.2">
      <c r="V83" s="114">
        <f>_xll.qlCalendarAdvance(Calendar,V82,"1D","f")</f>
        <v>42914</v>
      </c>
      <c r="W83" s="100">
        <f t="shared" si="11"/>
        <v>0.32602739726027397</v>
      </c>
      <c r="X83" s="112">
        <f>_xll.qlInterpolationInterpolate(B6Minterpolation,V83,TRUE)</f>
        <v>1.5107982303913866E-3</v>
      </c>
      <c r="Y83" s="112">
        <f>_xll.qlInterpolationInterpolate(AbcdInterpolation6M,W83,TRUE)</f>
        <v>1.4813483504607322E-3</v>
      </c>
    </row>
    <row r="84" spans="22:25" x14ac:dyDescent="0.2">
      <c r="V84" s="114">
        <f>_xll.qlCalendarAdvance(Calendar,V83,"1D","f")</f>
        <v>42915</v>
      </c>
      <c r="W84" s="100">
        <f t="shared" si="11"/>
        <v>0.32876712328767121</v>
      </c>
      <c r="X84" s="112">
        <f>_xll.qlInterpolationInterpolate(B6Minterpolation,V84,TRUE)</f>
        <v>1.5138761405539996E-3</v>
      </c>
      <c r="Y84" s="112">
        <f>_xll.qlInterpolationInterpolate(AbcdInterpolation6M,W84,TRUE)</f>
        <v>1.483858764957668E-3</v>
      </c>
    </row>
    <row r="85" spans="22:25" x14ac:dyDescent="0.2">
      <c r="V85" s="114">
        <f>_xll.qlCalendarAdvance(Calendar,V84,"1D","f")</f>
        <v>42916</v>
      </c>
      <c r="W85" s="100">
        <f t="shared" si="11"/>
        <v>0.33150684931506852</v>
      </c>
      <c r="X85" s="112">
        <f>_xll.qlInterpolationInterpolate(B6Minterpolation,V85,TRUE)</f>
        <v>1.5169250687187929E-3</v>
      </c>
      <c r="Y85" s="112">
        <f>_xll.qlInterpolationInterpolate(AbcdInterpolation6M,W85,TRUE)</f>
        <v>1.4863617204252128E-3</v>
      </c>
    </row>
    <row r="86" spans="22:25" x14ac:dyDescent="0.2">
      <c r="V86" s="114">
        <f>_xll.qlCalendarAdvance(Calendar,V85,"1D","f")</f>
        <v>42919</v>
      </c>
      <c r="W86" s="100">
        <f t="shared" si="11"/>
        <v>0.33972602739726027</v>
      </c>
      <c r="X86" s="112">
        <f>_xll.qlInterpolationInterpolate(B6Minterpolation,V86,TRUE)</f>
        <v>1.5259010893620458E-3</v>
      </c>
      <c r="Y86" s="112">
        <f>_xll.qlInterpolationInterpolate(AbcdInterpolation6M,W86,TRUE)</f>
        <v>1.4938260183680757E-3</v>
      </c>
    </row>
    <row r="87" spans="22:25" x14ac:dyDescent="0.2">
      <c r="V87" s="114">
        <f>_xll.qlCalendarAdvance(Calendar,V86,"1D","f")</f>
        <v>42920</v>
      </c>
      <c r="W87" s="100">
        <f t="shared" si="11"/>
        <v>0.34246575342465752</v>
      </c>
      <c r="X87" s="112">
        <f>_xll.qlInterpolationInterpolate(B6Minterpolation,V87,TRUE)</f>
        <v>1.5288372176713518E-3</v>
      </c>
      <c r="Y87" s="112">
        <f>_xll.qlInterpolationInterpolate(AbcdInterpolation6M,W87,TRUE)</f>
        <v>1.4962993237282423E-3</v>
      </c>
    </row>
    <row r="88" spans="22:25" x14ac:dyDescent="0.2">
      <c r="V88" s="114">
        <f>_xll.qlCalendarAdvance(Calendar,V87,"1D","f")</f>
        <v>42921</v>
      </c>
      <c r="W88" s="100">
        <f t="shared" si="11"/>
        <v>0.34520547945205482</v>
      </c>
      <c r="X88" s="112">
        <f>_xll.qlInterpolationInterpolate(B6Minterpolation,V88,TRUE)</f>
        <v>1.5317459280507339E-3</v>
      </c>
      <c r="Y88" s="112">
        <f>_xll.qlInterpolationInterpolate(AbcdInterpolation6M,W88,TRUE)</f>
        <v>1.4987652633491693E-3</v>
      </c>
    </row>
    <row r="89" spans="22:25" x14ac:dyDescent="0.2">
      <c r="V89" s="114">
        <f>_xll.qlCalendarAdvance(Calendar,V88,"1D","f")</f>
        <v>42922</v>
      </c>
      <c r="W89" s="100">
        <f t="shared" si="11"/>
        <v>0.34794520547945207</v>
      </c>
      <c r="X89" s="112">
        <f>_xll.qlInterpolationInterpolate(B6Minterpolation,V89,TRUE)</f>
        <v>1.5346275333137712E-3</v>
      </c>
      <c r="Y89" s="112">
        <f>_xll.qlInterpolationInterpolate(AbcdInterpolation6M,W89,TRUE)</f>
        <v>1.5012238560515115E-3</v>
      </c>
    </row>
    <row r="90" spans="22:25" x14ac:dyDescent="0.2">
      <c r="V90" s="114">
        <f>_xll.qlCalendarAdvance(Calendar,V89,"1D","f")</f>
        <v>42923</v>
      </c>
      <c r="W90" s="100">
        <f t="shared" si="11"/>
        <v>0.35068493150684932</v>
      </c>
      <c r="X90" s="112">
        <f>_xll.qlInterpolationInterpolate(B6Minterpolation,V90,TRUE)</f>
        <v>1.537482346274043E-3</v>
      </c>
      <c r="Y90" s="112">
        <f>_xll.qlInterpolationInterpolate(AbcdInterpolation6M,W90,TRUE)</f>
        <v>1.5036751207046721E-3</v>
      </c>
    </row>
    <row r="91" spans="22:25" x14ac:dyDescent="0.2">
      <c r="V91" s="114">
        <f>_xll.qlCalendarAdvance(Calendar,V90,"1D","f")</f>
        <v>42926</v>
      </c>
      <c r="W91" s="100">
        <f t="shared" si="11"/>
        <v>0.35890410958904112</v>
      </c>
      <c r="X91" s="112">
        <f>_xll.qlInterpolationInterpolate(B6Minterpolation,V91,TRUE)</f>
        <v>1.5458891594740572E-3</v>
      </c>
      <c r="Y91" s="112">
        <f>_xll.qlInterpolationInterpolate(AbcdInterpolation6M,W91,TRUE)</f>
        <v>1.5109851357474724E-3</v>
      </c>
    </row>
    <row r="92" spans="22:25" x14ac:dyDescent="0.2">
      <c r="V92" s="114">
        <f>_xll.qlCalendarAdvance(Calendar,V91,"1D","f")</f>
        <v>42927</v>
      </c>
      <c r="W92" s="100">
        <f t="shared" si="11"/>
        <v>0.36164383561643837</v>
      </c>
      <c r="X92" s="112">
        <f>_xll.qlInterpolationInterpolate(B6Minterpolation,V92,TRUE)</f>
        <v>1.5486399313590588E-3</v>
      </c>
      <c r="Y92" s="112">
        <f>_xll.qlInterpolationInterpolate(AbcdInterpolation6M,W92,TRUE)</f>
        <v>1.513407277795297E-3</v>
      </c>
    </row>
    <row r="93" spans="22:25" x14ac:dyDescent="0.2">
      <c r="V93" s="114">
        <f>_xll.qlCalendarAdvance(Calendar,V92,"1D","f")</f>
        <v>42928</v>
      </c>
      <c r="W93" s="100">
        <f t="shared" si="11"/>
        <v>0.36438356164383562</v>
      </c>
      <c r="X93" s="112">
        <f>_xll.qlInterpolationInterpolate(B6Minterpolation,V93,TRUE)</f>
        <v>1.5513654750091909E-3</v>
      </c>
      <c r="Y93" s="112">
        <f>_xll.qlInterpolationInterpolate(AbcdInterpolation6M,W93,TRUE)</f>
        <v>1.515822186795254E-3</v>
      </c>
    </row>
    <row r="94" spans="22:25" x14ac:dyDescent="0.2">
      <c r="V94" s="114">
        <f>_xll.qlCalendarAdvance(Calendar,V93,"1D","f")</f>
        <v>42929</v>
      </c>
      <c r="W94" s="100">
        <f t="shared" si="11"/>
        <v>0.36712328767123287</v>
      </c>
      <c r="X94" s="112">
        <f>_xll.qlInterpolationInterpolate(B6Minterpolation,V94,TRUE)</f>
        <v>1.5540661032380325E-3</v>
      </c>
      <c r="Y94" s="112">
        <f>_xll.qlInterpolationInterpolate(AbcdInterpolation6M,W94,TRUE)</f>
        <v>1.5182298818637403E-3</v>
      </c>
    </row>
    <row r="95" spans="22:25" x14ac:dyDescent="0.2">
      <c r="V95" s="114">
        <f>_xll.qlCalendarAdvance(Calendar,V94,"1D","f")</f>
        <v>42930</v>
      </c>
      <c r="W95" s="100">
        <f t="shared" si="11"/>
        <v>0.36986301369863012</v>
      </c>
      <c r="X95" s="112">
        <f>_xll.qlInterpolationInterpolate(B6Minterpolation,V95,TRUE)</f>
        <v>1.556742128859163E-3</v>
      </c>
      <c r="Y95" s="112">
        <f>_xll.qlInterpolationInterpolate(AbcdInterpolation6M,W95,TRUE)</f>
        <v>1.5206303821511593E-3</v>
      </c>
    </row>
    <row r="96" spans="22:25" x14ac:dyDescent="0.2">
      <c r="V96" s="114">
        <f>_xll.qlCalendarAdvance(Calendar,V95,"1D","f")</f>
        <v>42933</v>
      </c>
      <c r="W96" s="100">
        <f t="shared" si="11"/>
        <v>0.37808219178082192</v>
      </c>
      <c r="X96" s="112">
        <f>_xll.qlInterpolationInterpolate(B6Minterpolation,V96,TRUE)</f>
        <v>1.5646257182120788E-3</v>
      </c>
      <c r="Y96" s="112">
        <f>_xll.qlInterpolationInterpolate(AbcdInterpolation6M,W96,TRUE)</f>
        <v>1.5277889063009141E-3</v>
      </c>
    </row>
    <row r="97" spans="22:25" x14ac:dyDescent="0.2">
      <c r="V97" s="114">
        <f>_xll.qlCalendarAdvance(Calendar,V96,"1D","f")</f>
        <v>42934</v>
      </c>
      <c r="W97" s="100">
        <f t="shared" si="11"/>
        <v>0.38082191780821917</v>
      </c>
      <c r="X97" s="112">
        <f>_xll.qlInterpolationInterpolate(B6Minterpolation,V97,TRUE)</f>
        <v>1.5672064615381565E-3</v>
      </c>
      <c r="Y97" s="112">
        <f>_xll.qlInterpolationInterpolate(AbcdInterpolation6M,W97,TRUE)</f>
        <v>1.5301608195815483E-3</v>
      </c>
    </row>
    <row r="98" spans="22:25" x14ac:dyDescent="0.2">
      <c r="V98" s="114">
        <f>_xll.qlCalendarAdvance(Calendar,V97,"1D","f")</f>
        <v>42935</v>
      </c>
      <c r="W98" s="100">
        <f t="shared" si="11"/>
        <v>0.38356164383561642</v>
      </c>
      <c r="X98" s="112">
        <f>_xll.qlInterpolationInterpolate(B6Minterpolation,V98,TRUE)</f>
        <v>1.5697641663244186E-3</v>
      </c>
      <c r="Y98" s="112">
        <f>_xll.qlInterpolationInterpolate(AbcdInterpolation6M,W98,TRUE)</f>
        <v>1.5325256342771049E-3</v>
      </c>
    </row>
    <row r="99" spans="22:25" x14ac:dyDescent="0.2">
      <c r="V99" s="114">
        <f>_xll.qlCalendarAdvance(Calendar,V98,"1D","f")</f>
        <v>42936</v>
      </c>
      <c r="W99" s="100">
        <f t="shared" si="11"/>
        <v>0.38630136986301372</v>
      </c>
      <c r="X99" s="112">
        <f>_xll.qlInterpolationInterpolate(B6Minterpolation,V99,TRUE)</f>
        <v>1.5722991453844448E-3</v>
      </c>
      <c r="Y99" s="112">
        <f>_xll.qlInterpolationInterpolate(AbcdInterpolation6M,W99,TRUE)</f>
        <v>1.5348833697029012E-3</v>
      </c>
    </row>
    <row r="100" spans="22:25" x14ac:dyDescent="0.2">
      <c r="V100" s="114">
        <f>_xll.qlCalendarAdvance(Calendar,V99,"1D","f")</f>
        <v>42937</v>
      </c>
      <c r="W100" s="100">
        <f t="shared" si="11"/>
        <v>0.38904109589041097</v>
      </c>
      <c r="X100" s="112">
        <f>_xll.qlInterpolationInterpolate(B6Minterpolation,V100,TRUE)</f>
        <v>1.5748117115318141E-3</v>
      </c>
      <c r="Y100" s="112">
        <f>_xll.qlInterpolationInterpolate(AbcdInterpolation6M,W100,TRUE)</f>
        <v>1.5372340451955823E-3</v>
      </c>
    </row>
    <row r="101" spans="22:25" x14ac:dyDescent="0.2">
      <c r="V101" s="114">
        <f>_xll.qlCalendarAdvance(Calendar,V100,"1D","f")</f>
        <v>42940</v>
      </c>
      <c r="W101" s="100">
        <f t="shared" si="11"/>
        <v>0.39726027397260272</v>
      </c>
      <c r="X101" s="112">
        <f>_xll.qlInterpolationInterpolate(B6Minterpolation,V101,TRUE)</f>
        <v>1.5822180606337723E-3</v>
      </c>
      <c r="Y101" s="112">
        <f>_xll.qlInterpolationInterpolate(AbcdInterpolation6M,W101,TRUE)</f>
        <v>1.5442439057266654E-3</v>
      </c>
    </row>
    <row r="102" spans="22:25" x14ac:dyDescent="0.2">
      <c r="V102" s="114">
        <f>_xll.qlCalendarAdvance(Calendar,V101,"1D","f")</f>
        <v>42941</v>
      </c>
      <c r="W102" s="100">
        <f t="shared" si="11"/>
        <v>0.4</v>
      </c>
      <c r="X102" s="112">
        <f>_xll.qlInterpolationInterpolate(B6Minterpolation,V102,TRUE)</f>
        <v>1.5846441032663057E-3</v>
      </c>
      <c r="Y102" s="112">
        <f>_xll.qlInterpolationInterpolate(AbcdInterpolation6M,W102,TRUE)</f>
        <v>1.5465665352224944E-3</v>
      </c>
    </row>
    <row r="103" spans="22:25" x14ac:dyDescent="0.2">
      <c r="V103" s="114">
        <f>_xll.qlCalendarAdvance(Calendar,V102,"1D","f")</f>
        <v>42942</v>
      </c>
      <c r="W103" s="100">
        <f t="shared" si="11"/>
        <v>0.40273972602739727</v>
      </c>
      <c r="X103" s="112">
        <f>_xll.qlInterpolationInterpolate(B6Minterpolation,V103,TRUE)</f>
        <v>1.5870492970540783E-3</v>
      </c>
      <c r="Y103" s="112">
        <f>_xll.qlInterpolationInterpolate(AbcdInterpolation6M,W103,TRUE)</f>
        <v>1.5488822017314435E-3</v>
      </c>
    </row>
    <row r="104" spans="22:25" x14ac:dyDescent="0.2">
      <c r="V104" s="114">
        <f>_xll.qlCalendarAdvance(Calendar,V103,"1D","f")</f>
        <v>42943</v>
      </c>
      <c r="W104" s="100">
        <f t="shared" si="11"/>
        <v>0.40547945205479452</v>
      </c>
      <c r="X104" s="112">
        <f>_xll.qlInterpolationInterpolate(B6Minterpolation,V104,TRUE)</f>
        <v>1.5894339548106692E-3</v>
      </c>
      <c r="Y104" s="112">
        <f>_xll.qlInterpolationInterpolate(AbcdInterpolation6M,W104,TRUE)</f>
        <v>1.5511909246844651E-3</v>
      </c>
    </row>
    <row r="105" spans="22:25" x14ac:dyDescent="0.2">
      <c r="V105" s="114">
        <f>_xll.qlCalendarAdvance(Calendar,V104,"1D","f")</f>
        <v>42944</v>
      </c>
      <c r="W105" s="100">
        <f t="shared" si="11"/>
        <v>0.40821917808219177</v>
      </c>
      <c r="X105" s="112">
        <f>_xll.qlInterpolationInterpolate(B6Minterpolation,V105,TRUE)</f>
        <v>1.5917983893496573E-3</v>
      </c>
      <c r="Y105" s="112">
        <f>_xll.qlInterpolationInterpolate(AbcdInterpolation6M,W105,TRUE)</f>
        <v>1.5534927235229311E-3</v>
      </c>
    </row>
    <row r="106" spans="22:25" x14ac:dyDescent="0.2">
      <c r="V106" s="114">
        <f>_xll.qlCalendarAdvance(Calendar,V105,"1D","f")</f>
        <v>42947</v>
      </c>
      <c r="W106" s="100">
        <f t="shared" si="11"/>
        <v>0.41643835616438357</v>
      </c>
      <c r="X106" s="112">
        <f>_xll.qlInterpolationInterpolate(B6Minterpolation,V106,TRUE)</f>
        <v>1.5987734817967984E-3</v>
      </c>
      <c r="Y106" s="112">
        <f>_xll.qlInterpolationInterpolate(AbcdInterpolation6M,W106,TRUE)</f>
        <v>1.5603567698913221E-3</v>
      </c>
    </row>
    <row r="107" spans="22:25" x14ac:dyDescent="0.2">
      <c r="V107" s="114">
        <f>_xll.qlCalendarAdvance(Calendar,V106,"1D","f")</f>
        <v>42948</v>
      </c>
      <c r="W107" s="100">
        <f t="shared" si="11"/>
        <v>0.41917808219178082</v>
      </c>
      <c r="X107" s="112">
        <f>_xll.qlInterpolationInterpolate(B6Minterpolation,V107,TRUE)</f>
        <v>1.6010601516011681E-3</v>
      </c>
      <c r="Y107" s="112">
        <f>_xll.qlInterpolationInterpolate(AbcdInterpolation6M,W107,TRUE)</f>
        <v>1.5626310668444515E-3</v>
      </c>
    </row>
    <row r="108" spans="22:25" x14ac:dyDescent="0.2">
      <c r="V108" s="114">
        <f>_xll.qlCalendarAdvance(Calendar,V107,"1D","f")</f>
        <v>42949</v>
      </c>
      <c r="W108" s="100">
        <f t="shared" si="11"/>
        <v>0.42191780821917807</v>
      </c>
      <c r="X108" s="112">
        <f>_xll.qlInterpolationInterpolate(B6Minterpolation,V108,TRUE)</f>
        <v>1.6033281622558312E-3</v>
      </c>
      <c r="Y108" s="112">
        <f>_xll.qlInterpolationInterpolate(AbcdInterpolation6M,W108,TRUE)</f>
        <v>1.5648985369973471E-3</v>
      </c>
    </row>
    <row r="109" spans="22:25" x14ac:dyDescent="0.2">
      <c r="V109" s="114">
        <f>_xll.qlCalendarAdvance(Calendar,V108,"1D","f")</f>
        <v>42950</v>
      </c>
      <c r="W109" s="100">
        <f t="shared" si="11"/>
        <v>0.42465753424657532</v>
      </c>
      <c r="X109" s="112">
        <f>_xll.qlInterpolationInterpolate(B6Minterpolation,V109,TRUE)</f>
        <v>1.6055778265743669E-3</v>
      </c>
      <c r="Y109" s="112">
        <f>_xll.qlInterpolationInterpolate(AbcdInterpolation6M,W109,TRUE)</f>
        <v>1.5671591998250023E-3</v>
      </c>
    </row>
    <row r="110" spans="22:25" x14ac:dyDescent="0.2">
      <c r="V110" s="114">
        <f>_xll.qlCalendarAdvance(Calendar,V109,"1D","f")</f>
        <v>42951</v>
      </c>
      <c r="W110" s="100">
        <f t="shared" si="11"/>
        <v>0.42739726027397262</v>
      </c>
      <c r="X110" s="112">
        <f>_xll.qlInterpolationInterpolate(B6Minterpolation,V110,TRUE)</f>
        <v>1.6078094573703542E-3</v>
      </c>
      <c r="Y110" s="112">
        <f>_xll.qlInterpolationInterpolate(AbcdInterpolation6M,W110,TRUE)</f>
        <v>1.569413074803467E-3</v>
      </c>
    </row>
    <row r="111" spans="22:25" x14ac:dyDescent="0.2">
      <c r="V111" s="114">
        <f>_xll.qlCalendarAdvance(Calendar,V110,"1D","f")</f>
        <v>42954</v>
      </c>
      <c r="W111" s="100">
        <f t="shared" si="11"/>
        <v>0.43561643835616437</v>
      </c>
      <c r="X111" s="112">
        <f>_xll.qlInterpolationInterpolate(B6Minterpolation,V111,TRUE)</f>
        <v>1.6143992767588184E-3</v>
      </c>
      <c r="Y111" s="112">
        <f>_xll.qlInterpolationInterpolate(AbcdInterpolation6M,W111,TRUE)</f>
        <v>1.576134167394517E-3</v>
      </c>
    </row>
    <row r="112" spans="22:25" x14ac:dyDescent="0.2">
      <c r="V112" s="114">
        <f>_xll.qlCalendarAdvance(Calendar,V111,"1D","f")</f>
        <v>42955</v>
      </c>
      <c r="W112" s="100">
        <f t="shared" si="11"/>
        <v>0.43835616438356162</v>
      </c>
      <c r="X112" s="112">
        <f>_xll.qlInterpolationInterpolate(B6Minterpolation,V112,TRUE)</f>
        <v>1.6165619016004047E-3</v>
      </c>
      <c r="Y112" s="112">
        <f>_xll.qlInterpolationInterpolate(AbcdInterpolation6M,W112,TRUE)</f>
        <v>1.578361085715519E-3</v>
      </c>
    </row>
    <row r="113" spans="22:25" x14ac:dyDescent="0.2">
      <c r="V113" s="114">
        <f>_xll.qlCalendarAdvance(Calendar,V112,"1D","f")</f>
        <v>42956</v>
      </c>
      <c r="W113" s="100">
        <f t="shared" si="11"/>
        <v>0.44109589041095892</v>
      </c>
      <c r="X113" s="112">
        <f>_xll.qlInterpolationInterpolate(B6Minterpolation,V113,TRUE)</f>
        <v>1.6187080569873384E-3</v>
      </c>
      <c r="Y113" s="112">
        <f>_xll.qlInterpolationInterpolate(AbcdInterpolation6M,W113,TRUE)</f>
        <v>1.5805813135414686E-3</v>
      </c>
    </row>
    <row r="114" spans="22:25" x14ac:dyDescent="0.2">
      <c r="V114" s="114">
        <f>_xll.qlCalendarAdvance(Calendar,V113,"1D","f")</f>
        <v>42957</v>
      </c>
      <c r="W114" s="100">
        <f t="shared" si="11"/>
        <v>0.44383561643835617</v>
      </c>
      <c r="X114" s="112">
        <f>_xll.qlInterpolationInterpolate(B6Minterpolation,V114,TRUE)</f>
        <v>1.620838055733199E-3</v>
      </c>
      <c r="Y114" s="112">
        <f>_xll.qlInterpolationInterpolate(AbcdInterpolation6M,W114,TRUE)</f>
        <v>1.5827948703299422E-3</v>
      </c>
    </row>
    <row r="115" spans="22:25" x14ac:dyDescent="0.2">
      <c r="V115" s="114">
        <f>_xll.qlCalendarAdvance(Calendar,V114,"1D","f")</f>
        <v>42958</v>
      </c>
      <c r="W115" s="100">
        <f t="shared" si="11"/>
        <v>0.44657534246575342</v>
      </c>
      <c r="X115" s="112">
        <f>_xll.qlInterpolationInterpolate(B6Minterpolation,V115,TRUE)</f>
        <v>1.6229522106515656E-3</v>
      </c>
      <c r="Y115" s="112">
        <f>_xll.qlInterpolationInterpolate(AbcdInterpolation6M,W115,TRUE)</f>
        <v>1.5850017755315363E-3</v>
      </c>
    </row>
    <row r="116" spans="22:25" x14ac:dyDescent="0.2">
      <c r="V116" s="114">
        <f>_xll.qlCalendarAdvance(Calendar,V115,"1D","f")</f>
        <v>42961</v>
      </c>
      <c r="W116" s="100">
        <f t="shared" si="11"/>
        <v>0.45479452054794522</v>
      </c>
      <c r="X116" s="112">
        <f>_xll.qlInterpolationInterpolate(B6Minterpolation,V116,TRUE)</f>
        <v>1.6292027405774936E-3</v>
      </c>
      <c r="Y116" s="112">
        <f>_xll.qlInterpolationInterpolate(AbcdInterpolation6M,W116,TRUE)</f>
        <v>1.5915827759944885E-3</v>
      </c>
    </row>
    <row r="117" spans="22:25" x14ac:dyDescent="0.2">
      <c r="V117" s="114">
        <f>_xll.qlCalendarAdvance(Calendar,V116,"1D","f")</f>
        <v>42962</v>
      </c>
      <c r="W117" s="100">
        <f t="shared" si="11"/>
        <v>0.45753424657534247</v>
      </c>
      <c r="X117" s="112">
        <f>_xll.qlInterpolationInterpolate(B6Minterpolation,V117,TRUE)</f>
        <v>1.6312566483216763E-3</v>
      </c>
      <c r="Y117" s="112">
        <f>_xll.qlInterpolationInterpolate(AbcdInterpolation6M,W117,TRUE)</f>
        <v>1.5937632691787485E-3</v>
      </c>
    </row>
    <row r="118" spans="22:25" x14ac:dyDescent="0.2">
      <c r="V118" s="114">
        <f>_xll.qlCalendarAdvance(Calendar,V117,"1D","f")</f>
        <v>42963</v>
      </c>
      <c r="W118" s="100">
        <f t="shared" si="11"/>
        <v>0.46027397260273972</v>
      </c>
      <c r="X118" s="112">
        <f>_xll.qlInterpolationInterpolate(B6Minterpolation,V118,TRUE)</f>
        <v>1.6332962763062611E-3</v>
      </c>
      <c r="Y118" s="112">
        <f>_xll.qlInterpolationInterpolate(AbcdInterpolation6M,W118,TRUE)</f>
        <v>1.5959372078885232E-3</v>
      </c>
    </row>
    <row r="119" spans="22:25" x14ac:dyDescent="0.2">
      <c r="V119" s="114">
        <f>_xll.qlCalendarAdvance(Calendar,V118,"1D","f")</f>
        <v>42964</v>
      </c>
      <c r="W119" s="100">
        <f t="shared" si="11"/>
        <v>0.46301369863013697</v>
      </c>
      <c r="X119" s="112">
        <f>_xll.qlInterpolationInterpolate(B6Minterpolation,V119,TRUE)</f>
        <v>1.6353219373448267E-3</v>
      </c>
      <c r="Y119" s="112">
        <f>_xll.qlInterpolationInterpolate(AbcdInterpolation6M,W119,TRUE)</f>
        <v>1.5981046115112977E-3</v>
      </c>
    </row>
    <row r="120" spans="22:25" x14ac:dyDescent="0.2">
      <c r="V120" s="114">
        <f>_xll.qlCalendarAdvance(Calendar,V119,"1D","f")</f>
        <v>42965</v>
      </c>
      <c r="W120" s="100">
        <f t="shared" si="11"/>
        <v>0.46575342465753422</v>
      </c>
      <c r="X120" s="112">
        <f>_xll.qlInterpolationInterpolate(B6Minterpolation,V120,TRUE)</f>
        <v>1.637333944250953E-3</v>
      </c>
      <c r="Y120" s="112">
        <f>_xll.qlInterpolationInterpolate(AbcdInterpolation6M,W120,TRUE)</f>
        <v>1.6002654994207032E-3</v>
      </c>
    </row>
    <row r="121" spans="22:25" x14ac:dyDescent="0.2">
      <c r="V121" s="114">
        <f>_xll.qlCalendarAdvance(Calendar,V120,"1D","f")</f>
        <v>42968</v>
      </c>
      <c r="W121" s="100">
        <f t="shared" si="11"/>
        <v>0.47397260273972602</v>
      </c>
      <c r="X121" s="112">
        <f>_xll.qlInterpolationInterpolate(B6Minterpolation,V121,TRUE)</f>
        <v>1.6432911683104852E-3</v>
      </c>
      <c r="Y121" s="112">
        <f>_xll.qlInterpolationInterpolate(AbcdInterpolation6M,W121,TRUE)</f>
        <v>1.6067092623784887E-3</v>
      </c>
    </row>
    <row r="122" spans="22:25" x14ac:dyDescent="0.2">
      <c r="V122" s="114">
        <f>_xll.qlCalendarAdvance(Calendar,V121,"1D","f")</f>
        <v>42969</v>
      </c>
      <c r="W122" s="100">
        <f t="shared" si="11"/>
        <v>0.47671232876712327</v>
      </c>
      <c r="X122" s="112">
        <f>_xll.qlInterpolationInterpolate(B6Minterpolation,V122,TRUE)</f>
        <v>1.6452516868226445E-3</v>
      </c>
      <c r="Y122" s="112">
        <f>_xll.qlInterpolationInterpolate(AbcdInterpolation6M,W122,TRUE)</f>
        <v>1.6088442808626475E-3</v>
      </c>
    </row>
    <row r="123" spans="22:25" x14ac:dyDescent="0.2">
      <c r="V123" s="114">
        <f>_xll.qlCalendarAdvance(Calendar,V122,"1D","f")</f>
        <v>42970</v>
      </c>
      <c r="W123" s="100">
        <f t="shared" si="11"/>
        <v>0.47945205479452052</v>
      </c>
      <c r="X123" s="112">
        <f>_xll.qlInterpolationInterpolate(B6Minterpolation,V123,TRUE)</f>
        <v>1.6472001152702603E-3</v>
      </c>
      <c r="Y123" s="112">
        <f>_xll.qlInterpolationInterpolate(AbcdInterpolation6M,W123,TRUE)</f>
        <v>1.6109728802630643E-3</v>
      </c>
    </row>
    <row r="124" spans="22:25" x14ac:dyDescent="0.2">
      <c r="V124" s="114">
        <f>_xll.qlCalendarAdvance(Calendar,V123,"1D","f")</f>
        <v>42971</v>
      </c>
      <c r="W124" s="100">
        <f t="shared" si="11"/>
        <v>0.48219178082191783</v>
      </c>
      <c r="X124" s="112">
        <f>_xll.qlInterpolationInterpolate(B6Minterpolation,V124,TRUE)</f>
        <v>1.6491367664669113E-3</v>
      </c>
      <c r="Y124" s="112">
        <f>_xll.qlInterpolationInterpolate(AbcdInterpolation6M,W124,TRUE)</f>
        <v>1.6130950798520902E-3</v>
      </c>
    </row>
    <row r="125" spans="22:25" x14ac:dyDescent="0.2">
      <c r="V125" s="114">
        <f>_xll.qlCalendarAdvance(Calendar,V124,"1D","f")</f>
        <v>42972</v>
      </c>
      <c r="W125" s="100">
        <f t="shared" si="11"/>
        <v>0.48493150684931507</v>
      </c>
      <c r="X125" s="112">
        <f>_xll.qlInterpolationInterpolate(B6Minterpolation,V125,TRUE)</f>
        <v>1.6510619532261769E-3</v>
      </c>
      <c r="Y125" s="112">
        <f>_xll.qlInterpolationInterpolate(AbcdInterpolation6M,W125,TRUE)</f>
        <v>1.6152108988823496E-3</v>
      </c>
    </row>
    <row r="126" spans="22:25" x14ac:dyDescent="0.2">
      <c r="V126" s="114">
        <f>_xll.qlCalendarAdvance(Calendar,V125,"1D","f")</f>
        <v>42975</v>
      </c>
      <c r="W126" s="100">
        <f t="shared" si="11"/>
        <v>0.49315068493150682</v>
      </c>
      <c r="X126" s="112">
        <f>_xll.qlInterpolationInterpolate(B6Minterpolation,V126,TRUE)</f>
        <v>1.6567718550154541E-3</v>
      </c>
      <c r="Y126" s="112">
        <f>_xll.qlInterpolationInterpolate(AbcdInterpolation6M,W126,TRUE)</f>
        <v>1.6215202648349474E-3</v>
      </c>
    </row>
    <row r="127" spans="22:25" x14ac:dyDescent="0.2">
      <c r="V127" s="114">
        <f>_xll.qlCalendarAdvance(Calendar,V126,"1D","f")</f>
        <v>42976</v>
      </c>
      <c r="W127" s="100">
        <f t="shared" si="11"/>
        <v>0.49589041095890413</v>
      </c>
      <c r="X127" s="112">
        <f>_xll.qlInterpolationInterpolate(B6Minterpolation,V127,TRUE)</f>
        <v>1.6586543121609703E-3</v>
      </c>
      <c r="Y127" s="112">
        <f>_xll.qlInterpolationInterpolate(AbcdInterpolation6M,W127,TRUE)</f>
        <v>1.6236107537354627E-3</v>
      </c>
    </row>
    <row r="128" spans="22:25" x14ac:dyDescent="0.2">
      <c r="V128" s="114">
        <f>_xll.qlCalendarAdvance(Calendar,V127,"1D","f")</f>
        <v>42977</v>
      </c>
      <c r="W128" s="100">
        <f t="shared" si="11"/>
        <v>0.49863013698630138</v>
      </c>
      <c r="X128" s="112">
        <f>_xll.qlInterpolationInterpolate(B6Minterpolation,V128,TRUE)</f>
        <v>1.6605268689369971E-3</v>
      </c>
      <c r="Y128" s="112">
        <f>_xll.qlInterpolationInterpolate(AbcdInterpolation6M,W128,TRUE)</f>
        <v>1.6256949580182802E-3</v>
      </c>
    </row>
    <row r="129" spans="22:25" x14ac:dyDescent="0.2">
      <c r="V129" s="114">
        <f>_xll.qlCalendarAdvance(Calendar,V128,"1D","f")</f>
        <v>42978</v>
      </c>
      <c r="W129" s="100">
        <f t="shared" si="11"/>
        <v>0.50136986301369868</v>
      </c>
      <c r="X129" s="112">
        <f>_xll.qlInterpolationInterpolate(B6Minterpolation,V129,TRUE)</f>
        <v>1.6623898381571138E-3</v>
      </c>
      <c r="Y129" s="112">
        <f>_xll.qlInterpolationInterpolate(AbcdInterpolation6M,W129,TRUE)</f>
        <v>1.6277728968022071E-3</v>
      </c>
    </row>
    <row r="130" spans="22:25" x14ac:dyDescent="0.2">
      <c r="V130" s="114">
        <f>_xll.qlCalendarAdvance(Calendar,V129,"1D","f")</f>
        <v>42979</v>
      </c>
      <c r="W130" s="100">
        <f t="shared" si="11"/>
        <v>0.50410958904109593</v>
      </c>
      <c r="X130" s="112">
        <f>_xll.qlInterpolationInterpolate(B6Minterpolation,V130,TRUE)</f>
        <v>1.6642435326348992E-3</v>
      </c>
      <c r="Y130" s="112">
        <f>_xll.qlInterpolationInterpolate(AbcdInterpolation6M,W130,TRUE)</f>
        <v>1.6298445891813279E-3</v>
      </c>
    </row>
    <row r="131" spans="22:25" x14ac:dyDescent="0.2">
      <c r="V131" s="114">
        <f>_xll.qlCalendarAdvance(Calendar,V130,"1D","f")</f>
        <v>42982</v>
      </c>
      <c r="W131" s="100">
        <f t="shared" ref="W131:W194" si="12">(V131-EvaluationDate)/365</f>
        <v>0.51232876712328768</v>
      </c>
      <c r="X131" s="112">
        <f>_xll.qlInterpolationInterpolate(B6Minterpolation,V131,TRUE)</f>
        <v>1.6697520957500616E-3</v>
      </c>
      <c r="Y131" s="112">
        <f>_xll.qlInterpolationInterpolate(AbcdInterpolation6M,W131,TRUE)</f>
        <v>1.6360223784463114E-3</v>
      </c>
    </row>
    <row r="132" spans="22:25" x14ac:dyDescent="0.2">
      <c r="V132" s="114">
        <f>_xll.qlCalendarAdvance(Calendar,V131,"1D","f")</f>
        <v>42983</v>
      </c>
      <c r="W132" s="100">
        <f t="shared" si="12"/>
        <v>0.51506849315068493</v>
      </c>
      <c r="X132" s="112">
        <f>_xll.qlInterpolationInterpolate(B6Minterpolation,V132,TRUE)</f>
        <v>1.6715717660283288E-3</v>
      </c>
      <c r="Y132" s="112">
        <f>_xll.qlInterpolationInterpolate(AbcdInterpolation6M,W132,TRUE)</f>
        <v>1.638069275630165E-3</v>
      </c>
    </row>
    <row r="133" spans="22:25" x14ac:dyDescent="0.2">
      <c r="V133" s="114">
        <f>_xll.qlCalendarAdvance(Calendar,V132,"1D","f")</f>
        <v>42984</v>
      </c>
      <c r="W133" s="100">
        <f t="shared" si="12"/>
        <v>0.51780821917808217</v>
      </c>
      <c r="X133" s="112">
        <f>_xll.qlInterpolationInterpolate(B6Minterpolation,V133,TRUE)</f>
        <v>1.6733834054362456E-3</v>
      </c>
      <c r="Y133" s="112">
        <f>_xll.qlInterpolationInterpolate(AbcdInterpolation6M,W133,TRUE)</f>
        <v>1.6401100214865781E-3</v>
      </c>
    </row>
    <row r="134" spans="22:25" x14ac:dyDescent="0.2">
      <c r="V134" s="114">
        <f>_xll.qlCalendarAdvance(Calendar,V133,"1D","f")</f>
        <v>42985</v>
      </c>
      <c r="W134" s="100">
        <f t="shared" si="12"/>
        <v>0.52054794520547942</v>
      </c>
      <c r="X134" s="112">
        <f>_xll.qlInterpolationInterpolate(B6Minterpolation,V134,TRUE)</f>
        <v>1.6751870065914755E-3</v>
      </c>
      <c r="Y134" s="112">
        <f>_xll.qlInterpolationInterpolate(AbcdInterpolation6M,W134,TRUE)</f>
        <v>1.6421446349481781E-3</v>
      </c>
    </row>
    <row r="135" spans="22:25" x14ac:dyDescent="0.2">
      <c r="V135" s="114">
        <f>_xll.qlCalendarAdvance(Calendar,V134,"1D","f")</f>
        <v>42986</v>
      </c>
      <c r="W135" s="100">
        <f t="shared" si="12"/>
        <v>0.52328767123287667</v>
      </c>
      <c r="X135" s="112">
        <f>_xll.qlInterpolationInterpolate(B6Minterpolation,V135,TRUE)</f>
        <v>1.6769825621116823E-3</v>
      </c>
      <c r="Y135" s="112">
        <f>_xll.qlInterpolationInterpolate(AbcdInterpolation6M,W135,TRUE)</f>
        <v>1.6441731349186354E-3</v>
      </c>
    </row>
    <row r="136" spans="22:25" x14ac:dyDescent="0.2">
      <c r="V136" s="114">
        <f>_xll.qlCalendarAdvance(Calendar,V135,"1D","f")</f>
        <v>42989</v>
      </c>
      <c r="W136" s="100">
        <f t="shared" si="12"/>
        <v>0.53150684931506853</v>
      </c>
      <c r="X136" s="112">
        <f>_xll.qlInterpolationInterpolate(B6Minterpolation,V136,TRUE)</f>
        <v>1.6823208810388002E-3</v>
      </c>
      <c r="Y136" s="112">
        <f>_xll.qlInterpolationInterpolate(AbcdInterpolation6M,W136,TRUE)</f>
        <v>1.6502221424740135E-3</v>
      </c>
    </row>
    <row r="137" spans="22:25" x14ac:dyDescent="0.2">
      <c r="V137" s="114">
        <f>_xll.qlCalendarAdvance(Calendar,V136,"1D","f")</f>
        <v>42990</v>
      </c>
      <c r="W137" s="100">
        <f t="shared" si="12"/>
        <v>0.53424657534246578</v>
      </c>
      <c r="X137" s="112">
        <f>_xll.qlInterpolationInterpolate(B6Minterpolation,V137,TRUE)</f>
        <v>1.6840841801955514E-3</v>
      </c>
      <c r="Y137" s="112">
        <f>_xll.qlInterpolationInterpolate(AbcdInterpolation6M,W137,TRUE)</f>
        <v>1.652226376918471E-3</v>
      </c>
    </row>
    <row r="138" spans="22:25" x14ac:dyDescent="0.2">
      <c r="V138" s="114">
        <f>_xll.qlCalendarAdvance(Calendar,V137,"1D","f")</f>
        <v>42991</v>
      </c>
      <c r="W138" s="100">
        <f t="shared" si="12"/>
        <v>0.53698630136986303</v>
      </c>
      <c r="X138" s="112">
        <f>_xll.qlInterpolationInterpolate(B6Minterpolation,V138,TRUE)</f>
        <v>1.6858393968055977E-3</v>
      </c>
      <c r="Y138" s="112">
        <f>_xll.qlInterpolationInterpolate(AbcdInterpolation6M,W138,TRUE)</f>
        <v>1.6542245919369902E-3</v>
      </c>
    </row>
    <row r="139" spans="22:25" x14ac:dyDescent="0.2">
      <c r="V139" s="114">
        <f>_xll.qlCalendarAdvance(Calendar,V138,"1D","f")</f>
        <v>42992</v>
      </c>
      <c r="W139" s="100">
        <f t="shared" si="12"/>
        <v>0.53972602739726028</v>
      </c>
      <c r="X139" s="112">
        <f>_xll.qlInterpolationInterpolate(B6Minterpolation,V139,TRUE)</f>
        <v>1.6875865234866031E-3</v>
      </c>
      <c r="Y139" s="112">
        <f>_xll.qlInterpolationInterpolate(AbcdInterpolation6M,W139,TRUE)</f>
        <v>1.6562168062484173E-3</v>
      </c>
    </row>
    <row r="140" spans="22:25" x14ac:dyDescent="0.2">
      <c r="V140" s="114">
        <f>_xll.qlCalendarAdvance(Calendar,V139,"1D","f")</f>
        <v>42993</v>
      </c>
      <c r="W140" s="100">
        <f t="shared" si="12"/>
        <v>0.54246575342465753</v>
      </c>
      <c r="X140" s="112">
        <f>_xll.qlInterpolationInterpolate(B6Minterpolation,V140,TRUE)</f>
        <v>1.6893255528562313E-3</v>
      </c>
      <c r="Y140" s="112">
        <f>_xll.qlInterpolationInterpolate(AbcdInterpolation6M,W140,TRUE)</f>
        <v>1.6582030385390641E-3</v>
      </c>
    </row>
    <row r="141" spans="22:25" x14ac:dyDescent="0.2">
      <c r="V141" s="114">
        <f>_xll.qlCalendarAdvance(Calendar,V140,"1D","f")</f>
        <v>42996</v>
      </c>
      <c r="W141" s="100">
        <f t="shared" si="12"/>
        <v>0.55068493150684927</v>
      </c>
      <c r="X141" s="112">
        <f>_xll.qlInterpolationInterpolate(B6Minterpolation,V141,TRUE)</f>
        <v>1.6944939832734891E-3</v>
      </c>
      <c r="Y141" s="112">
        <f>_xll.qlInterpolationInterpolate(AbcdInterpolation6M,W141,TRUE)</f>
        <v>1.6641260296518818E-3</v>
      </c>
    </row>
    <row r="142" spans="22:25" x14ac:dyDescent="0.2">
      <c r="V142" s="114">
        <f>_xll.qlCalendarAdvance(Calendar,V141,"1D","f")</f>
        <v>42997</v>
      </c>
      <c r="W142" s="100">
        <f t="shared" si="12"/>
        <v>0.55342465753424652</v>
      </c>
      <c r="X142" s="112">
        <f>_xll.qlInterpolationInterpolate(B6Minterpolation,V142,TRUE)</f>
        <v>1.6962005495742452E-3</v>
      </c>
      <c r="Y142" s="112">
        <f>_xll.qlInterpolationInterpolate(AbcdInterpolation6M,W142,TRUE)</f>
        <v>1.6660885200560152E-3</v>
      </c>
    </row>
    <row r="143" spans="22:25" x14ac:dyDescent="0.2">
      <c r="V143" s="114">
        <f>_xll.qlCalendarAdvance(Calendar,V142,"1D","f")</f>
        <v>42998</v>
      </c>
      <c r="W143" s="100">
        <f t="shared" si="12"/>
        <v>0.55616438356164388</v>
      </c>
      <c r="X143" s="112">
        <f>_xll.qlInterpolationInterpolate(B6Minterpolation,V143,TRUE)</f>
        <v>1.6978989816519424E-3</v>
      </c>
      <c r="Y143" s="112">
        <f>_xll.qlInterpolationInterpolate(AbcdInterpolation6M,W143,TRUE)</f>
        <v>1.6680451213672265E-3</v>
      </c>
    </row>
    <row r="144" spans="22:25" x14ac:dyDescent="0.2">
      <c r="V144" s="114">
        <f>_xll.qlCalendarAdvance(Calendar,V143,"1D","f")</f>
        <v>42999</v>
      </c>
      <c r="W144" s="100">
        <f t="shared" si="12"/>
        <v>0.55890410958904113</v>
      </c>
      <c r="X144" s="112">
        <f>_xll.qlInterpolationInterpolate(B6Minterpolation,V144,TRUE)</f>
        <v>1.6995892721242448E-3</v>
      </c>
      <c r="Y144" s="112">
        <f>_xll.qlInterpolationInterpolate(AbcdInterpolation6M,W144,TRUE)</f>
        <v>1.6699958520673529E-3</v>
      </c>
    </row>
    <row r="145" spans="22:25" x14ac:dyDescent="0.2">
      <c r="V145" s="114">
        <f>_xll.qlCalendarAdvance(Calendar,V144,"1D","f")</f>
        <v>43000</v>
      </c>
      <c r="W145" s="100">
        <f t="shared" si="12"/>
        <v>0.56164383561643838</v>
      </c>
      <c r="X145" s="112">
        <f>_xll.qlInterpolationInterpolate(B6Minterpolation,V145,TRUE)</f>
        <v>1.7012714136088159E-3</v>
      </c>
      <c r="Y145" s="112">
        <f>_xll.qlInterpolationInterpolate(AbcdInterpolation6M,W145,TRUE)</f>
        <v>1.6719407306027131E-3</v>
      </c>
    </row>
    <row r="146" spans="22:25" x14ac:dyDescent="0.2">
      <c r="V146" s="114">
        <f>_xll.qlCalendarAdvance(Calendar,V145,"1D","f")</f>
        <v>43003</v>
      </c>
      <c r="W146" s="100">
        <f t="shared" si="12"/>
        <v>0.56986301369863013</v>
      </c>
      <c r="X146" s="112">
        <f>_xll.qlInterpolationInterpolate(B6Minterpolation,V146,TRUE)</f>
        <v>1.7062688703127779E-3</v>
      </c>
      <c r="Y146" s="112">
        <f>_xll.qlInterpolationInterpolate(AbcdInterpolation6M,W146,TRUE)</f>
        <v>1.6777404371424811E-3</v>
      </c>
    </row>
    <row r="147" spans="22:25" x14ac:dyDescent="0.2">
      <c r="V147" s="114">
        <f>_xll.qlCalendarAdvance(Calendar,V146,"1D","f")</f>
        <v>43004</v>
      </c>
      <c r="W147" s="100">
        <f t="shared" si="12"/>
        <v>0.57260273972602738</v>
      </c>
      <c r="X147" s="112">
        <f>_xll.qlInterpolationInterpolate(B6Minterpolation,V147,TRUE)</f>
        <v>1.7079183420230606E-3</v>
      </c>
      <c r="Y147" s="112">
        <f>_xll.qlInterpolationInterpolate(AbcdInterpolation6M,W147,TRUE)</f>
        <v>1.6796620907581997E-3</v>
      </c>
    </row>
    <row r="148" spans="22:25" x14ac:dyDescent="0.2">
      <c r="V148" s="114">
        <f>_xll.qlCalendarAdvance(Calendar,V147,"1D","f")</f>
        <v>43005</v>
      </c>
      <c r="W148" s="100">
        <f t="shared" si="12"/>
        <v>0.57534246575342463</v>
      </c>
      <c r="X148" s="112">
        <f>_xll.qlInterpolationInterpolate(B6Minterpolation,V148,TRUE)</f>
        <v>1.7095596278339305E-3</v>
      </c>
      <c r="Y148" s="112">
        <f>_xll.qlInterpolationInterpolate(AbcdInterpolation6M,W148,TRUE)</f>
        <v>1.6815779838947594E-3</v>
      </c>
    </row>
    <row r="149" spans="22:25" x14ac:dyDescent="0.2">
      <c r="V149" s="114">
        <f>_xll.qlCalendarAdvance(Calendar,V148,"1D","f")</f>
        <v>43006</v>
      </c>
      <c r="W149" s="100">
        <f t="shared" si="12"/>
        <v>0.57808219178082187</v>
      </c>
      <c r="X149" s="112">
        <f>_xll.qlInterpolationInterpolate(B6Minterpolation,V149,TRUE)</f>
        <v>1.7111927203630512E-3</v>
      </c>
      <c r="Y149" s="112">
        <f>_xll.qlInterpolationInterpolate(AbcdInterpolation6M,W149,TRUE)</f>
        <v>1.6834881347776009E-3</v>
      </c>
    </row>
    <row r="150" spans="22:25" x14ac:dyDescent="0.2">
      <c r="V150" s="114">
        <f>_xll.qlCalendarAdvance(Calendar,V149,"1D","f")</f>
        <v>43007</v>
      </c>
      <c r="W150" s="100">
        <f t="shared" si="12"/>
        <v>0.58082191780821912</v>
      </c>
      <c r="X150" s="112">
        <f>_xll.qlInterpolationInterpolate(B6Minterpolation,V150,TRUE)</f>
        <v>1.7128176122280865E-3</v>
      </c>
      <c r="Y150" s="112">
        <f>_xll.qlInterpolationInterpolate(AbcdInterpolation6M,W150,TRUE)</f>
        <v>1.6853925615941563E-3</v>
      </c>
    </row>
    <row r="151" spans="22:25" x14ac:dyDescent="0.2">
      <c r="V151" s="114">
        <f>_xll.qlCalendarAdvance(Calendar,V150,"1D","f")</f>
        <v>43010</v>
      </c>
      <c r="W151" s="100">
        <f t="shared" si="12"/>
        <v>0.58904109589041098</v>
      </c>
      <c r="X151" s="112">
        <f>_xll.qlInterpolationInterpolate(B6Minterpolation,V151,TRUE)</f>
        <v>1.717643010015317E-3</v>
      </c>
      <c r="Y151" s="112">
        <f>_xll.qlInterpolationInterpolate(AbcdInterpolation6M,W151,TRUE)</f>
        <v>1.6910716789436319E-3</v>
      </c>
    </row>
    <row r="152" spans="22:25" x14ac:dyDescent="0.2">
      <c r="V152" s="114">
        <f>_xll.qlCalendarAdvance(Calendar,V151,"1D","f")</f>
        <v>43011</v>
      </c>
      <c r="W152" s="100">
        <f t="shared" si="12"/>
        <v>0.59178082191780823</v>
      </c>
      <c r="X152" s="112">
        <f>_xll.qlInterpolationInterpolate(B6Minterpolation,V152,TRUE)</f>
        <v>1.7192350254006477E-3</v>
      </c>
      <c r="Y152" s="112">
        <f>_xll.qlInterpolationInterpolate(AbcdInterpolation6M,W152,TRUE)</f>
        <v>1.6929533905981871E-3</v>
      </c>
    </row>
    <row r="153" spans="22:25" x14ac:dyDescent="0.2">
      <c r="V153" s="114">
        <f>_xll.qlCalendarAdvance(Calendar,V152,"1D","f")</f>
        <v>43012</v>
      </c>
      <c r="W153" s="100">
        <f t="shared" si="12"/>
        <v>0.59452054794520548</v>
      </c>
      <c r="X153" s="112">
        <f>_xll.qlInterpolationInterpolate(B6Minterpolation,V153,TRUE)</f>
        <v>1.7208188032102115E-3</v>
      </c>
      <c r="Y153" s="112">
        <f>_xll.qlInterpolationInterpolate(AbcdInterpolation6M,W153,TRUE)</f>
        <v>1.6948294685426241E-3</v>
      </c>
    </row>
    <row r="154" spans="22:25" x14ac:dyDescent="0.2">
      <c r="V154" s="114">
        <f>_xll.qlCalendarAdvance(Calendar,V153,"1D","f")</f>
        <v>43013</v>
      </c>
      <c r="W154" s="100">
        <f t="shared" si="12"/>
        <v>0.59726027397260273</v>
      </c>
      <c r="X154" s="112">
        <f>_xll.qlInterpolationInterpolate(B6Minterpolation,V154,TRUE)</f>
        <v>1.7223943360616721E-3</v>
      </c>
      <c r="Y154" s="112">
        <f>_xll.qlInterpolationInterpolate(AbcdInterpolation6M,W154,TRUE)</f>
        <v>1.6966999307299333E-3</v>
      </c>
    </row>
    <row r="155" spans="22:25" x14ac:dyDescent="0.2">
      <c r="V155" s="114">
        <f>_xll.qlCalendarAdvance(Calendar,V154,"1D","f")</f>
        <v>43014</v>
      </c>
      <c r="W155" s="100">
        <f t="shared" si="12"/>
        <v>0.6</v>
      </c>
      <c r="X155" s="112">
        <f>_xll.qlInterpolationInterpolate(B6Minterpolation,V155,TRUE)</f>
        <v>1.7239616165726933E-3</v>
      </c>
      <c r="Y155" s="112">
        <f>_xll.qlInterpolationInterpolate(AbcdInterpolation6M,W155,TRUE)</f>
        <v>1.6985647950730504E-3</v>
      </c>
    </row>
    <row r="156" spans="22:25" x14ac:dyDescent="0.2">
      <c r="V156" s="114">
        <f>_xll.qlCalendarAdvance(Calendar,V155,"1D","f")</f>
        <v>43017</v>
      </c>
      <c r="W156" s="100">
        <f t="shared" si="12"/>
        <v>0.60821917808219184</v>
      </c>
      <c r="X156" s="112">
        <f>_xll.qlInterpolationInterpolate(B6Minterpolation,V156,TRUE)</f>
        <v>1.7286138702397567E-3</v>
      </c>
      <c r="Y156" s="112">
        <f>_xll.qlInterpolationInterpolate(AbcdInterpolation6M,W156,TRUE)</f>
        <v>1.7041259795603444E-3</v>
      </c>
    </row>
    <row r="157" spans="22:25" x14ac:dyDescent="0.2">
      <c r="V157" s="114">
        <f>_xll.qlCalendarAdvance(Calendar,V156,"1D","f")</f>
        <v>43018</v>
      </c>
      <c r="W157" s="100">
        <f t="shared" si="12"/>
        <v>0.61095890410958908</v>
      </c>
      <c r="X157" s="112">
        <f>_xll.qlInterpolationInterpolate(B6Minterpolation,V157,TRUE)</f>
        <v>1.7301480675656568E-3</v>
      </c>
      <c r="Y157" s="112">
        <f>_xll.qlInterpolationInterpolate(AbcdInterpolation6M,W157,TRUE)</f>
        <v>1.7059686308459759E-3</v>
      </c>
    </row>
    <row r="158" spans="22:25" x14ac:dyDescent="0.2">
      <c r="V158" s="114">
        <f>_xll.qlCalendarAdvance(Calendar,V157,"1D","f")</f>
        <v>43019</v>
      </c>
      <c r="W158" s="100">
        <f t="shared" si="12"/>
        <v>0.61369863013698633</v>
      </c>
      <c r="X158" s="112">
        <f>_xll.qlInterpolationInterpolate(B6Minterpolation,V158,TRUE)</f>
        <v>1.731673975639436E-3</v>
      </c>
      <c r="Y158" s="112">
        <f>_xll.qlInterpolationInterpolate(AbcdInterpolation6M,W158,TRUE)</f>
        <v>1.7078057732424158E-3</v>
      </c>
    </row>
    <row r="159" spans="22:25" x14ac:dyDescent="0.2">
      <c r="V159" s="114">
        <f>_xll.qlCalendarAdvance(Calendar,V158,"1D","f")</f>
        <v>43020</v>
      </c>
      <c r="W159" s="100">
        <f t="shared" si="12"/>
        <v>0.61643835616438358</v>
      </c>
      <c r="X159" s="112">
        <f>_xll.qlInterpolationInterpolate(B6Minterpolation,V159,TRUE)</f>
        <v>1.733191587078758E-3</v>
      </c>
      <c r="Y159" s="112">
        <f>_xll.qlInterpolationInterpolate(AbcdInterpolation6M,W159,TRUE)</f>
        <v>1.7096374244170676E-3</v>
      </c>
    </row>
    <row r="160" spans="22:25" x14ac:dyDescent="0.2">
      <c r="V160" s="114">
        <f>_xll.qlCalendarAdvance(Calendar,V159,"1D","f")</f>
        <v>43021</v>
      </c>
      <c r="W160" s="100">
        <f t="shared" si="12"/>
        <v>0.61917808219178083</v>
      </c>
      <c r="X160" s="112">
        <f>_xll.qlInterpolationInterpolate(B6Minterpolation,V160,TRUE)</f>
        <v>1.7347008945012862E-3</v>
      </c>
      <c r="Y160" s="112">
        <f>_xll.qlInterpolationInterpolate(AbcdInterpolation6M,W160,TRUE)</f>
        <v>1.7114636019956223E-3</v>
      </c>
    </row>
    <row r="161" spans="22:25" x14ac:dyDescent="0.2">
      <c r="V161" s="114">
        <f>_xll.qlCalendarAdvance(Calendar,V160,"1D","f")</f>
        <v>43024</v>
      </c>
      <c r="W161" s="100">
        <f t="shared" si="12"/>
        <v>0.62739726027397258</v>
      </c>
      <c r="X161" s="112">
        <f>_xll.qlInterpolationInterpolate(B6Minterpolation,V161,TRUE)</f>
        <v>1.7391789188447469E-3</v>
      </c>
      <c r="Y161" s="112">
        <f>_xll.qlInterpolationInterpolate(AbcdInterpolation6M,W161,TRUE)</f>
        <v>1.7169094687814843E-3</v>
      </c>
    </row>
    <row r="162" spans="22:25" x14ac:dyDescent="0.2">
      <c r="V162" s="114">
        <f>_xll.qlCalendarAdvance(Calendar,V161,"1D","f")</f>
        <v>43025</v>
      </c>
      <c r="W162" s="100">
        <f t="shared" si="12"/>
        <v>0.63013698630136983</v>
      </c>
      <c r="X162" s="112">
        <f>_xll.qlInterpolationInterpolate(B6Minterpolation,V162,TRUE)</f>
        <v>1.740654936376738E-3</v>
      </c>
      <c r="Y162" s="112">
        <f>_xll.qlInterpolationInterpolate(AbcdInterpolation6M,W162,TRUE)</f>
        <v>1.7187139273910177E-3</v>
      </c>
    </row>
    <row r="163" spans="22:25" x14ac:dyDescent="0.2">
      <c r="V163" s="114">
        <f>_xll.qlCalendarAdvance(Calendar,V162,"1D","f")</f>
        <v>43026</v>
      </c>
      <c r="W163" s="100">
        <f t="shared" si="12"/>
        <v>0.63287671232876708</v>
      </c>
      <c r="X163" s="112">
        <f>_xll.qlInterpolationInterpolate(B6Minterpolation,V163,TRUE)</f>
        <v>1.742122612980254E-3</v>
      </c>
      <c r="Y163" s="112">
        <f>_xll.qlInterpolationInterpolate(AbcdInterpolation6M,W163,TRUE)</f>
        <v>1.7205129999000612E-3</v>
      </c>
    </row>
    <row r="164" spans="22:25" x14ac:dyDescent="0.2">
      <c r="V164" s="114">
        <f>_xll.qlCalendarAdvance(Calendar,V163,"1D","f")</f>
        <v>43027</v>
      </c>
      <c r="W164" s="100">
        <f t="shared" si="12"/>
        <v>0.63561643835616444</v>
      </c>
      <c r="X164" s="112">
        <f>_xll.qlInterpolationInterpolate(B6Minterpolation,V164,TRUE)</f>
        <v>1.7435819412729588E-3</v>
      </c>
      <c r="Y164" s="112">
        <f>_xll.qlInterpolationInterpolate(AbcdInterpolation6M,W164,TRUE)</f>
        <v>1.722306703679849E-3</v>
      </c>
    </row>
    <row r="165" spans="22:25" x14ac:dyDescent="0.2">
      <c r="V165" s="114">
        <f>_xll.qlCalendarAdvance(Calendar,V164,"1D","f")</f>
        <v>43028</v>
      </c>
      <c r="W165" s="100">
        <f t="shared" si="12"/>
        <v>0.63835616438356169</v>
      </c>
      <c r="X165" s="112">
        <f>_xll.qlInterpolationInterpolate(B6Minterpolation,V165,TRUE)</f>
        <v>1.7450329138725159E-3</v>
      </c>
      <c r="Y165" s="112">
        <f>_xll.qlInterpolationInterpolate(AbcdInterpolation6M,W165,TRUE)</f>
        <v>1.7240950560585694E-3</v>
      </c>
    </row>
    <row r="166" spans="22:25" x14ac:dyDescent="0.2">
      <c r="V166" s="114">
        <f>_xll.qlCalendarAdvance(Calendar,V165,"1D","f")</f>
        <v>43031</v>
      </c>
      <c r="W166" s="100">
        <f t="shared" si="12"/>
        <v>0.64657534246575343</v>
      </c>
      <c r="X166" s="112">
        <f>_xll.qlInterpolationInterpolate(B6Minterpolation,V166,TRUE)</f>
        <v>1.749335623688938E-3</v>
      </c>
      <c r="Y166" s="112">
        <f>_xll.qlInterpolationInterpolate(AbcdInterpolation6M,W166,TRUE)</f>
        <v>1.7294281774212182E-3</v>
      </c>
    </row>
    <row r="167" spans="22:25" x14ac:dyDescent="0.2">
      <c r="V167" s="114">
        <f>_xll.qlCalendarAdvance(Calendar,V166,"1D","f")</f>
        <v>43032</v>
      </c>
      <c r="W167" s="100">
        <f t="shared" si="12"/>
        <v>0.64931506849315068</v>
      </c>
      <c r="X167" s="112">
        <f>_xll.qlInterpolationInterpolate(B6Minterpolation,V167,TRUE)</f>
        <v>1.7507530996925416E-3</v>
      </c>
      <c r="Y167" s="112">
        <f>_xll.qlInterpolationInterpolate(AbcdInterpolation6M,W167,TRUE)</f>
        <v>1.7311952966111337E-3</v>
      </c>
    </row>
    <row r="168" spans="22:25" x14ac:dyDescent="0.2">
      <c r="V168" s="114">
        <f>_xll.qlCalendarAdvance(Calendar,V167,"1D","f")</f>
        <v>43033</v>
      </c>
      <c r="W168" s="100">
        <f t="shared" si="12"/>
        <v>0.65205479452054793</v>
      </c>
      <c r="X168" s="112">
        <f>_xll.qlInterpolationInterpolate(B6Minterpolation,V168,TRUE)</f>
        <v>1.752162183091316E-3</v>
      </c>
      <c r="Y168" s="112">
        <f>_xll.qlInterpolationInterpolate(AbcdInterpolation6M,W168,TRUE)</f>
        <v>1.7329571503897734E-3</v>
      </c>
    </row>
    <row r="169" spans="22:25" x14ac:dyDescent="0.2">
      <c r="V169" s="114">
        <f>_xll.qlCalendarAdvance(Calendar,V168,"1D","f")</f>
        <v>43034</v>
      </c>
      <c r="W169" s="100">
        <f t="shared" si="12"/>
        <v>0.65479452054794518</v>
      </c>
      <c r="X169" s="112">
        <f>_xll.qlInterpolationInterpolate(B6Minterpolation,V169,TRUE)</f>
        <v>1.7535628665029249E-3</v>
      </c>
      <c r="Y169" s="112">
        <f>_xll.qlInterpolationInterpolate(AbcdInterpolation6M,W169,TRUE)</f>
        <v>1.7347137558238342E-3</v>
      </c>
    </row>
    <row r="170" spans="22:25" x14ac:dyDescent="0.2">
      <c r="V170" s="114">
        <f>_xll.qlCalendarAdvance(Calendar,V169,"1D","f")</f>
        <v>43035</v>
      </c>
      <c r="W170" s="100">
        <f t="shared" si="12"/>
        <v>0.65753424657534243</v>
      </c>
      <c r="X170" s="112">
        <f>_xll.qlInterpolationInterpolate(B6Minterpolation,V170,TRUE)</f>
        <v>1.7549551425450321E-3</v>
      </c>
      <c r="Y170" s="112">
        <f>_xll.qlInterpolationInterpolate(AbcdInterpolation6M,W170,TRUE)</f>
        <v>1.7364651299359415E-3</v>
      </c>
    </row>
    <row r="171" spans="22:25" x14ac:dyDescent="0.2">
      <c r="V171" s="114">
        <f>_xll.qlCalendarAdvance(Calendar,V170,"1D","f")</f>
        <v>43038</v>
      </c>
      <c r="W171" s="100">
        <f t="shared" si="12"/>
        <v>0.66575342465753429</v>
      </c>
      <c r="X171" s="112">
        <f>_xll.qlInterpolationInterpolate(B6Minterpolation,V171,TRUE)</f>
        <v>1.7590814526309802E-3</v>
      </c>
      <c r="Y171" s="112">
        <f>_xll.qlInterpolationInterpolate(AbcdInterpolation6M,W171,TRUE)</f>
        <v>1.7416880339031315E-3</v>
      </c>
    </row>
    <row r="172" spans="22:25" x14ac:dyDescent="0.2">
      <c r="V172" s="114">
        <f>_xll.qlCalendarAdvance(Calendar,V171,"1D","f")</f>
        <v>43039</v>
      </c>
      <c r="W172" s="100">
        <f t="shared" si="12"/>
        <v>0.66849315068493154</v>
      </c>
      <c r="X172" s="112">
        <f>_xll.qlInterpolationInterpolate(B6Minterpolation,V172,TRUE)</f>
        <v>1.7604400253717176E-3</v>
      </c>
      <c r="Y172" s="112">
        <f>_xll.qlInterpolationInterpolate(AbcdInterpolation6M,W172,TRUE)</f>
        <v>1.7434186520679726E-3</v>
      </c>
    </row>
    <row r="173" spans="22:25" x14ac:dyDescent="0.2">
      <c r="V173" s="114">
        <f>_xll.qlCalendarAdvance(Calendar,V172,"1D","f")</f>
        <v>43040</v>
      </c>
      <c r="W173" s="100">
        <f t="shared" si="12"/>
        <v>0.67123287671232879</v>
      </c>
      <c r="X173" s="112">
        <f>_xll.qlInterpolationInterpolate(B6Minterpolation,V173,TRUE)</f>
        <v>1.7617901538312718E-3</v>
      </c>
      <c r="Y173" s="112">
        <f>_xll.qlInterpolationInterpolate(AbcdInterpolation6M,W173,TRUE)</f>
        <v>1.7451441233587097E-3</v>
      </c>
    </row>
    <row r="174" spans="22:25" x14ac:dyDescent="0.2">
      <c r="V174" s="114">
        <f>_xll.qlCalendarAdvance(Calendar,V173,"1D","f")</f>
        <v>43041</v>
      </c>
      <c r="W174" s="100">
        <f t="shared" si="12"/>
        <v>0.67397260273972603</v>
      </c>
      <c r="X174" s="112">
        <f>_xll.qlInterpolationInterpolate(B6Minterpolation,V174,TRUE)</f>
        <v>1.7631318306273063E-3</v>
      </c>
      <c r="Y174" s="112">
        <f>_xll.qlInterpolationInterpolate(AbcdInterpolation6M,W174,TRUE)</f>
        <v>1.7468644645310836E-3</v>
      </c>
    </row>
    <row r="175" spans="22:25" x14ac:dyDescent="0.2">
      <c r="V175" s="114">
        <f>_xll.qlCalendarAdvance(Calendar,V174,"1D","f")</f>
        <v>43042</v>
      </c>
      <c r="W175" s="100">
        <f t="shared" si="12"/>
        <v>0.67671232876712328</v>
      </c>
      <c r="X175" s="112">
        <f>_xll.qlInterpolationInterpolate(B6Minterpolation,V175,TRUE)</f>
        <v>1.7644650483774852E-3</v>
      </c>
      <c r="Y175" s="112">
        <f>_xll.qlInterpolationInterpolate(AbcdInterpolation6M,W175,TRUE)</f>
        <v>1.7485796922959919E-3</v>
      </c>
    </row>
    <row r="176" spans="22:25" x14ac:dyDescent="0.2">
      <c r="V176" s="114">
        <f>_xll.qlCalendarAdvance(Calendar,V175,"1D","f")</f>
        <v>43045</v>
      </c>
      <c r="W176" s="100">
        <f t="shared" si="12"/>
        <v>0.68493150684931503</v>
      </c>
      <c r="X176" s="112">
        <f>_xll.qlInterpolationInterpolate(B6Minterpolation,V176,TRUE)</f>
        <v>1.7684138735295238E-3</v>
      </c>
      <c r="Y176" s="112">
        <f>_xll.qlInterpolationInterpolate(AbcdInterpolation6M,W176,TRUE)</f>
        <v>1.7536948615803438E-3</v>
      </c>
    </row>
    <row r="177" spans="22:25" x14ac:dyDescent="0.2">
      <c r="V177" s="114">
        <f>_xll.qlCalendarAdvance(Calendar,V176,"1D","f")</f>
        <v>43046</v>
      </c>
      <c r="W177" s="100">
        <f t="shared" si="12"/>
        <v>0.68767123287671228</v>
      </c>
      <c r="X177" s="112">
        <f>_xll.qlInterpolationInterpolate(B6Minterpolation,V177,TRUE)</f>
        <v>1.7697131812729164E-3</v>
      </c>
      <c r="Y177" s="112">
        <f>_xll.qlInterpolationInterpolate(AbcdInterpolation6M,W177,TRUE)</f>
        <v>1.755389801924372E-3</v>
      </c>
    </row>
    <row r="178" spans="22:25" x14ac:dyDescent="0.2">
      <c r="V178" s="114">
        <f>_xll.qlCalendarAdvance(Calendar,V177,"1D","f")</f>
        <v>43047</v>
      </c>
      <c r="W178" s="100">
        <f t="shared" si="12"/>
        <v>0.69041095890410964</v>
      </c>
      <c r="X178" s="112">
        <f>_xll.qlInterpolationInterpolate(B6Minterpolation,V178,TRUE)</f>
        <v>1.7710039930587717E-3</v>
      </c>
      <c r="Y178" s="112">
        <f>_xll.qlInterpolationInterpolate(AbcdInterpolation6M,W178,TRUE)</f>
        <v>1.7570797117397114E-3</v>
      </c>
    </row>
    <row r="179" spans="22:25" x14ac:dyDescent="0.2">
      <c r="V179" s="114">
        <f>_xll.qlCalendarAdvance(Calendar,V178,"1D","f")</f>
        <v>43048</v>
      </c>
      <c r="W179" s="100">
        <f t="shared" si="12"/>
        <v>0.69315068493150689</v>
      </c>
      <c r="X179" s="112">
        <f>_xll.qlInterpolationInterpolate(B6Minterpolation,V179,TRUE)</f>
        <v>1.7722863015047533E-3</v>
      </c>
      <c r="Y179" s="112">
        <f>_xll.qlInterpolationInterpolate(AbcdInterpolation6M,W179,TRUE)</f>
        <v>1.7587646074664278E-3</v>
      </c>
    </row>
    <row r="180" spans="22:25" x14ac:dyDescent="0.2">
      <c r="V180" s="114">
        <f>_xll.qlCalendarAdvance(Calendar,V179,"1D","f")</f>
        <v>43049</v>
      </c>
      <c r="W180" s="100">
        <f t="shared" si="12"/>
        <v>0.69589041095890414</v>
      </c>
      <c r="X180" s="112">
        <f>_xll.qlInterpolationInterpolate(B6Minterpolation,V180,TRUE)</f>
        <v>1.7735600992285253E-3</v>
      </c>
      <c r="Y180" s="112">
        <f>_xll.qlInterpolationInterpolate(AbcdInterpolation6M,W180,TRUE)</f>
        <v>1.7604445054991932E-3</v>
      </c>
    </row>
    <row r="181" spans="22:25" x14ac:dyDescent="0.2">
      <c r="V181" s="114">
        <f>_xll.qlCalendarAdvance(Calendar,V180,"1D","f")</f>
        <v>43052</v>
      </c>
      <c r="W181" s="100">
        <f t="shared" si="12"/>
        <v>0.70410958904109588</v>
      </c>
      <c r="X181" s="112">
        <f>_xll.qlInterpolationInterpolate(B6Minterpolation,V181,TRUE)</f>
        <v>1.7773303542432187E-3</v>
      </c>
      <c r="Y181" s="112">
        <f>_xll.qlInterpolationInterpolate(AbcdInterpolation6M,W181,TRUE)</f>
        <v>1.7654543766983249E-3</v>
      </c>
    </row>
    <row r="182" spans="22:25" x14ac:dyDescent="0.2">
      <c r="V182" s="114">
        <f>_xll.qlCalendarAdvance(Calendar,V181,"1D","f")</f>
        <v>43053</v>
      </c>
      <c r="W182" s="100">
        <f t="shared" si="12"/>
        <v>0.70684931506849313</v>
      </c>
      <c r="X182" s="112">
        <f>_xll.qlInterpolationInterpolate(B6Minterpolation,V182,TRUE)</f>
        <v>1.778570035254788E-3</v>
      </c>
      <c r="Y182" s="112">
        <f>_xll.qlInterpolationInterpolate(AbcdInterpolation6M,W182,TRUE)</f>
        <v>1.767114446992051E-3</v>
      </c>
    </row>
    <row r="183" spans="22:25" x14ac:dyDescent="0.2">
      <c r="V183" s="114">
        <f>_xll.qlCalendarAdvance(Calendar,V182,"1D","f")</f>
        <v>43054</v>
      </c>
      <c r="W183" s="100">
        <f t="shared" si="12"/>
        <v>0.70958904109589038</v>
      </c>
      <c r="X183" s="112">
        <f>_xll.qlInterpolationInterpolate(B6Minterpolation,V183,TRUE)</f>
        <v>1.779801168632466E-3</v>
      </c>
      <c r="Y183" s="112">
        <f>_xll.qlInterpolationInterpolate(AbcdInterpolation6M,W183,TRUE)</f>
        <v>1.7687696008822542E-3</v>
      </c>
    </row>
    <row r="184" spans="22:25" x14ac:dyDescent="0.2">
      <c r="V184" s="114">
        <f>_xll.qlCalendarAdvance(Calendar,V183,"1D","f")</f>
        <v>43055</v>
      </c>
      <c r="W184" s="100">
        <f t="shared" si="12"/>
        <v>0.71232876712328763</v>
      </c>
      <c r="X184" s="112">
        <f>_xll.qlInterpolationInterpolate(B6Minterpolation,V184,TRUE)</f>
        <v>1.7810237469939162E-3</v>
      </c>
      <c r="Y184" s="112">
        <f>_xll.qlInterpolationInterpolate(AbcdInterpolation6M,W184,TRUE)</f>
        <v>1.7704198544900795E-3</v>
      </c>
    </row>
    <row r="185" spans="22:25" x14ac:dyDescent="0.2">
      <c r="V185" s="114">
        <f>_xll.qlCalendarAdvance(Calendar,V184,"1D","f")</f>
        <v>43056</v>
      </c>
      <c r="W185" s="100">
        <f t="shared" si="12"/>
        <v>0.71506849315068488</v>
      </c>
      <c r="X185" s="112">
        <f>_xll.qlInterpolationInterpolate(B6Minterpolation,V185,TRUE)</f>
        <v>1.7822377629568027E-3</v>
      </c>
      <c r="Y185" s="112">
        <f>_xll.qlInterpolationInterpolate(AbcdInterpolation6M,W185,TRUE)</f>
        <v>1.7720652238909273E-3</v>
      </c>
    </row>
    <row r="186" spans="22:25" x14ac:dyDescent="0.2">
      <c r="V186" s="114">
        <f>_xll.qlCalendarAdvance(Calendar,V185,"1D","f")</f>
        <v>43059</v>
      </c>
      <c r="W186" s="100">
        <f t="shared" si="12"/>
        <v>0.72328767123287674</v>
      </c>
      <c r="X186" s="112">
        <f>_xll.qlInterpolationInterpolate(B6Minterpolation,V186,TRUE)</f>
        <v>1.7858283626307151E-3</v>
      </c>
      <c r="Y186" s="112">
        <f>_xll.qlInterpolationInterpolate(AbcdInterpolation6M,W186,TRUE)</f>
        <v>1.7769721869186576E-3</v>
      </c>
    </row>
    <row r="187" spans="22:25" x14ac:dyDescent="0.2">
      <c r="V187" s="114">
        <f>_xll.qlCalendarAdvance(Calendar,V186,"1D","f")</f>
        <v>43060</v>
      </c>
      <c r="W187" s="100">
        <f t="shared" si="12"/>
        <v>0.72602739726027399</v>
      </c>
      <c r="X187" s="112">
        <f>_xll.qlInterpolationInterpolate(B6Minterpolation,V187,TRUE)</f>
        <v>1.7870080551759826E-3</v>
      </c>
      <c r="Y187" s="112">
        <f>_xll.qlInterpolationInterpolate(AbcdInterpolation6M,W187,TRUE)</f>
        <v>1.7785981793294553E-3</v>
      </c>
    </row>
    <row r="188" spans="22:25" x14ac:dyDescent="0.2">
      <c r="V188" s="114">
        <f>_xll.qlCalendarAdvance(Calendar,V187,"1D","f")</f>
        <v>43061</v>
      </c>
      <c r="W188" s="100">
        <f t="shared" si="12"/>
        <v>0.72876712328767124</v>
      </c>
      <c r="X188" s="112">
        <f>_xll.qlInterpolationInterpolate(B6Minterpolation,V188,TRUE)</f>
        <v>1.7881791484110046E-3</v>
      </c>
      <c r="Y188" s="112">
        <f>_xll.qlInterpolationInterpolate(AbcdInterpolation6M,W188,TRUE)</f>
        <v>1.7802193672229205E-3</v>
      </c>
    </row>
    <row r="189" spans="22:25" x14ac:dyDescent="0.2">
      <c r="V189" s="114">
        <f>_xll.qlCalendarAdvance(Calendar,V188,"1D","f")</f>
        <v>43062</v>
      </c>
      <c r="W189" s="100">
        <f t="shared" si="12"/>
        <v>0.73150684931506849</v>
      </c>
      <c r="X189" s="112">
        <f>_xll.qlInterpolationInterpolate(B6Minterpolation,V189,TRUE)</f>
        <v>1.7893416349534451E-3</v>
      </c>
      <c r="Y189" s="112">
        <f>_xll.qlInterpolationInterpolate(AbcdInterpolation6M,W189,TRUE)</f>
        <v>1.7818357663993293E-3</v>
      </c>
    </row>
    <row r="190" spans="22:25" x14ac:dyDescent="0.2">
      <c r="V190" s="114">
        <f>_xll.qlCalendarAdvance(Calendar,V189,"1D","f")</f>
        <v>43063</v>
      </c>
      <c r="W190" s="100">
        <f t="shared" si="12"/>
        <v>0.73424657534246573</v>
      </c>
      <c r="X190" s="112">
        <f>_xll.qlInterpolationInterpolate(B6Minterpolation,V190,TRUE)</f>
        <v>1.7904955074209675E-3</v>
      </c>
      <c r="Y190" s="112">
        <f>_xll.qlInterpolationInterpolate(AbcdInterpolation6M,W190,TRUE)</f>
        <v>1.7834473926130272E-3</v>
      </c>
    </row>
    <row r="191" spans="22:25" x14ac:dyDescent="0.2">
      <c r="V191" s="114">
        <f>_xll.qlCalendarAdvance(Calendar,V190,"1D","f")</f>
        <v>43066</v>
      </c>
      <c r="W191" s="100">
        <f t="shared" si="12"/>
        <v>0.74246575342465748</v>
      </c>
      <c r="X191" s="112">
        <f>_xll.qlInterpolationInterpolate(B6Minterpolation,V191,TRUE)</f>
        <v>1.7939053665506632E-3</v>
      </c>
      <c r="Y191" s="112">
        <f>_xll.qlInterpolationInterpolate(AbcdInterpolation6M,W191,TRUE)</f>
        <v>1.7882537903320859E-3</v>
      </c>
    </row>
    <row r="192" spans="22:25" x14ac:dyDescent="0.2">
      <c r="V192" s="114">
        <f>_xll.qlCalendarAdvance(Calendar,V191,"1D","f")</f>
        <v>43067</v>
      </c>
      <c r="W192" s="100">
        <f t="shared" si="12"/>
        <v>0.74520547945205484</v>
      </c>
      <c r="X192" s="112">
        <f>_xll.qlInterpolationInterpolate(B6Minterpolation,V192,TRUE)</f>
        <v>1.7950247088951504E-3</v>
      </c>
      <c r="Y192" s="112">
        <f>_xll.qlInterpolationInterpolate(AbcdInterpolation6M,W192,TRUE)</f>
        <v>1.7898464813193671E-3</v>
      </c>
    </row>
    <row r="193" spans="22:25" x14ac:dyDescent="0.2">
      <c r="V193" s="114">
        <f>_xll.qlCalendarAdvance(Calendar,V192,"1D","f")</f>
        <v>43068</v>
      </c>
      <c r="W193" s="100">
        <f t="shared" si="12"/>
        <v>0.74794520547945209</v>
      </c>
      <c r="X193" s="112">
        <f>_xll.qlInterpolationInterpolate(B6Minterpolation,V193,TRUE)</f>
        <v>1.7961354002530381E-3</v>
      </c>
      <c r="Y193" s="112">
        <f>_xll.qlInterpolationInterpolate(AbcdInterpolation6M,W193,TRUE)</f>
        <v>1.7914344774263317E-3</v>
      </c>
    </row>
    <row r="194" spans="22:25" x14ac:dyDescent="0.2">
      <c r="V194" s="114">
        <f>_xll.qlCalendarAdvance(Calendar,V193,"1D","f")</f>
        <v>43069</v>
      </c>
      <c r="W194" s="100">
        <f t="shared" si="12"/>
        <v>0.75068493150684934</v>
      </c>
      <c r="X194" s="112">
        <f>_xll.qlInterpolationInterpolate(B6Minterpolation,V194,TRUE)</f>
        <v>1.7972374332419899E-3</v>
      </c>
      <c r="Y194" s="112">
        <f>_xll.qlInterpolationInterpolate(AbcdInterpolation6M,W194,TRUE)</f>
        <v>1.7930177941315548E-3</v>
      </c>
    </row>
    <row r="195" spans="22:25" x14ac:dyDescent="0.2">
      <c r="V195" s="114">
        <f>_xll.qlCalendarAdvance(Calendar,V194,"1D","f")</f>
        <v>43070</v>
      </c>
      <c r="W195" s="100">
        <f t="shared" ref="W195:W258" si="13">(V195-EvaluationDate)/365</f>
        <v>0.75342465753424659</v>
      </c>
      <c r="X195" s="112">
        <f>_xll.qlInterpolationInterpolate(B6Minterpolation,V195,TRUE)</f>
        <v>1.7983308004796696E-3</v>
      </c>
      <c r="Y195" s="112">
        <f>_xll.qlInterpolationInterpolate(AbcdInterpolation6M,W195,TRUE)</f>
        <v>1.7945964468676493E-3</v>
      </c>
    </row>
    <row r="196" spans="22:25" x14ac:dyDescent="0.2">
      <c r="V196" s="114">
        <f>_xll.qlCalendarAdvance(Calendar,V195,"1D","f")</f>
        <v>43073</v>
      </c>
      <c r="W196" s="100">
        <f t="shared" si="13"/>
        <v>0.76164383561643834</v>
      </c>
      <c r="X196" s="112">
        <f>_xll.qlInterpolationInterpolate(B6Minterpolation,V196,TRUE)</f>
        <v>1.8015588338617134E-3</v>
      </c>
      <c r="Y196" s="112">
        <f>_xll.qlInterpolationInterpolate(AbcdInterpolation6M,W196,TRUE)</f>
        <v>1.7993045748979182E-3</v>
      </c>
    </row>
    <row r="197" spans="22:25" x14ac:dyDescent="0.2">
      <c r="V197" s="114">
        <f>_xll.qlCalendarAdvance(Calendar,V196,"1D","f")</f>
        <v>43074</v>
      </c>
      <c r="W197" s="100">
        <f t="shared" si="13"/>
        <v>0.76438356164383559</v>
      </c>
      <c r="X197" s="112">
        <f>_xll.qlInterpolationInterpolate(B6Minterpolation,V197,TRUE)</f>
        <v>1.8026174919068595E-3</v>
      </c>
      <c r="Y197" s="112">
        <f>_xll.qlInterpolationInterpolate(AbcdInterpolation6M,W197,TRUE)</f>
        <v>1.8008647251645444E-3</v>
      </c>
    </row>
    <row r="198" spans="22:25" x14ac:dyDescent="0.2">
      <c r="V198" s="114">
        <f>_xll.qlCalendarAdvance(Calendar,V197,"1D","f")</f>
        <v>43075</v>
      </c>
      <c r="W198" s="100">
        <f t="shared" si="13"/>
        <v>0.76712328767123283</v>
      </c>
      <c r="X198" s="112">
        <f>_xll.qlInterpolationInterpolate(B6Minterpolation,V198,TRUE)</f>
        <v>1.8036676131045594E-3</v>
      </c>
      <c r="Y198" s="112">
        <f>_xll.qlInterpolationInterpolate(AbcdInterpolation6M,W198,TRUE)</f>
        <v>1.8024202879359011E-3</v>
      </c>
    </row>
    <row r="199" spans="22:25" x14ac:dyDescent="0.2">
      <c r="V199" s="114">
        <f>_xll.qlCalendarAdvance(Calendar,V198,"1D","f")</f>
        <v>43076</v>
      </c>
      <c r="W199" s="100">
        <f t="shared" si="13"/>
        <v>0.76986301369863008</v>
      </c>
      <c r="X199" s="112">
        <f>_xll.qlInterpolationInterpolate(B6Minterpolation,V199,TRUE)</f>
        <v>1.8047093558879838E-3</v>
      </c>
      <c r="Y199" s="112">
        <f>_xll.qlInterpolationInterpolate(AbcdInterpolation6M,W199,TRUE)</f>
        <v>1.8039712783690133E-3</v>
      </c>
    </row>
    <row r="200" spans="22:25" x14ac:dyDescent="0.2">
      <c r="V200" s="114">
        <f>_xll.qlCalendarAdvance(Calendar,V199,"1D","f")</f>
        <v>43077</v>
      </c>
      <c r="W200" s="100">
        <f t="shared" si="13"/>
        <v>0.77260273972602744</v>
      </c>
      <c r="X200" s="112">
        <f>_xll.qlInterpolationInterpolate(B6Minterpolation,V200,TRUE)</f>
        <v>1.8057428786903038E-3</v>
      </c>
      <c r="Y200" s="112">
        <f>_xll.qlInterpolationInterpolate(AbcdInterpolation6M,W200,TRUE)</f>
        <v>1.8055177115750356E-3</v>
      </c>
    </row>
    <row r="201" spans="22:25" x14ac:dyDescent="0.2">
      <c r="V201" s="114">
        <f>_xll.qlCalendarAdvance(Calendar,V200,"1D","f")</f>
        <v>43080</v>
      </c>
      <c r="W201" s="100">
        <f t="shared" si="13"/>
        <v>0.78082191780821919</v>
      </c>
      <c r="X201" s="112">
        <f>_xll.qlInterpolationInterpolate(B6Minterpolation,V201,TRUE)</f>
        <v>1.8087957115423469E-3</v>
      </c>
      <c r="Y201" s="112">
        <f>_xll.qlInterpolationInterpolate(AbcdInterpolation6M,W201,TRUE)</f>
        <v>1.8101298182544947E-3</v>
      </c>
    </row>
    <row r="202" spans="22:25" x14ac:dyDescent="0.2">
      <c r="V202" s="114">
        <f>_xll.qlCalendarAdvance(Calendar,V201,"1D","f")</f>
        <v>43081</v>
      </c>
      <c r="W202" s="100">
        <f t="shared" si="13"/>
        <v>0.78356164383561644</v>
      </c>
      <c r="X202" s="112">
        <f>_xll.qlInterpolationInterpolate(B6Minterpolation,V202,TRUE)</f>
        <v>1.8097979387519589E-3</v>
      </c>
      <c r="Y202" s="112">
        <f>_xll.qlInterpolationInterpolate(AbcdInterpolation6M,W202,TRUE)</f>
        <v>1.8116581727470754E-3</v>
      </c>
    </row>
    <row r="203" spans="22:25" x14ac:dyDescent="0.2">
      <c r="V203" s="114">
        <f>_xll.qlCalendarAdvance(Calendar,V202,"1D","f")</f>
        <v>43082</v>
      </c>
      <c r="W203" s="100">
        <f t="shared" si="13"/>
        <v>0.78630136986301369</v>
      </c>
      <c r="X203" s="112">
        <f>_xll.qlInterpolationInterpolate(B6Minterpolation,V203,TRUE)</f>
        <v>1.8107927381463211E-3</v>
      </c>
      <c r="Y203" s="112">
        <f>_xll.qlInterpolationInterpolate(AbcdInterpolation6M,W203,TRUE)</f>
        <v>1.8131820448811142E-3</v>
      </c>
    </row>
    <row r="204" spans="22:25" x14ac:dyDescent="0.2">
      <c r="V204" s="114">
        <f>_xll.qlCalendarAdvance(Calendar,V203,"1D","f")</f>
        <v>43083</v>
      </c>
      <c r="W204" s="100">
        <f t="shared" si="13"/>
        <v>0.78904109589041094</v>
      </c>
      <c r="X204" s="112">
        <f>_xll.qlInterpolationInterpolate(B6Minterpolation,V204,TRUE)</f>
        <v>1.8117802681586045E-3</v>
      </c>
      <c r="Y204" s="112">
        <f>_xll.qlInterpolationInterpolate(AbcdInterpolation6M,W204,TRUE)</f>
        <v>1.814701449493082E-3</v>
      </c>
    </row>
    <row r="205" spans="22:25" x14ac:dyDescent="0.2">
      <c r="V205" s="114">
        <f>_xll.qlCalendarAdvance(Calendar,V204,"1D","f")</f>
        <v>43084</v>
      </c>
      <c r="W205" s="100">
        <f t="shared" si="13"/>
        <v>0.79178082191780819</v>
      </c>
      <c r="X205" s="112">
        <f>_xll.qlInterpolationInterpolate(B6Minterpolation,V205,TRUE)</f>
        <v>1.8127606872219803E-3</v>
      </c>
      <c r="Y205" s="112">
        <f>_xll.qlInterpolationInterpolate(AbcdInterpolation6M,W205,TRUE)</f>
        <v>1.8162164013737806E-3</v>
      </c>
    </row>
    <row r="206" spans="22:25" x14ac:dyDescent="0.2">
      <c r="V206" s="114">
        <f>_xll.qlCalendarAdvance(Calendar,V205,"1D","f")</f>
        <v>43087</v>
      </c>
      <c r="W206" s="100">
        <f t="shared" si="13"/>
        <v>0.8</v>
      </c>
      <c r="X206" s="112">
        <f>_xll.qlInterpolationInterpolate(B6Minterpolation,V206,TRUE)</f>
        <v>1.8156608630503707E-3</v>
      </c>
      <c r="Y206" s="112">
        <f>_xll.qlInterpolationInterpolate(AbcdInterpolation6M,W206,TRUE)</f>
        <v>1.820734687852066E-3</v>
      </c>
    </row>
    <row r="207" spans="22:25" x14ac:dyDescent="0.2">
      <c r="V207" s="114">
        <f>_xll.qlCalendarAdvance(Calendar,V206,"1D","f")</f>
        <v>43088</v>
      </c>
      <c r="W207" s="100">
        <f t="shared" si="13"/>
        <v>0.80273972602739729</v>
      </c>
      <c r="X207" s="112">
        <f>_xll.qlInterpolationInterpolate(B6Minterpolation,V207,TRUE)</f>
        <v>1.8166144226498251E-3</v>
      </c>
      <c r="Y207" s="112">
        <f>_xll.qlInterpolationInterpolate(AbcdInterpolation6M,W207,TRUE)</f>
        <v>1.8222319758037001E-3</v>
      </c>
    </row>
    <row r="208" spans="22:25" x14ac:dyDescent="0.2">
      <c r="V208" s="114">
        <f>_xll.qlCalendarAdvance(Calendar,V207,"1D","f")</f>
        <v>43089</v>
      </c>
      <c r="W208" s="100">
        <f t="shared" si="13"/>
        <v>0.80547945205479454</v>
      </c>
      <c r="X208" s="112">
        <f>_xll.qlInterpolationInterpolate(B6Minterpolation,V208,TRUE)</f>
        <v>1.8175616634662267E-3</v>
      </c>
      <c r="Y208" s="112">
        <f>_xll.qlInterpolationInterpolate(AbcdInterpolation6M,W208,TRUE)</f>
        <v>1.823724884294429E-3</v>
      </c>
    </row>
    <row r="209" spans="22:25" x14ac:dyDescent="0.2">
      <c r="V209" s="114">
        <f>_xll.qlCalendarAdvance(Calendar,V208,"1D","f")</f>
        <v>43090</v>
      </c>
      <c r="W209" s="100">
        <f t="shared" si="13"/>
        <v>0.80821917808219179</v>
      </c>
      <c r="X209" s="112">
        <f>_xll.qlInterpolationInterpolate(B6Minterpolation,V209,TRUE)</f>
        <v>1.818502743932746E-3</v>
      </c>
      <c r="Y209" s="112">
        <f>_xll.qlInterpolationInterpolate(AbcdInterpolation6M,W209,TRUE)</f>
        <v>1.8252134278418991E-3</v>
      </c>
    </row>
    <row r="210" spans="22:25" x14ac:dyDescent="0.2">
      <c r="V210" s="114">
        <f>_xll.qlCalendarAdvance(Calendar,V209,"1D","f")</f>
        <v>43091</v>
      </c>
      <c r="W210" s="100">
        <f t="shared" si="13"/>
        <v>0.81095890410958904</v>
      </c>
      <c r="X210" s="112">
        <f>_xll.qlInterpolationInterpolate(B6Minterpolation,V210,TRUE)</f>
        <v>1.8194378224825544E-3</v>
      </c>
      <c r="Y210" s="112">
        <f>_xll.qlInterpolationInterpolate(AbcdInterpolation6M,W210,TRUE)</f>
        <v>1.8266976209183863E-3</v>
      </c>
    </row>
    <row r="211" spans="22:25" x14ac:dyDescent="0.2">
      <c r="V211" s="114">
        <f>_xll.qlCalendarAdvance(Calendar,V210,"1D","f")</f>
        <v>43096</v>
      </c>
      <c r="W211" s="100">
        <f t="shared" si="13"/>
        <v>0.8246575342465754</v>
      </c>
      <c r="X211" s="112">
        <f>_xll.qlInterpolationInterpolate(B6Minterpolation,V211,TRUE)</f>
        <v>1.8240287316419143E-3</v>
      </c>
      <c r="Y211" s="112">
        <f>_xll.qlInterpolationInterpolate(AbcdInterpolation6M,W211,TRUE)</f>
        <v>1.8340538325965E-3</v>
      </c>
    </row>
    <row r="212" spans="22:25" x14ac:dyDescent="0.2">
      <c r="V212" s="114">
        <f>_xll.qlCalendarAdvance(Calendar,V211,"1D","f")</f>
        <v>43097</v>
      </c>
      <c r="W212" s="100">
        <f t="shared" si="13"/>
        <v>0.82739726027397265</v>
      </c>
      <c r="X212" s="112">
        <f>_xll.qlInterpolationInterpolate(B6Minterpolation,V212,TRUE)</f>
        <v>1.8249311257880466E-3</v>
      </c>
      <c r="Y212" s="112">
        <f>_xll.qlInterpolationInterpolate(AbcdInterpolation6M,W212,TRUE)</f>
        <v>1.835512224230844E-3</v>
      </c>
    </row>
    <row r="213" spans="22:25" x14ac:dyDescent="0.2">
      <c r="V213" s="114">
        <f>_xll.qlCalendarAdvance(Calendar,V212,"1D","f")</f>
        <v>43098</v>
      </c>
      <c r="W213" s="100">
        <f t="shared" si="13"/>
        <v>0.83013698630136989</v>
      </c>
      <c r="X213" s="112">
        <f>_xll.qlInterpolationInterpolate(B6Minterpolation,V213,TRUE)</f>
        <v>1.8258286270496644E-3</v>
      </c>
      <c r="Y213" s="112">
        <f>_xll.qlInterpolationInterpolate(AbcdInterpolation6M,W213,TRUE)</f>
        <v>1.8369663654342642E-3</v>
      </c>
    </row>
    <row r="214" spans="22:25" x14ac:dyDescent="0.2">
      <c r="V214" s="114">
        <f>_xll.qlCalendarAdvance(Calendar,V213,"1D","f")</f>
        <v>43102</v>
      </c>
      <c r="W214" s="100">
        <f t="shared" si="13"/>
        <v>0.84109589041095889</v>
      </c>
      <c r="X214" s="112">
        <f>_xll.qlInterpolationInterpolate(B6Minterpolation,V214,TRUE)</f>
        <v>1.8293728719144114E-3</v>
      </c>
      <c r="Y214" s="112">
        <f>_xll.qlInterpolationInterpolate(AbcdInterpolation6M,W214,TRUE)</f>
        <v>1.8427407074916692E-3</v>
      </c>
    </row>
    <row r="215" spans="22:25" x14ac:dyDescent="0.2">
      <c r="V215" s="114">
        <f>_xll.qlCalendarAdvance(Calendar,V214,"1D","f")</f>
        <v>43103</v>
      </c>
      <c r="W215" s="100">
        <f t="shared" si="13"/>
        <v>0.84383561643835614</v>
      </c>
      <c r="X215" s="112">
        <f>_xll.qlInterpolationInterpolate(B6Minterpolation,V215,TRUE)</f>
        <v>1.8302482852510221E-3</v>
      </c>
      <c r="Y215" s="112">
        <f>_xll.qlInterpolationInterpolate(AbcdInterpolation6M,W215,TRUE)</f>
        <v>1.8441738073133381E-3</v>
      </c>
    </row>
    <row r="216" spans="22:25" x14ac:dyDescent="0.2">
      <c r="V216" s="114">
        <f>_xll.qlCalendarAdvance(Calendar,V215,"1D","f")</f>
        <v>43104</v>
      </c>
      <c r="W216" s="100">
        <f t="shared" si="13"/>
        <v>0.84657534246575339</v>
      </c>
      <c r="X216" s="112">
        <f>_xll.qlInterpolationInterpolate(B6Minterpolation,V216,TRUE)</f>
        <v>1.8311197563021439E-3</v>
      </c>
      <c r="Y216" s="112">
        <f>_xll.qlInterpolationInterpolate(AbcdInterpolation6M,W216,TRUE)</f>
        <v>1.8456027407001171E-3</v>
      </c>
    </row>
    <row r="217" spans="22:25" x14ac:dyDescent="0.2">
      <c r="V217" s="114">
        <f>_xll.qlCalendarAdvance(Calendar,V216,"1D","f")</f>
        <v>43105</v>
      </c>
      <c r="W217" s="100">
        <f t="shared" si="13"/>
        <v>0.84931506849315064</v>
      </c>
      <c r="X217" s="112">
        <f>_xll.qlInterpolationInterpolate(B6Minterpolation,V217,TRUE)</f>
        <v>1.8319874435009482E-3</v>
      </c>
      <c r="Y217" s="112">
        <f>_xll.qlInterpolationInterpolate(AbcdInterpolation6M,W217,TRUE)</f>
        <v>1.8470275214950995E-3</v>
      </c>
    </row>
    <row r="218" spans="22:25" x14ac:dyDescent="0.2">
      <c r="V218" s="114">
        <f>_xll.qlCalendarAdvance(Calendar,V217,"1D","f")</f>
        <v>43108</v>
      </c>
      <c r="W218" s="100">
        <f t="shared" si="13"/>
        <v>0.8575342465753425</v>
      </c>
      <c r="X218" s="112">
        <f>_xll.qlInterpolationInterpolate(B6Minterpolation,V218,TRUE)</f>
        <v>1.8345693863151644E-3</v>
      </c>
      <c r="Y218" s="112">
        <f>_xll.qlInterpolationInterpolate(AbcdInterpolation6M,W218,TRUE)</f>
        <v>1.8512770860937674E-3</v>
      </c>
    </row>
    <row r="219" spans="22:25" x14ac:dyDescent="0.2">
      <c r="V219" s="114">
        <f>_xll.qlCalendarAdvance(Calendar,V218,"1D","f")</f>
        <v>43109</v>
      </c>
      <c r="W219" s="100">
        <f t="shared" si="13"/>
        <v>0.86027397260273974</v>
      </c>
      <c r="X219" s="112">
        <f>_xll.qlInterpolationInterpolate(B6Minterpolation,V219,TRUE)</f>
        <v>1.8354235224364076E-3</v>
      </c>
      <c r="Y219" s="112">
        <f>_xll.qlInterpolationInterpolate(AbcdInterpolation6M,W219,TRUE)</f>
        <v>1.8526853940644195E-3</v>
      </c>
    </row>
    <row r="220" spans="22:25" x14ac:dyDescent="0.2">
      <c r="V220" s="114">
        <f>_xll.qlCalendarAdvance(Calendar,V219,"1D","f")</f>
        <v>43110</v>
      </c>
      <c r="W220" s="100">
        <f t="shared" si="13"/>
        <v>0.86301369863013699</v>
      </c>
      <c r="X220" s="112">
        <f>_xll.qlInterpolationInterpolate(B6Minterpolation,V220,TRUE)</f>
        <v>1.836274666871188E-3</v>
      </c>
      <c r="Y220" s="112">
        <f>_xll.qlInterpolationInterpolate(AbcdInterpolation6M,W220,TRUE)</f>
        <v>1.8540896179933181E-3</v>
      </c>
    </row>
    <row r="221" spans="22:25" x14ac:dyDescent="0.2">
      <c r="V221" s="114">
        <f>_xll.qlCalendarAdvance(Calendar,V220,"1D","f")</f>
        <v>43111</v>
      </c>
      <c r="W221" s="100">
        <f t="shared" si="13"/>
        <v>0.86575342465753424</v>
      </c>
      <c r="X221" s="112">
        <f>_xll.qlInterpolationInterpolate(B6Minterpolation,V221,TRUE)</f>
        <v>1.8371229780526765E-3</v>
      </c>
      <c r="Y221" s="112">
        <f>_xll.qlInterpolationInterpolate(AbcdInterpolation6M,W221,TRUE)</f>
        <v>1.8554897714579016E-3</v>
      </c>
    </row>
    <row r="222" spans="22:25" x14ac:dyDescent="0.2">
      <c r="V222" s="114">
        <f>_xll.qlCalendarAdvance(Calendar,V221,"1D","f")</f>
        <v>43112</v>
      </c>
      <c r="W222" s="100">
        <f t="shared" si="13"/>
        <v>0.86849315068493149</v>
      </c>
      <c r="X222" s="112">
        <f>_xll.qlInterpolationInterpolate(B6Minterpolation,V222,TRUE)</f>
        <v>1.8379686144140439E-3</v>
      </c>
      <c r="Y222" s="112">
        <f>_xll.qlInterpolationInterpolate(AbcdInterpolation6M,W222,TRUE)</f>
        <v>1.8568858679915967E-3</v>
      </c>
    </row>
    <row r="223" spans="22:25" x14ac:dyDescent="0.2">
      <c r="V223" s="114">
        <f>_xll.qlCalendarAdvance(Calendar,V222,"1D","f")</f>
        <v>43115</v>
      </c>
      <c r="W223" s="100">
        <f t="shared" si="13"/>
        <v>0.87671232876712324</v>
      </c>
      <c r="X223" s="112">
        <f>_xll.qlInterpolationInterpolate(B6Minterpolation,V223,TRUE)</f>
        <v>1.84049105890913E-3</v>
      </c>
      <c r="Y223" s="112">
        <f>_xll.qlInterpolationInterpolate(AbcdInterpolation6M,W223,TRUE)</f>
        <v>1.8610499506830724E-3</v>
      </c>
    </row>
    <row r="224" spans="22:25" x14ac:dyDescent="0.2">
      <c r="V224" s="114">
        <f>_xll.qlCalendarAdvance(Calendar,V223,"1D","f")</f>
        <v>43116</v>
      </c>
      <c r="W224" s="100">
        <f t="shared" si="13"/>
        <v>0.8794520547945206</v>
      </c>
      <c r="X224" s="112">
        <f>_xll.qlInterpolationInterpolate(B6Minterpolation,V224,TRUE)</f>
        <v>1.8413275803217232E-3</v>
      </c>
      <c r="Y224" s="112">
        <f>_xll.qlInterpolationInterpolate(AbcdInterpolation6M,W224,TRUE)</f>
        <v>1.8624299539499796E-3</v>
      </c>
    </row>
    <row r="225" spans="22:25" x14ac:dyDescent="0.2">
      <c r="V225" s="114">
        <f>_xll.qlCalendarAdvance(Calendar,V224,"1D","f")</f>
        <v>43117</v>
      </c>
      <c r="W225" s="100">
        <f t="shared" si="13"/>
        <v>0.88219178082191785</v>
      </c>
      <c r="X225" s="112">
        <f>_xll.qlInterpolationInterpolate(B6Minterpolation,V225,TRUE)</f>
        <v>1.8421622190800502E-3</v>
      </c>
      <c r="Y225" s="112">
        <f>_xll.qlInterpolationInterpolate(AbcdInterpolation6M,W225,TRUE)</f>
        <v>1.8638059672957102E-3</v>
      </c>
    </row>
    <row r="226" spans="22:25" x14ac:dyDescent="0.2">
      <c r="V226" s="114">
        <f>_xll.qlCalendarAdvance(Calendar,V225,"1D","f")</f>
        <v>43118</v>
      </c>
      <c r="W226" s="100">
        <f t="shared" si="13"/>
        <v>0.8849315068493151</v>
      </c>
      <c r="X226" s="112">
        <f>_xll.qlInterpolationInterpolate(B6Minterpolation,V226,TRUE)</f>
        <v>1.842995133617282E-3</v>
      </c>
      <c r="Y226" s="112">
        <f>_xll.qlInterpolationInterpolate(AbcdInterpolation6M,W226,TRUE)</f>
        <v>1.8651780039912905E-3</v>
      </c>
    </row>
    <row r="227" spans="22:25" x14ac:dyDescent="0.2">
      <c r="V227" s="114">
        <f>_xll.qlCalendarAdvance(Calendar,V226,"1D","f")</f>
        <v>43119</v>
      </c>
      <c r="W227" s="100">
        <f t="shared" si="13"/>
        <v>0.88767123287671235</v>
      </c>
      <c r="X227" s="112">
        <f>_xll.qlInterpolationInterpolate(B6Minterpolation,V227,TRUE)</f>
        <v>1.8438264823665896E-3</v>
      </c>
      <c r="Y227" s="112">
        <f>_xll.qlInterpolationInterpolate(AbcdInterpolation6M,W227,TRUE)</f>
        <v>1.8665460772643017E-3</v>
      </c>
    </row>
    <row r="228" spans="22:25" x14ac:dyDescent="0.2">
      <c r="V228" s="114">
        <f>_xll.qlCalendarAdvance(Calendar,V227,"1D","f")</f>
        <v>43122</v>
      </c>
      <c r="W228" s="100">
        <f t="shared" si="13"/>
        <v>0.89589041095890409</v>
      </c>
      <c r="X228" s="112">
        <f>_xll.qlInterpolationInterpolate(B6Minterpolation,V228,TRUE)</f>
        <v>1.8463127182186763E-3</v>
      </c>
      <c r="Y228" s="112">
        <f>_xll.qlInterpolationInterpolate(AbcdInterpolation6M,W228,TRUE)</f>
        <v>1.8706266481738447E-3</v>
      </c>
    </row>
    <row r="229" spans="22:25" x14ac:dyDescent="0.2">
      <c r="V229" s="114">
        <f>_xll.qlCalendarAdvance(Calendar,V228,"1D","f")</f>
        <v>43123</v>
      </c>
      <c r="W229" s="100">
        <f t="shared" si="13"/>
        <v>0.89863013698630134</v>
      </c>
      <c r="X229" s="112">
        <f>_xll.qlInterpolationInterpolate(B6Minterpolation,V229,TRUE)</f>
        <v>1.8471393881479964E-3</v>
      </c>
      <c r="Y229" s="112">
        <f>_xll.qlInterpolationInterpolate(AbcdInterpolation6M,W229,TRUE)</f>
        <v>1.8719789991664777E-3</v>
      </c>
    </row>
    <row r="230" spans="22:25" x14ac:dyDescent="0.2">
      <c r="V230" s="114">
        <f>_xll.qlCalendarAdvance(Calendar,V229,"1D","f")</f>
        <v>43124</v>
      </c>
      <c r="W230" s="100">
        <f t="shared" si="13"/>
        <v>0.90136986301369859</v>
      </c>
      <c r="X230" s="112">
        <f>_xll.qlInterpolationInterpolate(B6Minterpolation,V230,TRUE)</f>
        <v>1.8479652844552469E-3</v>
      </c>
      <c r="Y230" s="112">
        <f>_xll.qlInterpolationInterpolate(AbcdInterpolation6M,W230,TRUE)</f>
        <v>1.8733274522257698E-3</v>
      </c>
    </row>
    <row r="231" spans="22:25" x14ac:dyDescent="0.2">
      <c r="V231" s="114">
        <f>_xll.qlCalendarAdvance(Calendar,V230,"1D","f")</f>
        <v>43125</v>
      </c>
      <c r="W231" s="100">
        <f t="shared" si="13"/>
        <v>0.90410958904109584</v>
      </c>
      <c r="X231" s="112">
        <f>_xll.qlInterpolationInterpolate(B6Minterpolation,V231,TRUE)</f>
        <v>1.8487905655735989E-3</v>
      </c>
      <c r="Y231" s="112">
        <f>_xll.qlInterpolationInterpolate(AbcdInterpolation6M,W231,TRUE)</f>
        <v>1.8746720203204443E-3</v>
      </c>
    </row>
    <row r="232" spans="22:25" x14ac:dyDescent="0.2">
      <c r="V232" s="114">
        <f>_xll.qlCalendarAdvance(Calendar,V231,"1D","f")</f>
        <v>43126</v>
      </c>
      <c r="W232" s="100">
        <f t="shared" si="13"/>
        <v>0.9068493150684932</v>
      </c>
      <c r="X232" s="112">
        <f>_xll.qlInterpolationInterpolate(B6Minterpolation,V232,TRUE)</f>
        <v>1.8496153899362235E-3</v>
      </c>
      <c r="Y232" s="112">
        <f>_xll.qlInterpolationInterpolate(AbcdInterpolation6M,W232,TRUE)</f>
        <v>1.8760127163763875E-3</v>
      </c>
    </row>
    <row r="233" spans="22:25" x14ac:dyDescent="0.2">
      <c r="V233" s="114">
        <f>_xll.qlCalendarAdvance(Calendar,V232,"1D","f")</f>
        <v>43129</v>
      </c>
      <c r="W233" s="100">
        <f t="shared" si="13"/>
        <v>0.91506849315068495</v>
      </c>
      <c r="X233" s="112">
        <f>_xll.qlInterpolationInterpolate(B6Minterpolation,V233,TRUE)</f>
        <v>1.8520887068214412E-3</v>
      </c>
      <c r="Y233" s="112">
        <f>_xll.qlInterpolationInterpolate(AbcdInterpolation6M,W233,TRUE)</f>
        <v>1.8800117009301072E-3</v>
      </c>
    </row>
    <row r="234" spans="22:25" x14ac:dyDescent="0.2">
      <c r="V234" s="114">
        <f>_xll.qlCalendarAdvance(Calendar,V233,"1D","f")</f>
        <v>43130</v>
      </c>
      <c r="W234" s="100">
        <f t="shared" si="13"/>
        <v>0.9178082191780822</v>
      </c>
      <c r="X234" s="112">
        <f>_xll.qlInterpolationInterpolate(B6Minterpolation,V234,TRUE)</f>
        <v>1.8529132884928651E-3</v>
      </c>
      <c r="Y234" s="112">
        <f>_xll.qlInterpolationInterpolate(AbcdInterpolation6M,W234,TRUE)</f>
        <v>1.8813370372365084E-3</v>
      </c>
    </row>
    <row r="235" spans="22:25" x14ac:dyDescent="0.2">
      <c r="V235" s="114">
        <f>_xll.qlCalendarAdvance(Calendar,V234,"1D","f")</f>
        <v>43131</v>
      </c>
      <c r="W235" s="100">
        <f t="shared" si="13"/>
        <v>0.92054794520547945</v>
      </c>
      <c r="X235" s="112">
        <f>_xll.qlInterpolationInterpolate(B6Minterpolation,V235,TRUE)</f>
        <v>1.853738205574416E-3</v>
      </c>
      <c r="Y235" s="112">
        <f>_xll.qlInterpolationInterpolate(AbcdInterpolation6M,W235,TRUE)</f>
        <v>1.8826585654943002E-3</v>
      </c>
    </row>
    <row r="236" spans="22:25" x14ac:dyDescent="0.2">
      <c r="V236" s="114">
        <f>_xll.qlCalendarAdvance(Calendar,V235,"1D","f")</f>
        <v>43132</v>
      </c>
      <c r="W236" s="100">
        <f t="shared" si="13"/>
        <v>0.92328767123287669</v>
      </c>
      <c r="X236" s="112">
        <f>_xll.qlInterpolationInterpolate(B6Minterpolation,V236,TRUE)</f>
        <v>1.8545636164992653E-3</v>
      </c>
      <c r="Y236" s="112">
        <f>_xll.qlInterpolationInterpolate(AbcdInterpolation6M,W236,TRUE)</f>
        <v>1.8839762983742902E-3</v>
      </c>
    </row>
    <row r="237" spans="22:25" x14ac:dyDescent="0.2">
      <c r="V237" s="114">
        <f>_xll.qlCalendarAdvance(Calendar,V236,"1D","f")</f>
        <v>43133</v>
      </c>
      <c r="W237" s="100">
        <f t="shared" si="13"/>
        <v>0.92602739726027394</v>
      </c>
      <c r="X237" s="112">
        <f>_xll.qlInterpolationInterpolate(B6Minterpolation,V237,TRUE)</f>
        <v>1.8553896797005836E-3</v>
      </c>
      <c r="Y237" s="112">
        <f>_xll.qlInterpolationInterpolate(AbcdInterpolation6M,W237,TRUE)</f>
        <v>1.8852902485051006E-3</v>
      </c>
    </row>
    <row r="238" spans="22:25" x14ac:dyDescent="0.2">
      <c r="V238" s="114">
        <f>_xll.qlCalendarAdvance(Calendar,V237,"1D","f")</f>
        <v>43136</v>
      </c>
      <c r="W238" s="100">
        <f t="shared" si="13"/>
        <v>0.9342465753424658</v>
      </c>
      <c r="X238" s="112">
        <f>_xll.qlInterpolationInterpolate(B6Minterpolation,V238,TRUE)</f>
        <v>1.857873367295063E-3</v>
      </c>
      <c r="Y238" s="112">
        <f>_xll.qlInterpolationInterpolate(AbcdInterpolation6M,W238,TRUE)</f>
        <v>1.889209528057881E-3</v>
      </c>
    </row>
    <row r="239" spans="22:25" x14ac:dyDescent="0.2">
      <c r="V239" s="114">
        <f>_xll.qlCalendarAdvance(Calendar,V238,"1D","f")</f>
        <v>43137</v>
      </c>
      <c r="W239" s="100">
        <f t="shared" si="13"/>
        <v>0.93698630136986305</v>
      </c>
      <c r="X239" s="112">
        <f>_xll.qlInterpolationInterpolate(B6Minterpolation,V239,TRUE)</f>
        <v>1.8587036239339674E-3</v>
      </c>
      <c r="Y239" s="112">
        <f>_xll.qlInterpolationInterpolate(AbcdInterpolation6M,W239,TRUE)</f>
        <v>1.8905084726378077E-3</v>
      </c>
    </row>
    <row r="240" spans="22:25" x14ac:dyDescent="0.2">
      <c r="V240" s="114">
        <f>_xll.qlCalendarAdvance(Calendar,V239,"1D","f")</f>
        <v>43138</v>
      </c>
      <c r="W240" s="100">
        <f t="shared" si="13"/>
        <v>0.9397260273972603</v>
      </c>
      <c r="X240" s="112">
        <f>_xll.qlInterpolationInterpolate(B6Minterpolation,V240,TRUE)</f>
        <v>1.8595353250151958E-3</v>
      </c>
      <c r="Y240" s="112">
        <f>_xll.qlInterpolationInterpolate(AbcdInterpolation6M,W240,TRUE)</f>
        <v>1.89180369698222E-3</v>
      </c>
    </row>
    <row r="241" spans="22:25" x14ac:dyDescent="0.2">
      <c r="V241" s="114">
        <f>_xll.qlCalendarAdvance(Calendar,V240,"1D","f")</f>
        <v>43139</v>
      </c>
      <c r="W241" s="100">
        <f t="shared" si="13"/>
        <v>0.94246575342465755</v>
      </c>
      <c r="X241" s="112">
        <f>_xll.qlInterpolationInterpolate(B6Minterpolation,V241,TRUE)</f>
        <v>1.8603686289719189E-3</v>
      </c>
      <c r="Y241" s="112">
        <f>_xll.qlInterpolationInterpolate(AbcdInterpolation6M,W241,TRUE)</f>
        <v>1.8930952134686384E-3</v>
      </c>
    </row>
    <row r="242" spans="22:25" x14ac:dyDescent="0.2">
      <c r="V242" s="114">
        <f>_xll.qlCalendarAdvance(Calendar,V241,"1D","f")</f>
        <v>43140</v>
      </c>
      <c r="W242" s="100">
        <f t="shared" si="13"/>
        <v>0.9452054794520548</v>
      </c>
      <c r="X242" s="112">
        <f>_xll.qlInterpolationInterpolate(B6Minterpolation,V242,TRUE)</f>
        <v>1.8612036942373079E-3</v>
      </c>
      <c r="Y242" s="112">
        <f>_xll.qlInterpolationInterpolate(AbcdInterpolation6M,W242,TRUE)</f>
        <v>1.8943830344330768E-3</v>
      </c>
    </row>
    <row r="243" spans="22:25" x14ac:dyDescent="0.2">
      <c r="V243" s="114">
        <f>_xll.qlCalendarAdvance(Calendar,V242,"1D","f")</f>
        <v>43143</v>
      </c>
      <c r="W243" s="100">
        <f t="shared" si="13"/>
        <v>0.95342465753424654</v>
      </c>
      <c r="X243" s="112">
        <f>_xll.qlInterpolationInterpolate(B6Minterpolation,V243,TRUE)</f>
        <v>1.8637210422171797E-3</v>
      </c>
      <c r="Y243" s="112">
        <f>_xll.qlInterpolationInterpolate(AbcdInterpolation6M,W243,TRUE)</f>
        <v>1.8982244469340917E-3</v>
      </c>
    </row>
    <row r="244" spans="22:25" x14ac:dyDescent="0.2">
      <c r="V244" s="114">
        <f>_xll.qlCalendarAdvance(Calendar,V243,"1D","f")</f>
        <v>43144</v>
      </c>
      <c r="W244" s="100">
        <f t="shared" si="13"/>
        <v>0.95616438356164379</v>
      </c>
      <c r="X244" s="112">
        <f>_xll.qlInterpolationInterpolate(B6Minterpolation,V244,TRUE)</f>
        <v>1.8645647370489416E-3</v>
      </c>
      <c r="Y244" s="112">
        <f>_xll.qlInterpolationInterpolate(AbcdInterpolation6M,W244,TRUE)</f>
        <v>1.8994976083440394E-3</v>
      </c>
    </row>
    <row r="245" spans="22:25" x14ac:dyDescent="0.2">
      <c r="V245" s="114">
        <f>_xll.qlCalendarAdvance(Calendar,V244,"1D","f")</f>
        <v>43145</v>
      </c>
      <c r="W245" s="100">
        <f t="shared" si="13"/>
        <v>0.95890410958904104</v>
      </c>
      <c r="X245" s="112">
        <f>_xll.qlInterpolationInterpolate(B6Minterpolation,V245,TRUE)</f>
        <v>1.8654109853552241E-3</v>
      </c>
      <c r="Y245" s="112">
        <f>_xll.qlInterpolationInterpolate(AbcdInterpolation6M,W245,TRUE)</f>
        <v>1.9007671352929219E-3</v>
      </c>
    </row>
    <row r="246" spans="22:25" x14ac:dyDescent="0.2">
      <c r="V246" s="114">
        <f>_xll.qlCalendarAdvance(Calendar,V245,"1D","f")</f>
        <v>43146</v>
      </c>
      <c r="W246" s="100">
        <f t="shared" si="13"/>
        <v>0.9616438356164384</v>
      </c>
      <c r="X246" s="112">
        <f>_xll.qlInterpolationInterpolate(B6Minterpolation,V246,TRUE)</f>
        <v>1.8662599455691981E-3</v>
      </c>
      <c r="Y246" s="112">
        <f>_xll.qlInterpolationInterpolate(AbcdInterpolation6M,W246,TRUE)</f>
        <v>1.9020330398697954E-3</v>
      </c>
    </row>
    <row r="247" spans="22:25" x14ac:dyDescent="0.2">
      <c r="V247" s="114">
        <f>_xll.qlCalendarAdvance(Calendar,V246,"1D","f")</f>
        <v>43147</v>
      </c>
      <c r="W247" s="100">
        <f t="shared" si="13"/>
        <v>0.96438356164383565</v>
      </c>
      <c r="X247" s="112">
        <f>_xll.qlInterpolationInterpolate(B6Minterpolation,V247,TRUE)</f>
        <v>1.8671117761240347E-3</v>
      </c>
      <c r="Y247" s="112">
        <f>_xll.qlInterpolationInterpolate(AbcdInterpolation6M,W247,TRUE)</f>
        <v>1.9032953341229088E-3</v>
      </c>
    </row>
    <row r="248" spans="22:25" x14ac:dyDescent="0.2">
      <c r="V248" s="114">
        <f>_xll.qlCalendarAdvance(Calendar,V247,"1D","f")</f>
        <v>43150</v>
      </c>
      <c r="W248" s="100">
        <f t="shared" si="13"/>
        <v>0.9726027397260274</v>
      </c>
      <c r="X248" s="112">
        <f>_xll.qlInterpolationInterpolate(B6Minterpolation,V248,TRUE)</f>
        <v>1.8696860741654292E-3</v>
      </c>
      <c r="Y248" s="112">
        <f>_xll.qlInterpolationInterpolate(AbcdInterpolation6M,W248,TRUE)</f>
        <v>1.9070606748122251E-3</v>
      </c>
    </row>
    <row r="249" spans="22:25" x14ac:dyDescent="0.2">
      <c r="V249" s="114">
        <f>_xll.qlCalendarAdvance(Calendar,V248,"1D","f")</f>
        <v>43151</v>
      </c>
      <c r="W249" s="100">
        <f t="shared" si="13"/>
        <v>0.97534246575342465</v>
      </c>
      <c r="X249" s="112">
        <f>_xll.qlInterpolationInterpolate(B6Minterpolation,V249,TRUE)</f>
        <v>1.8705509704154254E-3</v>
      </c>
      <c r="Y249" s="112">
        <f>_xll.qlInterpolationInterpolate(AbcdInterpolation6M,W249,TRUE)</f>
        <v>1.9083086474402395E-3</v>
      </c>
    </row>
    <row r="250" spans="22:25" x14ac:dyDescent="0.2">
      <c r="V250" s="114">
        <f>_xll.qlCalendarAdvance(Calendar,V249,"1D","f")</f>
        <v>43152</v>
      </c>
      <c r="W250" s="100">
        <f t="shared" si="13"/>
        <v>0.9780821917808219</v>
      </c>
      <c r="X250" s="112">
        <f>_xll.qlInterpolationInterpolate(B6Minterpolation,V250,TRUE)</f>
        <v>1.8714195291721391E-3</v>
      </c>
      <c r="Y250" s="112">
        <f>_xll.qlInterpolationInterpolate(AbcdInterpolation6M,W250,TRUE)</f>
        <v>1.9095530693772267E-3</v>
      </c>
    </row>
    <row r="251" spans="22:25" x14ac:dyDescent="0.2">
      <c r="V251" s="114">
        <f>_xll.qlCalendarAdvance(Calendar,V250,"1D","f")</f>
        <v>43153</v>
      </c>
      <c r="W251" s="100">
        <f t="shared" si="13"/>
        <v>0.98082191780821915</v>
      </c>
      <c r="X251" s="112">
        <f>_xll.qlInterpolationInterpolate(B6Minterpolation,V251,TRUE)</f>
        <v>1.872291908868741E-3</v>
      </c>
      <c r="Y251" s="112">
        <f>_xll.qlInterpolationInterpolate(AbcdInterpolation6M,W251,TRUE)</f>
        <v>1.9107939524287531E-3</v>
      </c>
    </row>
    <row r="252" spans="22:25" x14ac:dyDescent="0.2">
      <c r="V252" s="114">
        <f>_xll.qlCalendarAdvance(Calendar,V251,"1D","f")</f>
        <v>43154</v>
      </c>
      <c r="W252" s="100">
        <f t="shared" si="13"/>
        <v>0.98356164383561639</v>
      </c>
      <c r="X252" s="112">
        <f>_xll.qlInterpolationInterpolate(B6Minterpolation,V252,TRUE)</f>
        <v>1.8731682679384019E-3</v>
      </c>
      <c r="Y252" s="112">
        <f>_xll.qlInterpolationInterpolate(AbcdInterpolation6M,W252,TRUE)</f>
        <v>1.9120313083603019E-3</v>
      </c>
    </row>
    <row r="253" spans="22:25" x14ac:dyDescent="0.2">
      <c r="V253" s="114">
        <f>_xll.qlCalendarAdvance(Calendar,V252,"1D","f")</f>
        <v>43157</v>
      </c>
      <c r="W253" s="100">
        <f t="shared" si="13"/>
        <v>0.99178082191780825</v>
      </c>
      <c r="X253" s="112">
        <f>_xll.qlInterpolationInterpolate(B6Minterpolation,V253,TRUE)</f>
        <v>1.8758228057174499E-3</v>
      </c>
      <c r="Y253" s="112">
        <f>_xll.qlInterpolationInterpolate(AbcdInterpolation6M,W253,TRUE)</f>
        <v>1.9157223304908245E-3</v>
      </c>
    </row>
    <row r="254" spans="22:25" x14ac:dyDescent="0.2">
      <c r="V254" s="114">
        <f>_xll.qlCalendarAdvance(Calendar,V253,"1D","f")</f>
        <v>43158</v>
      </c>
      <c r="W254" s="100">
        <f t="shared" si="13"/>
        <v>0.9945205479452055</v>
      </c>
      <c r="X254" s="112">
        <f>_xll.qlInterpolationInterpolate(B6Minterpolation,V254,TRUE)</f>
        <v>1.8767166666110574E-3</v>
      </c>
      <c r="Y254" s="112">
        <f>_xll.qlInterpolationInterpolate(AbcdInterpolation6M,W254,TRUE)</f>
        <v>1.9169456947992511E-3</v>
      </c>
    </row>
    <row r="255" spans="22:25" x14ac:dyDescent="0.2">
      <c r="V255" s="114">
        <f>_xll.qlCalendarAdvance(Calendar,V254,"1D","f")</f>
        <v>43159</v>
      </c>
      <c r="W255" s="100">
        <f t="shared" si="13"/>
        <v>0.99726027397260275</v>
      </c>
      <c r="X255" s="112">
        <f>_xll.qlInterpolationInterpolate(B6Minterpolation,V255,TRUE)</f>
        <v>1.877615299043579E-3</v>
      </c>
      <c r="Y255" s="112">
        <f>_xll.qlInterpolationInterpolate(AbcdInterpolation6M,W255,TRUE)</f>
        <v>1.9181655902175063E-3</v>
      </c>
    </row>
    <row r="256" spans="22:25" x14ac:dyDescent="0.2">
      <c r="V256" s="114">
        <f>_xll.qlCalendarAdvance(Calendar,V255,"1D","f")</f>
        <v>43160</v>
      </c>
      <c r="W256" s="100">
        <f t="shared" si="13"/>
        <v>1</v>
      </c>
      <c r="X256" s="112">
        <f>_xll.qlInterpolationInterpolate(B6Minterpolation,V256,TRUE)</f>
        <v>1.8785188614481854E-3</v>
      </c>
      <c r="Y256" s="112">
        <f>_xll.qlInterpolationInterpolate(AbcdInterpolation6M,W256,TRUE)</f>
        <v>1.9193820282727692E-3</v>
      </c>
    </row>
    <row r="257" spans="22:25" x14ac:dyDescent="0.2">
      <c r="V257" s="114">
        <f>_xll.qlCalendarAdvance(Calendar,V256,"1D","f")</f>
        <v>43161</v>
      </c>
      <c r="W257" s="100">
        <f t="shared" si="13"/>
        <v>1.0027397260273974</v>
      </c>
      <c r="X257" s="112">
        <f>_xll.qlInterpolationInterpolate(B6Minterpolation,V257,TRUE)</f>
        <v>1.8794275122580477E-3</v>
      </c>
      <c r="Y257" s="112">
        <f>_xll.qlInterpolationInterpolate(AbcdInterpolation6M,W257,TRUE)</f>
        <v>1.9205950204528714E-3</v>
      </c>
    </row>
    <row r="258" spans="22:25" x14ac:dyDescent="0.2">
      <c r="V258" s="114">
        <f>_xll.qlCalendarAdvance(Calendar,V257,"1D","f")</f>
        <v>43164</v>
      </c>
      <c r="W258" s="100">
        <f t="shared" si="13"/>
        <v>1.010958904109589</v>
      </c>
      <c r="X258" s="112">
        <f>_xll.qlInterpolationInterpolate(B6Minterpolation,V258,TRUE)</f>
        <v>1.8821855794508798E-3</v>
      </c>
      <c r="Y258" s="112">
        <f>_xll.qlInterpolationInterpolate(AbcdInterpolation6M,W258,TRUE)</f>
        <v>1.9242134360325433E-3</v>
      </c>
    </row>
    <row r="259" spans="22:25" x14ac:dyDescent="0.2">
      <c r="V259" s="114">
        <f>_xll.qlCalendarAdvance(Calendar,V258,"1D","f")</f>
        <v>43165</v>
      </c>
      <c r="W259" s="100">
        <f t="shared" ref="W259:W262" si="14">(V259-EvaluationDate)/365</f>
        <v>1.0136986301369864</v>
      </c>
      <c r="X259" s="112">
        <f>_xll.qlInterpolationInterpolate(B6Minterpolation,V259,TRUE)</f>
        <v>1.8831161365678939E-3</v>
      </c>
      <c r="Y259" s="112">
        <f>_xll.qlInterpolationInterpolate(AbcdInterpolation6M,W259,TRUE)</f>
        <v>1.9254127588070882E-3</v>
      </c>
    </row>
    <row r="260" spans="22:25" x14ac:dyDescent="0.2">
      <c r="V260" s="114">
        <f>_xll.qlCalendarAdvance(Calendar,V259,"1D","f")</f>
        <v>43166</v>
      </c>
      <c r="W260" s="100">
        <f t="shared" si="14"/>
        <v>1.0164383561643835</v>
      </c>
      <c r="X260" s="112">
        <f>_xll.qlInterpolationInterpolate(B6Minterpolation,V260,TRUE)</f>
        <v>1.8840523843825293E-3</v>
      </c>
      <c r="Y260" s="112">
        <f>_xll.qlInterpolationInterpolate(AbcdInterpolation6M,W260,TRUE)</f>
        <v>1.9266086925591446E-3</v>
      </c>
    </row>
    <row r="261" spans="22:25" x14ac:dyDescent="0.2">
      <c r="V261" s="114">
        <f>_xll.qlCalendarAdvance(Calendar,V260,"1D","f")</f>
        <v>43167</v>
      </c>
      <c r="W261" s="100">
        <f t="shared" si="14"/>
        <v>1.0191780821917809</v>
      </c>
      <c r="X261" s="112">
        <f>_xll.qlInterpolationInterpolate(B6Minterpolation,V261,TRUE)</f>
        <v>1.8849942914544676E-3</v>
      </c>
      <c r="Y261" s="112">
        <f>_xll.qlInterpolationInterpolate(AbcdInterpolation6M,W261,TRUE)</f>
        <v>1.9278012485426995E-3</v>
      </c>
    </row>
    <row r="262" spans="22:25" x14ac:dyDescent="0.2">
      <c r="V262" s="118">
        <f>_xll.qlCalendarAdvance(Calendar,V261,"1D","f")</f>
        <v>43168</v>
      </c>
      <c r="W262" s="105">
        <f t="shared" si="14"/>
        <v>1.021917808219178</v>
      </c>
      <c r="X262" s="121">
        <f>_xll.qlInterpolationInterpolate(B6Minterpolation,V262,TRUE)</f>
        <v>1.8859418263433908E-3</v>
      </c>
      <c r="Y262" s="121">
        <f>_xll.qlInterpolationInterpolate(AbcdInterpolation6M,W262,TRUE)</f>
        <v>1.9289904379731397E-3</v>
      </c>
    </row>
    <row r="263" spans="22:25" x14ac:dyDescent="0.2">
      <c r="V263" s="231"/>
      <c r="W263" s="231"/>
      <c r="X263" s="273"/>
      <c r="Y263" s="273"/>
    </row>
    <row r="264" spans="22:25" x14ac:dyDescent="0.2">
      <c r="V264" s="231"/>
      <c r="W264" s="231"/>
      <c r="X264" s="273"/>
      <c r="Y264" s="273"/>
    </row>
    <row r="265" spans="22:25" x14ac:dyDescent="0.2">
      <c r="V265" s="231"/>
      <c r="W265" s="231"/>
      <c r="X265" s="273"/>
      <c r="Y265" s="273"/>
    </row>
    <row r="266" spans="22:25" x14ac:dyDescent="0.2">
      <c r="V266" s="231"/>
      <c r="W266" s="231"/>
      <c r="X266" s="273"/>
      <c r="Y266" s="273"/>
    </row>
    <row r="267" spans="22:25" x14ac:dyDescent="0.2">
      <c r="V267" s="231"/>
      <c r="W267" s="231"/>
      <c r="X267" s="273"/>
      <c r="Y267" s="273"/>
    </row>
    <row r="268" spans="22:25" x14ac:dyDescent="0.2">
      <c r="V268" s="231"/>
      <c r="W268" s="231"/>
      <c r="X268" s="273"/>
      <c r="Y268" s="273"/>
    </row>
    <row r="269" spans="22:25" x14ac:dyDescent="0.2">
      <c r="V269" s="231"/>
      <c r="W269" s="231"/>
      <c r="X269" s="273"/>
      <c r="Y269" s="273"/>
    </row>
    <row r="270" spans="22:25" x14ac:dyDescent="0.2">
      <c r="V270" s="231"/>
      <c r="W270" s="231"/>
      <c r="X270" s="273"/>
      <c r="Y270" s="273"/>
    </row>
    <row r="271" spans="22:25" x14ac:dyDescent="0.2">
      <c r="V271" s="231"/>
      <c r="W271" s="231"/>
      <c r="X271" s="273"/>
      <c r="Y271" s="273"/>
    </row>
    <row r="272" spans="22:25" x14ac:dyDescent="0.2">
      <c r="V272" s="231"/>
      <c r="W272" s="231"/>
      <c r="X272" s="273"/>
      <c r="Y272" s="273"/>
    </row>
    <row r="273" spans="22:25" x14ac:dyDescent="0.2">
      <c r="V273" s="231"/>
      <c r="W273" s="231"/>
      <c r="X273" s="273"/>
      <c r="Y273" s="273"/>
    </row>
    <row r="274" spans="22:25" x14ac:dyDescent="0.2">
      <c r="V274" s="231"/>
      <c r="W274" s="231"/>
      <c r="X274" s="273"/>
      <c r="Y274" s="273"/>
    </row>
    <row r="275" spans="22:25" x14ac:dyDescent="0.2">
      <c r="V275" s="231"/>
      <c r="W275" s="231"/>
      <c r="X275" s="273"/>
      <c r="Y275" s="273"/>
    </row>
    <row r="276" spans="22:25" x14ac:dyDescent="0.2">
      <c r="V276" s="231"/>
      <c r="W276" s="231"/>
      <c r="X276" s="273"/>
      <c r="Y276" s="273"/>
    </row>
    <row r="277" spans="22:25" x14ac:dyDescent="0.2">
      <c r="V277" s="231"/>
      <c r="W277" s="231"/>
      <c r="X277" s="273"/>
      <c r="Y277" s="273"/>
    </row>
    <row r="278" spans="22:25" x14ac:dyDescent="0.2">
      <c r="V278" s="231"/>
      <c r="W278" s="231"/>
      <c r="X278" s="273"/>
      <c r="Y278" s="273"/>
    </row>
    <row r="279" spans="22:25" x14ac:dyDescent="0.2">
      <c r="V279" s="231"/>
      <c r="W279" s="231"/>
      <c r="X279" s="273"/>
      <c r="Y279" s="273"/>
    </row>
    <row r="280" spans="22:25" x14ac:dyDescent="0.2">
      <c r="V280" s="231"/>
      <c r="W280" s="231"/>
      <c r="X280" s="273"/>
      <c r="Y280" s="273"/>
    </row>
    <row r="281" spans="22:25" x14ac:dyDescent="0.2">
      <c r="V281" s="231"/>
      <c r="W281" s="231"/>
      <c r="X281" s="273"/>
      <c r="Y281" s="273"/>
    </row>
    <row r="282" spans="22:25" x14ac:dyDescent="0.2">
      <c r="V282" s="231"/>
      <c r="W282" s="231"/>
      <c r="X282" s="273"/>
      <c r="Y282" s="273"/>
    </row>
    <row r="283" spans="22:25" x14ac:dyDescent="0.2">
      <c r="V283" s="231"/>
      <c r="W283" s="231"/>
      <c r="X283" s="273"/>
      <c r="Y283" s="273"/>
    </row>
    <row r="284" spans="22:25" x14ac:dyDescent="0.2">
      <c r="V284" s="231"/>
      <c r="W284" s="231"/>
      <c r="X284" s="273"/>
      <c r="Y284" s="273"/>
    </row>
    <row r="285" spans="22:25" x14ac:dyDescent="0.2">
      <c r="V285" s="231"/>
      <c r="W285" s="231"/>
      <c r="X285" s="273"/>
      <c r="Y285" s="273"/>
    </row>
    <row r="286" spans="22:25" x14ac:dyDescent="0.2">
      <c r="V286" s="231"/>
      <c r="W286" s="231"/>
      <c r="X286" s="273"/>
      <c r="Y286" s="273"/>
    </row>
    <row r="287" spans="22:25" x14ac:dyDescent="0.2">
      <c r="V287" s="231"/>
      <c r="W287" s="231"/>
      <c r="X287" s="273"/>
      <c r="Y287" s="273"/>
    </row>
    <row r="288" spans="22:25" x14ac:dyDescent="0.2">
      <c r="V288" s="231"/>
      <c r="W288" s="231"/>
      <c r="X288" s="273"/>
      <c r="Y288" s="273"/>
    </row>
    <row r="289" spans="22:25" x14ac:dyDescent="0.2">
      <c r="V289" s="231"/>
      <c r="W289" s="231"/>
      <c r="X289" s="273"/>
      <c r="Y289" s="273"/>
    </row>
    <row r="290" spans="22:25" x14ac:dyDescent="0.2">
      <c r="V290" s="231"/>
      <c r="W290" s="231"/>
      <c r="X290" s="273"/>
      <c r="Y290" s="273"/>
    </row>
    <row r="291" spans="22:25" x14ac:dyDescent="0.2">
      <c r="V291" s="231"/>
      <c r="W291" s="231"/>
      <c r="X291" s="273"/>
      <c r="Y291" s="273"/>
    </row>
    <row r="292" spans="22:25" x14ac:dyDescent="0.2">
      <c r="V292" s="231"/>
      <c r="W292" s="231"/>
      <c r="X292" s="273"/>
      <c r="Y292" s="273"/>
    </row>
    <row r="293" spans="22:25" x14ac:dyDescent="0.2">
      <c r="V293" s="231"/>
      <c r="W293" s="231"/>
      <c r="X293" s="273"/>
      <c r="Y293" s="273"/>
    </row>
    <row r="294" spans="22:25" x14ac:dyDescent="0.2">
      <c r="V294" s="231"/>
      <c r="W294" s="231"/>
      <c r="X294" s="273"/>
      <c r="Y294" s="273"/>
    </row>
    <row r="295" spans="22:25" x14ac:dyDescent="0.2">
      <c r="V295" s="231"/>
      <c r="W295" s="231"/>
      <c r="X295" s="273"/>
      <c r="Y295" s="273"/>
    </row>
    <row r="296" spans="22:25" x14ac:dyDescent="0.2">
      <c r="V296" s="231"/>
      <c r="W296" s="231"/>
      <c r="X296" s="273"/>
      <c r="Y296" s="273"/>
    </row>
    <row r="297" spans="22:25" x14ac:dyDescent="0.2">
      <c r="V297" s="231"/>
      <c r="W297" s="231"/>
      <c r="X297" s="273"/>
      <c r="Y297" s="273"/>
    </row>
    <row r="298" spans="22:25" x14ac:dyDescent="0.2">
      <c r="V298" s="231"/>
      <c r="W298" s="231"/>
      <c r="X298" s="273"/>
      <c r="Y298" s="273"/>
    </row>
    <row r="299" spans="22:25" x14ac:dyDescent="0.2">
      <c r="V299" s="231"/>
      <c r="W299" s="231"/>
      <c r="X299" s="273"/>
      <c r="Y299" s="273"/>
    </row>
    <row r="300" spans="22:25" x14ac:dyDescent="0.2">
      <c r="V300" s="231"/>
      <c r="W300" s="231"/>
      <c r="X300" s="273"/>
      <c r="Y300" s="273"/>
    </row>
    <row r="301" spans="22:25" x14ac:dyDescent="0.2">
      <c r="V301" s="231"/>
      <c r="W301" s="231"/>
      <c r="X301" s="273"/>
      <c r="Y301" s="273"/>
    </row>
    <row r="302" spans="22:25" x14ac:dyDescent="0.2">
      <c r="V302" s="231"/>
      <c r="W302" s="231"/>
      <c r="X302" s="273"/>
      <c r="Y302" s="273"/>
    </row>
    <row r="303" spans="22:25" x14ac:dyDescent="0.2">
      <c r="V303" s="231"/>
      <c r="W303" s="231"/>
      <c r="X303" s="273"/>
      <c r="Y303" s="273"/>
    </row>
    <row r="304" spans="22:25" x14ac:dyDescent="0.2">
      <c r="V304" s="231"/>
      <c r="W304" s="231"/>
      <c r="X304" s="273"/>
      <c r="Y304" s="273"/>
    </row>
    <row r="305" spans="22:25" x14ac:dyDescent="0.2">
      <c r="V305" s="231"/>
      <c r="W305" s="231"/>
      <c r="X305" s="273"/>
      <c r="Y305" s="273"/>
    </row>
    <row r="306" spans="22:25" x14ac:dyDescent="0.2">
      <c r="V306" s="231"/>
      <c r="W306" s="231"/>
      <c r="X306" s="273"/>
      <c r="Y306" s="273"/>
    </row>
    <row r="307" spans="22:25" x14ac:dyDescent="0.2">
      <c r="V307" s="231"/>
      <c r="W307" s="231"/>
      <c r="X307" s="273"/>
      <c r="Y307" s="273"/>
    </row>
    <row r="308" spans="22:25" x14ac:dyDescent="0.2">
      <c r="V308" s="231"/>
      <c r="W308" s="231"/>
      <c r="X308" s="273"/>
      <c r="Y308" s="273"/>
    </row>
    <row r="309" spans="22:25" x14ac:dyDescent="0.2">
      <c r="V309" s="231"/>
      <c r="W309" s="231"/>
      <c r="X309" s="273"/>
      <c r="Y309" s="273"/>
    </row>
    <row r="310" spans="22:25" x14ac:dyDescent="0.2">
      <c r="V310" s="231"/>
      <c r="W310" s="231"/>
      <c r="X310" s="273"/>
      <c r="Y310" s="273"/>
    </row>
    <row r="311" spans="22:25" x14ac:dyDescent="0.2">
      <c r="V311" s="231"/>
      <c r="W311" s="231"/>
      <c r="X311" s="273"/>
      <c r="Y311" s="273"/>
    </row>
    <row r="312" spans="22:25" x14ac:dyDescent="0.2">
      <c r="V312" s="231"/>
      <c r="W312" s="231"/>
      <c r="X312" s="273"/>
      <c r="Y312" s="273"/>
    </row>
    <row r="313" spans="22:25" x14ac:dyDescent="0.2">
      <c r="V313" s="231"/>
      <c r="W313" s="231"/>
      <c r="X313" s="273"/>
      <c r="Y313" s="273"/>
    </row>
    <row r="314" spans="22:25" x14ac:dyDescent="0.2">
      <c r="V314" s="231"/>
      <c r="W314" s="231"/>
      <c r="X314" s="273"/>
      <c r="Y314" s="273"/>
    </row>
    <row r="315" spans="22:25" x14ac:dyDescent="0.2">
      <c r="V315" s="231"/>
      <c r="W315" s="231"/>
      <c r="X315" s="273"/>
      <c r="Y315" s="273"/>
    </row>
    <row r="316" spans="22:25" x14ac:dyDescent="0.2">
      <c r="V316" s="231"/>
      <c r="W316" s="231"/>
      <c r="X316" s="273"/>
      <c r="Y316" s="273"/>
    </row>
    <row r="317" spans="22:25" x14ac:dyDescent="0.2">
      <c r="V317" s="231"/>
      <c r="W317" s="231"/>
      <c r="X317" s="273"/>
      <c r="Y317" s="273"/>
    </row>
    <row r="318" spans="22:25" x14ac:dyDescent="0.2">
      <c r="V318" s="231"/>
      <c r="W318" s="231"/>
      <c r="X318" s="273"/>
      <c r="Y318" s="273"/>
    </row>
    <row r="319" spans="22:25" x14ac:dyDescent="0.2">
      <c r="V319" s="231"/>
      <c r="W319" s="231"/>
      <c r="X319" s="273"/>
      <c r="Y319" s="273"/>
    </row>
    <row r="320" spans="22:25" x14ac:dyDescent="0.2">
      <c r="V320" s="231"/>
      <c r="W320" s="231"/>
      <c r="X320" s="273"/>
      <c r="Y320" s="273"/>
    </row>
    <row r="321" spans="22:25" x14ac:dyDescent="0.2">
      <c r="V321" s="231"/>
      <c r="W321" s="231"/>
      <c r="X321" s="273"/>
      <c r="Y321" s="273"/>
    </row>
    <row r="322" spans="22:25" x14ac:dyDescent="0.2">
      <c r="V322" s="231"/>
      <c r="W322" s="231"/>
      <c r="X322" s="273"/>
      <c r="Y322" s="273"/>
    </row>
    <row r="323" spans="22:25" x14ac:dyDescent="0.2">
      <c r="V323" s="231"/>
      <c r="W323" s="231"/>
      <c r="X323" s="273"/>
      <c r="Y323" s="273"/>
    </row>
    <row r="324" spans="22:25" x14ac:dyDescent="0.2">
      <c r="V324" s="231"/>
      <c r="W324" s="231"/>
      <c r="X324" s="273"/>
      <c r="Y324" s="273"/>
    </row>
    <row r="325" spans="22:25" x14ac:dyDescent="0.2">
      <c r="V325" s="231"/>
      <c r="W325" s="231"/>
      <c r="X325" s="273"/>
      <c r="Y325" s="273"/>
    </row>
    <row r="326" spans="22:25" x14ac:dyDescent="0.2">
      <c r="V326" s="231"/>
      <c r="W326" s="231"/>
      <c r="X326" s="273"/>
      <c r="Y326" s="273"/>
    </row>
    <row r="327" spans="22:25" x14ac:dyDescent="0.2">
      <c r="V327" s="231"/>
      <c r="W327" s="231"/>
      <c r="X327" s="273"/>
      <c r="Y327" s="273"/>
    </row>
    <row r="328" spans="22:25" x14ac:dyDescent="0.2">
      <c r="V328" s="231"/>
      <c r="W328" s="231"/>
      <c r="X328" s="273"/>
      <c r="Y328" s="273"/>
    </row>
    <row r="329" spans="22:25" x14ac:dyDescent="0.2">
      <c r="V329" s="231"/>
      <c r="W329" s="231"/>
      <c r="X329" s="273"/>
      <c r="Y329" s="273"/>
    </row>
    <row r="330" spans="22:25" x14ac:dyDescent="0.2">
      <c r="V330" s="231"/>
      <c r="W330" s="231"/>
      <c r="X330" s="273"/>
      <c r="Y330" s="273"/>
    </row>
    <row r="331" spans="22:25" x14ac:dyDescent="0.2">
      <c r="V331" s="231"/>
      <c r="W331" s="231"/>
      <c r="X331" s="273"/>
      <c r="Y331" s="273"/>
    </row>
    <row r="332" spans="22:25" x14ac:dyDescent="0.2">
      <c r="V332" s="231"/>
      <c r="W332" s="231"/>
      <c r="X332" s="273"/>
      <c r="Y332" s="273"/>
    </row>
    <row r="333" spans="22:25" x14ac:dyDescent="0.2">
      <c r="V333" s="231"/>
      <c r="W333" s="231"/>
      <c r="X333" s="273"/>
      <c r="Y333" s="273"/>
    </row>
    <row r="334" spans="22:25" x14ac:dyDescent="0.2">
      <c r="V334" s="231"/>
      <c r="W334" s="231"/>
      <c r="X334" s="273"/>
      <c r="Y334" s="273"/>
    </row>
    <row r="335" spans="22:25" x14ac:dyDescent="0.2">
      <c r="V335" s="231"/>
      <c r="W335" s="231"/>
      <c r="X335" s="273"/>
      <c r="Y335" s="273"/>
    </row>
    <row r="336" spans="22:25" x14ac:dyDescent="0.2">
      <c r="V336" s="231"/>
      <c r="W336" s="231"/>
      <c r="X336" s="273"/>
      <c r="Y336" s="273"/>
    </row>
    <row r="337" spans="22:25" x14ac:dyDescent="0.2">
      <c r="V337" s="231"/>
      <c r="W337" s="231"/>
      <c r="X337" s="273"/>
      <c r="Y337" s="273"/>
    </row>
    <row r="338" spans="22:25" x14ac:dyDescent="0.2">
      <c r="V338" s="231"/>
      <c r="W338" s="231"/>
      <c r="X338" s="273"/>
      <c r="Y338" s="273"/>
    </row>
    <row r="339" spans="22:25" x14ac:dyDescent="0.2">
      <c r="V339" s="231"/>
      <c r="W339" s="231"/>
      <c r="X339" s="273"/>
      <c r="Y339" s="273"/>
    </row>
    <row r="340" spans="22:25" x14ac:dyDescent="0.2">
      <c r="V340" s="231"/>
      <c r="W340" s="231"/>
      <c r="X340" s="273"/>
      <c r="Y340" s="273"/>
    </row>
    <row r="341" spans="22:25" x14ac:dyDescent="0.2">
      <c r="V341" s="231"/>
      <c r="W341" s="231"/>
      <c r="X341" s="273"/>
      <c r="Y341" s="273"/>
    </row>
    <row r="342" spans="22:25" x14ac:dyDescent="0.2">
      <c r="V342" s="231"/>
      <c r="W342" s="231"/>
      <c r="X342" s="273"/>
      <c r="Y342" s="273"/>
    </row>
    <row r="343" spans="22:25" x14ac:dyDescent="0.2">
      <c r="V343" s="231"/>
      <c r="W343" s="231"/>
      <c r="X343" s="273"/>
      <c r="Y343" s="273"/>
    </row>
    <row r="344" spans="22:25" x14ac:dyDescent="0.2">
      <c r="V344" s="231"/>
      <c r="W344" s="231"/>
      <c r="X344" s="273"/>
      <c r="Y344" s="273"/>
    </row>
    <row r="345" spans="22:25" x14ac:dyDescent="0.2">
      <c r="V345" s="231"/>
      <c r="W345" s="231"/>
      <c r="X345" s="273"/>
      <c r="Y345" s="273"/>
    </row>
    <row r="346" spans="22:25" x14ac:dyDescent="0.2">
      <c r="V346" s="231"/>
      <c r="W346" s="231"/>
      <c r="X346" s="273"/>
      <c r="Y346" s="273"/>
    </row>
    <row r="347" spans="22:25" x14ac:dyDescent="0.2">
      <c r="V347" s="231"/>
      <c r="W347" s="231"/>
      <c r="X347" s="273"/>
      <c r="Y347" s="273"/>
    </row>
    <row r="348" spans="22:25" x14ac:dyDescent="0.2">
      <c r="V348" s="231"/>
      <c r="W348" s="231"/>
      <c r="X348" s="273"/>
      <c r="Y348" s="273"/>
    </row>
    <row r="349" spans="22:25" x14ac:dyDescent="0.2">
      <c r="V349" s="231"/>
      <c r="W349" s="231"/>
      <c r="X349" s="273"/>
      <c r="Y349" s="273"/>
    </row>
    <row r="350" spans="22:25" x14ac:dyDescent="0.2">
      <c r="V350" s="231"/>
      <c r="W350" s="231"/>
      <c r="X350" s="273"/>
      <c r="Y350" s="273"/>
    </row>
    <row r="351" spans="22:25" x14ac:dyDescent="0.2">
      <c r="V351" s="231"/>
      <c r="W351" s="231"/>
      <c r="X351" s="273"/>
      <c r="Y351" s="273"/>
    </row>
    <row r="352" spans="22:25" x14ac:dyDescent="0.2">
      <c r="V352" s="231"/>
      <c r="W352" s="231"/>
      <c r="X352" s="273"/>
      <c r="Y352" s="273"/>
    </row>
    <row r="353" spans="22:25" x14ac:dyDescent="0.2">
      <c r="V353" s="231"/>
      <c r="W353" s="231"/>
      <c r="X353" s="273"/>
      <c r="Y353" s="273"/>
    </row>
    <row r="354" spans="22:25" x14ac:dyDescent="0.2">
      <c r="V354" s="231"/>
      <c r="W354" s="231"/>
      <c r="X354" s="273"/>
      <c r="Y354" s="273"/>
    </row>
    <row r="355" spans="22:25" x14ac:dyDescent="0.2">
      <c r="V355" s="231"/>
      <c r="W355" s="231"/>
      <c r="X355" s="273"/>
      <c r="Y355" s="273"/>
    </row>
    <row r="356" spans="22:25" x14ac:dyDescent="0.2">
      <c r="V356" s="231"/>
      <c r="W356" s="231"/>
      <c r="X356" s="273"/>
      <c r="Y356" s="273"/>
    </row>
    <row r="357" spans="22:25" x14ac:dyDescent="0.2">
      <c r="V357" s="231"/>
      <c r="W357" s="231"/>
      <c r="X357" s="273"/>
      <c r="Y357" s="273"/>
    </row>
    <row r="358" spans="22:25" x14ac:dyDescent="0.2">
      <c r="V358" s="231"/>
      <c r="W358" s="231"/>
      <c r="X358" s="273"/>
      <c r="Y358" s="273"/>
    </row>
    <row r="359" spans="22:25" x14ac:dyDescent="0.2">
      <c r="V359" s="231"/>
      <c r="W359" s="231"/>
      <c r="X359" s="273"/>
      <c r="Y359" s="273"/>
    </row>
    <row r="360" spans="22:25" x14ac:dyDescent="0.2">
      <c r="V360" s="231"/>
      <c r="W360" s="231"/>
      <c r="X360" s="273"/>
      <c r="Y360" s="273"/>
    </row>
    <row r="361" spans="22:25" x14ac:dyDescent="0.2">
      <c r="V361" s="231"/>
      <c r="W361" s="231"/>
      <c r="X361" s="273"/>
      <c r="Y361" s="273"/>
    </row>
    <row r="362" spans="22:25" x14ac:dyDescent="0.2">
      <c r="V362" s="231"/>
      <c r="W362" s="231"/>
      <c r="X362" s="273"/>
      <c r="Y362" s="273"/>
    </row>
    <row r="363" spans="22:25" x14ac:dyDescent="0.2">
      <c r="V363" s="231"/>
      <c r="W363" s="231"/>
      <c r="X363" s="273"/>
      <c r="Y363" s="273"/>
    </row>
    <row r="364" spans="22:25" x14ac:dyDescent="0.2">
      <c r="V364" s="231"/>
      <c r="W364" s="231"/>
      <c r="X364" s="273"/>
      <c r="Y364" s="273"/>
    </row>
    <row r="365" spans="22:25" x14ac:dyDescent="0.2">
      <c r="V365" s="231"/>
      <c r="W365" s="231"/>
      <c r="X365" s="273"/>
      <c r="Y365" s="273"/>
    </row>
    <row r="366" spans="22:25" x14ac:dyDescent="0.2">
      <c r="V366" s="231"/>
      <c r="W366" s="231"/>
      <c r="X366" s="273"/>
      <c r="Y366" s="273"/>
    </row>
    <row r="367" spans="22:25" x14ac:dyDescent="0.2">
      <c r="V367" s="231"/>
      <c r="W367" s="231"/>
      <c r="X367" s="273"/>
      <c r="Y367" s="273"/>
    </row>
    <row r="368" spans="22:25" x14ac:dyDescent="0.2">
      <c r="V368" s="231"/>
      <c r="W368" s="231"/>
      <c r="X368" s="273"/>
      <c r="Y368" s="273"/>
    </row>
    <row r="369" spans="22:25" x14ac:dyDescent="0.2">
      <c r="V369" s="231"/>
      <c r="W369" s="231"/>
      <c r="X369" s="273"/>
      <c r="Y369" s="273"/>
    </row>
    <row r="370" spans="22:25" x14ac:dyDescent="0.2">
      <c r="V370" s="231"/>
      <c r="W370" s="231"/>
      <c r="X370" s="273"/>
      <c r="Y370" s="273"/>
    </row>
    <row r="371" spans="22:25" x14ac:dyDescent="0.2">
      <c r="V371" s="231"/>
      <c r="W371" s="231"/>
      <c r="X371" s="273"/>
      <c r="Y371" s="273"/>
    </row>
    <row r="372" spans="22:25" x14ac:dyDescent="0.2">
      <c r="V372" s="231"/>
      <c r="W372" s="231"/>
      <c r="X372" s="273"/>
      <c r="Y372" s="273"/>
    </row>
    <row r="373" spans="22:25" x14ac:dyDescent="0.2">
      <c r="V373" s="231"/>
      <c r="W373" s="231"/>
      <c r="X373" s="273"/>
      <c r="Y373" s="273"/>
    </row>
    <row r="374" spans="22:25" x14ac:dyDescent="0.2">
      <c r="V374" s="231"/>
      <c r="W374" s="231"/>
      <c r="X374" s="273"/>
      <c r="Y374" s="273"/>
    </row>
    <row r="375" spans="22:25" x14ac:dyDescent="0.2">
      <c r="V375" s="231"/>
      <c r="W375" s="231"/>
      <c r="X375" s="273"/>
      <c r="Y375" s="273"/>
    </row>
    <row r="376" spans="22:25" x14ac:dyDescent="0.2">
      <c r="V376" s="231"/>
      <c r="W376" s="231"/>
      <c r="X376" s="273"/>
      <c r="Y376" s="273"/>
    </row>
    <row r="377" spans="22:25" x14ac:dyDescent="0.2">
      <c r="V377" s="231"/>
      <c r="W377" s="231"/>
      <c r="X377" s="273"/>
      <c r="Y377" s="273"/>
    </row>
    <row r="378" spans="22:25" x14ac:dyDescent="0.2">
      <c r="V378" s="231"/>
      <c r="W378" s="231"/>
      <c r="X378" s="273"/>
      <c r="Y378" s="273"/>
    </row>
    <row r="379" spans="22:25" x14ac:dyDescent="0.2">
      <c r="V379" s="231"/>
      <c r="W379" s="231"/>
      <c r="X379" s="273"/>
      <c r="Y379" s="273"/>
    </row>
    <row r="380" spans="22:25" x14ac:dyDescent="0.2">
      <c r="V380" s="231"/>
      <c r="W380" s="231"/>
      <c r="X380" s="273"/>
      <c r="Y380" s="273"/>
    </row>
    <row r="381" spans="22:25" x14ac:dyDescent="0.2">
      <c r="V381" s="231"/>
      <c r="W381" s="231"/>
      <c r="X381" s="273"/>
      <c r="Y381" s="273"/>
    </row>
    <row r="382" spans="22:25" x14ac:dyDescent="0.2">
      <c r="V382" s="231"/>
      <c r="W382" s="231"/>
      <c r="X382" s="273"/>
      <c r="Y382" s="273"/>
    </row>
    <row r="383" spans="22:25" x14ac:dyDescent="0.2">
      <c r="V383" s="231"/>
      <c r="W383" s="231"/>
      <c r="X383" s="273"/>
      <c r="Y383" s="273"/>
    </row>
    <row r="384" spans="22:25" x14ac:dyDescent="0.2">
      <c r="V384" s="231"/>
      <c r="W384" s="231"/>
      <c r="X384" s="273"/>
      <c r="Y384" s="273"/>
    </row>
  </sheetData>
  <dataValidations count="1">
    <dataValidation type="list" allowBlank="1" showInputMessage="1" showErrorMessage="1" sqref="N3:O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384"/>
  <sheetViews>
    <sheetView showGridLines="0" topLeftCell="A2" workbookViewId="0">
      <selection activeCell="D2" sqref="D2"/>
    </sheetView>
  </sheetViews>
  <sheetFormatPr defaultColWidth="9.33203125" defaultRowHeight="11.25" outlineLevelRow="1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5" width="20.1640625" style="60" bestFit="1" customWidth="1"/>
    <col min="6" max="6" width="13.5" style="60" customWidth="1"/>
    <col min="7" max="7" width="20.1640625" style="60" bestFit="1" customWidth="1"/>
    <col min="8" max="8" width="8.1640625" style="60" bestFit="1" customWidth="1"/>
    <col min="9" max="9" width="13" style="60" customWidth="1"/>
    <col min="10" max="11" width="14.1640625" style="60" hidden="1" customWidth="1" outlineLevel="1"/>
    <col min="12" max="12" width="10.5" style="60" bestFit="1" customWidth="1" collapsed="1"/>
    <col min="13" max="13" width="9.33203125" style="60" bestFit="1" customWidth="1"/>
    <col min="14" max="15" width="10.33203125" style="60" customWidth="1"/>
    <col min="16" max="16" width="9.33203125" style="60" bestFit="1" customWidth="1"/>
    <col min="17" max="17" width="7" style="60" bestFit="1" customWidth="1"/>
    <col min="18" max="18" width="9.33203125" style="60" bestFit="1" customWidth="1"/>
    <col min="19" max="19" width="12.83203125" style="60" bestFit="1" customWidth="1"/>
    <col min="20" max="20" width="12.6640625" style="60" customWidth="1"/>
    <col min="21" max="21" width="4.33203125" style="60" customWidth="1"/>
    <col min="22" max="22" width="20.1640625" style="60" bestFit="1" customWidth="1"/>
    <col min="23" max="23" width="11.6640625" style="60" customWidth="1"/>
    <col min="24" max="24" width="12.1640625" style="60" customWidth="1"/>
    <col min="25" max="25" width="13.33203125" style="60" customWidth="1"/>
    <col min="26" max="26" width="4.33203125" style="60" customWidth="1"/>
    <col min="27" max="28" width="12.83203125" style="60" customWidth="1"/>
    <col min="29" max="29" width="17.83203125" style="60" bestFit="1" customWidth="1"/>
    <col min="30" max="30" width="15" style="60" customWidth="1"/>
    <col min="31" max="16384" width="9.33203125" style="60"/>
  </cols>
  <sheetData>
    <row r="1" spans="1:30" hidden="1" outlineLevel="1" x14ac:dyDescent="0.2">
      <c r="E1" s="234" t="s">
        <v>99</v>
      </c>
      <c r="F1" s="234"/>
      <c r="G1" s="250" t="s">
        <v>50</v>
      </c>
      <c r="P1" s="60" t="str">
        <f>_xll.qlInterpolation(,interpolator12M,_xll.ohFilter(E3:E15,N3:N15),_xll.ohFilter(M3:M15,N3:N15))</f>
        <v>obj_005ba#0001</v>
      </c>
    </row>
    <row r="2" spans="1:30" ht="26.45" customHeight="1" collapsed="1" x14ac:dyDescent="0.2">
      <c r="D2" s="87" t="str">
        <f>G1&amp;" Instruments"</f>
        <v>12M Instruments</v>
      </c>
      <c r="E2" s="87" t="s">
        <v>100</v>
      </c>
      <c r="F2" s="87" t="s">
        <v>151</v>
      </c>
      <c r="G2" s="87" t="s">
        <v>101</v>
      </c>
      <c r="H2" s="87" t="s">
        <v>119</v>
      </c>
      <c r="I2" s="87" t="str">
        <f>G1&amp;" Market quote"</f>
        <v>12M Market quote</v>
      </c>
      <c r="J2" s="87" t="s">
        <v>120</v>
      </c>
      <c r="K2" s="87" t="s">
        <v>121</v>
      </c>
      <c r="L2" s="87" t="s">
        <v>122</v>
      </c>
      <c r="M2" s="87" t="s">
        <v>132</v>
      </c>
      <c r="N2" s="87" t="s">
        <v>78</v>
      </c>
      <c r="O2" s="87" t="s">
        <v>159</v>
      </c>
      <c r="P2" s="87" t="s">
        <v>126</v>
      </c>
      <c r="Q2" s="87" t="s">
        <v>135</v>
      </c>
      <c r="R2" s="87" t="s">
        <v>123</v>
      </c>
      <c r="S2" s="87" t="s">
        <v>152</v>
      </c>
      <c r="T2" s="87" t="s">
        <v>156</v>
      </c>
      <c r="V2" s="87" t="s">
        <v>100</v>
      </c>
      <c r="W2" s="87" t="s">
        <v>151</v>
      </c>
      <c r="X2" s="87" t="s">
        <v>126</v>
      </c>
      <c r="Y2" s="87" t="s">
        <v>152</v>
      </c>
      <c r="AA2" s="87" t="s">
        <v>145</v>
      </c>
      <c r="AB2" s="87" t="s">
        <v>146</v>
      </c>
      <c r="AC2" s="87" t="s">
        <v>149</v>
      </c>
      <c r="AD2" s="87" t="s">
        <v>150</v>
      </c>
    </row>
    <row r="3" spans="1:30" ht="11.25" customHeight="1" x14ac:dyDescent="0.2">
      <c r="C3" s="272" t="s">
        <v>23</v>
      </c>
      <c r="D3" s="244" t="str">
        <f>PROPER(Currency&amp;IborType)&amp;C3&amp;"LastFixing"&amp;QuoteSuffix</f>
        <v>Euribor1YLastFixing_Quote</v>
      </c>
      <c r="E3" s="245">
        <f>SettlementDate</f>
        <v>42797</v>
      </c>
      <c r="F3" s="95">
        <f t="shared" ref="F3:F15" si="0">(E3-EvaluationDate)/365</f>
        <v>5.4794520547945206E-3</v>
      </c>
      <c r="G3" s="245">
        <f>_xll.qlCalendarAdvance(Calendar,E3,$G$1,"mf",,Trigger)</f>
        <v>43164</v>
      </c>
      <c r="H3" s="95">
        <f>_xll.qlDayCounterYearFraction(DayCounter,E3,G3,,,Trigger)</f>
        <v>1.0194444444444444</v>
      </c>
      <c r="I3" s="246">
        <f>_xll.qlQuoteValue(D3,LastFixingsTrigger)</f>
        <v>-1.14E-3</v>
      </c>
      <c r="J3" s="247">
        <f>_xll.qlYieldTSDiscount(Discounting,E3,,AllTriggers)</f>
        <v>1.000020555872458</v>
      </c>
      <c r="K3" s="247">
        <f>_xll.qlYieldTSDiscount(Discounting,G3,,AllTriggers)</f>
        <v>1.003609142356672</v>
      </c>
      <c r="L3" s="246">
        <f>(J3/K3-1)/H3</f>
        <v>-3.5074803347229281E-3</v>
      </c>
      <c r="M3" s="246">
        <f>I3-L3</f>
        <v>2.3674803347229281E-3</v>
      </c>
      <c r="N3" s="233" t="b">
        <v>0</v>
      </c>
      <c r="O3" s="233" t="b">
        <v>1</v>
      </c>
      <c r="P3" s="239">
        <f>_xll.qlInterpolationInterpolate($P$1,E3,TRUE)</f>
        <v>2.3499105291959798E-3</v>
      </c>
      <c r="Q3" s="240">
        <f>(M3-P3)*10000</f>
        <v>0.17569805526948362</v>
      </c>
      <c r="R3" s="274">
        <f t="shared" ref="R3:R15" si="1">LN((1+I3*H3)/(1+L3*H3))</f>
        <v>2.4192468636739716E-3</v>
      </c>
      <c r="S3" s="239">
        <f>_xll.qlInterpolationInterpolate(AbcdInterpolation12M,F3,TRUE)</f>
        <v>2.3473896846761761E-3</v>
      </c>
      <c r="T3" s="240">
        <f>(M3-S3)*10000</f>
        <v>0.20090650046752057</v>
      </c>
      <c r="V3" s="109">
        <f>E3</f>
        <v>42797</v>
      </c>
      <c r="W3" s="110">
        <f t="shared" ref="W3:W66" si="2">(V3-EvaluationDate)/365</f>
        <v>5.4794520547945206E-3</v>
      </c>
      <c r="X3" s="352">
        <f>_xll.qlInterpolationInterpolate(B12Minterpolation,V3,TRUE)</f>
        <v>2.3499105291959798E-3</v>
      </c>
      <c r="Y3" s="352">
        <f>_xll.qlInterpolationInterpolate(AbcdInterpolation12M,W3,TRUE)</f>
        <v>2.3473896846761761E-3</v>
      </c>
      <c r="AA3" s="331" t="s">
        <v>141</v>
      </c>
      <c r="AB3" s="336">
        <f>M3-AB6</f>
        <v>-7.2253534946966572E-4</v>
      </c>
      <c r="AC3" s="344" t="str">
        <f>_xll.qlAbcdInterpolation(,_xll.ohFilter($F$3:$F$15,$O$3:$O$15),_xll.ohFilter($M$3:$M$15,$O$3:$O$15),$AB$3,$AB$4,$AB$5,$AB$6,,,,,FALSE,EndCriteria,LevenbergMarquardt,,Trigger)</f>
        <v>obj_005be#0001</v>
      </c>
      <c r="AD3" s="336">
        <f>_xll.qlAbcdInterpolationA(AbcdInterpolation12M,Trigger)</f>
        <v>2.3405743530259511E-3</v>
      </c>
    </row>
    <row r="4" spans="1:30" ht="11.25" customHeight="1" x14ac:dyDescent="0.2">
      <c r="A4" s="60">
        <v>1</v>
      </c>
      <c r="B4" s="60" t="s">
        <v>32</v>
      </c>
      <c r="C4" s="60">
        <f>A4+SUBSTITUTE($G$1,"M","")</f>
        <v>13</v>
      </c>
      <c r="D4" s="248" t="str">
        <f t="shared" ref="D4:D15" si="3">Currency&amp;A4&amp;B4&amp;C4&amp;"F"&amp;QuoteSuffix</f>
        <v>EUR1x13F_Quote</v>
      </c>
      <c r="E4" s="114">
        <f>_xll.qlCalendarAdvance("target",$E$3,A4&amp;"M","mf",,Trigger)</f>
        <v>42828</v>
      </c>
      <c r="F4" s="100">
        <f t="shared" si="0"/>
        <v>9.0410958904109592E-2</v>
      </c>
      <c r="G4" s="114">
        <f>_xll.qlCalendarAdvance(Calendar,E4,$G$1,"mf",,Trigger)</f>
        <v>43193</v>
      </c>
      <c r="H4" s="100">
        <f>_xll.qlDayCounterYearFraction(DayCounter,E4,G4,,,Trigger)</f>
        <v>1.0138888888888888</v>
      </c>
      <c r="I4" s="112">
        <f>_xll.qlQuoteValue(D4,AllTriggers)</f>
        <v>-1.0600000000000002E-3</v>
      </c>
      <c r="J4" s="111">
        <f>_xll.qlYieldTSDiscount(Discounting,E4,,AllTriggers)</f>
        <v>1.0003246267722015</v>
      </c>
      <c r="K4" s="111">
        <f>_xll.qlYieldTSDiscount(Discounting,G4,,AllTriggers)</f>
        <v>1.0038821069059682</v>
      </c>
      <c r="L4" s="112">
        <f t="shared" ref="L4:L15" si="4">(J4/K4-1)/H4</f>
        <v>-3.4951788711613183E-3</v>
      </c>
      <c r="M4" s="125">
        <f t="shared" ref="M4:M15" si="5">I4-L4</f>
        <v>2.4351788711613181E-3</v>
      </c>
      <c r="N4" s="50" t="b">
        <v>1</v>
      </c>
      <c r="O4" s="50" t="b">
        <v>1</v>
      </c>
      <c r="P4" s="112">
        <f>_xll.qlInterpolationInterpolate($P$1,E4,TRUE)</f>
        <v>2.4351788711613181E-3</v>
      </c>
      <c r="Q4" s="242">
        <f t="shared" ref="Q4:Q15" si="6">(M4-P4)*10000</f>
        <v>0</v>
      </c>
      <c r="R4" s="237">
        <f t="shared" si="1"/>
        <v>2.474716731847217E-3</v>
      </c>
      <c r="S4" s="112">
        <f>_xll.qlInterpolationInterpolate(AbcdInterpolation12M,F4,TRUE)</f>
        <v>2.4447682571353325E-3</v>
      </c>
      <c r="T4" s="242">
        <f t="shared" ref="T4:T15" si="7">(M4-S4)*10000</f>
        <v>-9.5893859740144194E-2</v>
      </c>
      <c r="V4" s="114">
        <f>_xll.qlCalendarAdvance(Calendar,V3,"1D","f")</f>
        <v>42800</v>
      </c>
      <c r="W4" s="100">
        <f t="shared" si="2"/>
        <v>1.3698630136986301E-2</v>
      </c>
      <c r="X4" s="353">
        <f>_xll.qlInterpolationInterpolate(B12Minterpolation,V4,TRUE)</f>
        <v>2.3584484963224692E-3</v>
      </c>
      <c r="Y4" s="353">
        <f>_xll.qlInterpolationInterpolate(AbcdInterpolation12M,W4,TRUE)</f>
        <v>2.3571068221554313E-3</v>
      </c>
      <c r="AA4" s="331" t="s">
        <v>142</v>
      </c>
      <c r="AB4" s="337">
        <v>5.0000000000000001E-4</v>
      </c>
      <c r="AC4" s="326"/>
      <c r="AD4" s="342">
        <f>_xll.qlAbcdInterpolationB(AbcdInterpolation12M,Trigger)</f>
        <v>3.6806845690110237E-3</v>
      </c>
    </row>
    <row r="5" spans="1:30" ht="11.25" customHeight="1" x14ac:dyDescent="0.2">
      <c r="A5" s="60">
        <v>2</v>
      </c>
      <c r="B5" s="60" t="s">
        <v>32</v>
      </c>
      <c r="C5" s="60">
        <f t="shared" ref="C5:C15" si="8">A5+SUBSTITUTE($G$1,"M","")</f>
        <v>14</v>
      </c>
      <c r="D5" s="248" t="str">
        <f t="shared" si="3"/>
        <v>EUR2x14F_Quote</v>
      </c>
      <c r="E5" s="114">
        <f>_xll.qlCalendarAdvance("target",$E$3,A5&amp;"M","mf",,Trigger)</f>
        <v>42858</v>
      </c>
      <c r="F5" s="100">
        <f t="shared" si="0"/>
        <v>0.17260273972602741</v>
      </c>
      <c r="G5" s="114">
        <f>_xll.qlCalendarAdvance(Calendar,E5,$G$1,"mf",,Trigger)</f>
        <v>43223</v>
      </c>
      <c r="H5" s="100">
        <f>_xll.qlDayCounterYearFraction(DayCounter,E5,G5,,,Trigger)</f>
        <v>1.0138888888888888</v>
      </c>
      <c r="I5" s="112">
        <f>_xll.qlQuoteValue(D5,AllTriggers)</f>
        <v>-9.6000000000000002E-4</v>
      </c>
      <c r="J5" s="115">
        <f>_xll.qlYieldTSDiscount(Discounting,E5,,AllTriggers)</f>
        <v>1.0006195858250457</v>
      </c>
      <c r="K5" s="115">
        <f>_xll.qlYieldTSDiscount(Discounting,G5,,AllTriggers)</f>
        <v>1.0041601448610491</v>
      </c>
      <c r="L5" s="112">
        <f t="shared" si="4"/>
        <v>-3.4775909451915613E-3</v>
      </c>
      <c r="M5" s="112">
        <f t="shared" si="5"/>
        <v>2.5175909451915614E-3</v>
      </c>
      <c r="N5" s="50" t="b">
        <v>1</v>
      </c>
      <c r="O5" s="50" t="b">
        <v>1</v>
      </c>
      <c r="P5" s="112">
        <f>_xll.qlInterpolationInterpolate($P$1,E5,TRUE)</f>
        <v>2.5175909451915614E-3</v>
      </c>
      <c r="Q5" s="242">
        <f t="shared" si="6"/>
        <v>0</v>
      </c>
      <c r="R5" s="237">
        <f t="shared" si="1"/>
        <v>2.5583140925759065E-3</v>
      </c>
      <c r="S5" s="112">
        <f>_xll.qlInterpolationInterpolate(AbcdInterpolation12M,F5,TRUE)</f>
        <v>2.5325613089208082E-3</v>
      </c>
      <c r="T5" s="242">
        <f t="shared" si="7"/>
        <v>-0.14970363729246811</v>
      </c>
      <c r="V5" s="114">
        <f>_xll.qlCalendarAdvance(Calendar,V4,"1D","f")</f>
        <v>42801</v>
      </c>
      <c r="W5" s="100">
        <f t="shared" si="2"/>
        <v>1.643835616438356E-2</v>
      </c>
      <c r="X5" s="353">
        <f>_xll.qlInterpolationInterpolate(B12Minterpolation,V5,TRUE)</f>
        <v>2.3612746205378425E-3</v>
      </c>
      <c r="Y5" s="353">
        <f>_xll.qlInterpolationInterpolate(AbcdInterpolation12M,W5,TRUE)</f>
        <v>2.3603320002706066E-3</v>
      </c>
      <c r="AA5" s="331" t="s">
        <v>143</v>
      </c>
      <c r="AB5" s="338">
        <v>1.25</v>
      </c>
      <c r="AC5" s="326"/>
      <c r="AD5" s="338">
        <f>_xll.qlAbcdInterpolationC(AbcdInterpolation12M,Trigger)</f>
        <v>0.55478444068895272</v>
      </c>
    </row>
    <row r="6" spans="1:30" ht="11.25" customHeight="1" x14ac:dyDescent="0.2">
      <c r="A6" s="60">
        <f>A5+1</f>
        <v>3</v>
      </c>
      <c r="B6" s="60" t="s">
        <v>32</v>
      </c>
      <c r="C6" s="60">
        <f t="shared" si="8"/>
        <v>15</v>
      </c>
      <c r="D6" s="248" t="str">
        <f t="shared" si="3"/>
        <v>EUR3x15F_Quote</v>
      </c>
      <c r="E6" s="114">
        <f>_xll.qlCalendarAdvance("target",$E$3,A6&amp;"M","mf",,Trigger)</f>
        <v>42891</v>
      </c>
      <c r="F6" s="100">
        <f t="shared" si="0"/>
        <v>0.26301369863013696</v>
      </c>
      <c r="G6" s="114">
        <f>_xll.qlCalendarAdvance(Calendar,E6,$G$1,"mf",,Trigger)</f>
        <v>43256</v>
      </c>
      <c r="H6" s="100">
        <f>_xll.qlDayCounterYearFraction(DayCounter,E6,G6,,,Trigger)</f>
        <v>1.0138888888888888</v>
      </c>
      <c r="I6" s="112">
        <f>_xll.qlQuoteValue(D6,AllTriggers)</f>
        <v>-8.4000000000000003E-4</v>
      </c>
      <c r="J6" s="115">
        <f>_xll.qlYieldTSDiscount(Discounting,E6,,AllTriggers)</f>
        <v>1.0009443099914743</v>
      </c>
      <c r="K6" s="115">
        <f>_xll.qlYieldTSDiscount(Discounting,G6,,AllTriggers)</f>
        <v>1.0044606647610341</v>
      </c>
      <c r="L6" s="112">
        <f t="shared" si="4"/>
        <v>-3.45278381504992E-3</v>
      </c>
      <c r="M6" s="112">
        <f t="shared" si="5"/>
        <v>2.6127838150499199E-3</v>
      </c>
      <c r="N6" s="50" t="b">
        <v>1</v>
      </c>
      <c r="O6" s="50" t="b">
        <v>1</v>
      </c>
      <c r="P6" s="112">
        <f>_xll.qlInterpolationInterpolate($P$1,E6,TRUE)</f>
        <v>2.6127838150499199E-3</v>
      </c>
      <c r="Q6" s="242">
        <f t="shared" si="6"/>
        <v>0</v>
      </c>
      <c r="R6" s="237">
        <f t="shared" si="1"/>
        <v>2.6548515307052416E-3</v>
      </c>
      <c r="S6" s="112">
        <f>_xll.qlInterpolationInterpolate(AbcdInterpolation12M,F6,TRUE)</f>
        <v>2.6218332729402737E-3</v>
      </c>
      <c r="T6" s="242">
        <f t="shared" si="7"/>
        <v>-9.0494578903537945E-2</v>
      </c>
      <c r="V6" s="114">
        <f>_xll.qlCalendarAdvance(Calendar,V5,"1D","f")</f>
        <v>42802</v>
      </c>
      <c r="W6" s="100">
        <f t="shared" si="2"/>
        <v>1.9178082191780823E-2</v>
      </c>
      <c r="X6" s="353">
        <f>_xll.qlInterpolationInterpolate(B12Minterpolation,V6,TRUE)</f>
        <v>2.3640913898057164E-3</v>
      </c>
      <c r="Y6" s="353">
        <f>_xll.qlInterpolationInterpolate(AbcdInterpolation12M,W6,TRUE)</f>
        <v>2.3635502324363361E-3</v>
      </c>
      <c r="AA6" s="332" t="s">
        <v>144</v>
      </c>
      <c r="AB6" s="339">
        <f>M15</f>
        <v>3.0900156841925938E-3</v>
      </c>
      <c r="AC6" s="333"/>
      <c r="AD6" s="339">
        <f>_xll.qlAbcdInterpolationD(AbcdInterpolation12M,Trigger)</f>
        <v>3.0264762704348555E-7</v>
      </c>
    </row>
    <row r="7" spans="1:30" ht="11.25" customHeight="1" x14ac:dyDescent="0.2">
      <c r="A7" s="60">
        <f t="shared" ref="A7:A15" si="9">A6+1</f>
        <v>4</v>
      </c>
      <c r="B7" s="60" t="s">
        <v>32</v>
      </c>
      <c r="C7" s="60">
        <f t="shared" si="8"/>
        <v>16</v>
      </c>
      <c r="D7" s="248" t="str">
        <f t="shared" si="3"/>
        <v>EUR4x16F_Quote</v>
      </c>
      <c r="E7" s="114">
        <f>_xll.qlCalendarAdvance("target",$E$3,A7&amp;"M","mf",,Trigger)</f>
        <v>42919</v>
      </c>
      <c r="F7" s="100">
        <f t="shared" si="0"/>
        <v>0.33972602739726027</v>
      </c>
      <c r="G7" s="114">
        <f>_xll.qlCalendarAdvance(Calendar,E7,$G$1,"mf",,Trigger)</f>
        <v>43284</v>
      </c>
      <c r="H7" s="100">
        <f>_xll.qlDayCounterYearFraction(DayCounter,E7,G7,,,Trigger)</f>
        <v>1.0138888888888888</v>
      </c>
      <c r="I7" s="112">
        <f>_xll.qlQuoteValue(D7,AllTriggers)</f>
        <v>-7.400000000000001E-4</v>
      </c>
      <c r="J7" s="115">
        <f>_xll.qlYieldTSDiscount(Discounting,E7,,AllTriggers)</f>
        <v>1.0012198517777355</v>
      </c>
      <c r="K7" s="115">
        <f>_xll.qlYieldTSDiscount(Discounting,G7,,AllTriggers)</f>
        <v>1.0047113628674562</v>
      </c>
      <c r="L7" s="112">
        <f t="shared" si="4"/>
        <v>-3.4275338151398046E-3</v>
      </c>
      <c r="M7" s="112">
        <f t="shared" si="5"/>
        <v>2.6875338151398044E-3</v>
      </c>
      <c r="N7" s="50" t="b">
        <v>1</v>
      </c>
      <c r="O7" s="50" t="b">
        <v>1</v>
      </c>
      <c r="P7" s="112">
        <f>_xll.qlInterpolationInterpolate($P$1,E7,TRUE)</f>
        <v>2.6875338151398044E-3</v>
      </c>
      <c r="Q7" s="242">
        <f t="shared" si="6"/>
        <v>0</v>
      </c>
      <c r="R7" s="237">
        <f t="shared" si="1"/>
        <v>2.7306313939129087E-3</v>
      </c>
      <c r="S7" s="112">
        <f>_xll.qlInterpolationInterpolate(AbcdInterpolation12M,F7,TRUE)</f>
        <v>2.6916897569792984E-3</v>
      </c>
      <c r="T7" s="242">
        <f t="shared" si="7"/>
        <v>-4.1559418394940262E-2</v>
      </c>
      <c r="V7" s="114">
        <f>_xll.qlCalendarAdvance(Calendar,V6,"1D","f")</f>
        <v>42803</v>
      </c>
      <c r="W7" s="100">
        <f t="shared" si="2"/>
        <v>2.1917808219178082E-2</v>
      </c>
      <c r="X7" s="353">
        <f>_xll.qlInterpolationInterpolate(B12Minterpolation,V7,TRUE)</f>
        <v>2.3668991506056274E-3</v>
      </c>
      <c r="Y7" s="353">
        <f>_xll.qlInterpolationInterpolate(AbcdInterpolation12M,W7,TRUE)</f>
        <v>2.3667615117604181E-3</v>
      </c>
    </row>
    <row r="8" spans="1:30" ht="11.25" customHeight="1" x14ac:dyDescent="0.2">
      <c r="A8" s="60">
        <f t="shared" si="9"/>
        <v>5</v>
      </c>
      <c r="B8" s="60" t="s">
        <v>32</v>
      </c>
      <c r="C8" s="60">
        <f t="shared" si="8"/>
        <v>17</v>
      </c>
      <c r="D8" s="248" t="str">
        <f t="shared" si="3"/>
        <v>EUR5x17F_Quote</v>
      </c>
      <c r="E8" s="114">
        <f>_xll.qlCalendarAdvance("target",$E$3,A8&amp;"M","mf",,Trigger)</f>
        <v>42950</v>
      </c>
      <c r="F8" s="100">
        <f t="shared" si="0"/>
        <v>0.42465753424657532</v>
      </c>
      <c r="G8" s="114">
        <f>_xll.qlCalendarAdvance(Calendar,E8,$G$1,"mf",,Trigger)</f>
        <v>43315</v>
      </c>
      <c r="H8" s="100">
        <f>_xll.qlDayCounterYearFraction(DayCounter,E8,G8,,,Trigger)</f>
        <v>1.0138888888888888</v>
      </c>
      <c r="I8" s="112">
        <f>_xll.qlQuoteValue(D8,AllTriggers)</f>
        <v>-6.3000000000000003E-4</v>
      </c>
      <c r="J8" s="115">
        <f>_xll.qlYieldTSDiscount(Discounting,E8,,AllTriggers)</f>
        <v>1.0015239797167339</v>
      </c>
      <c r="K8" s="115">
        <f>_xll.qlYieldTSDiscount(Discounting,G8,,AllTriggers)</f>
        <v>1.0049854065459094</v>
      </c>
      <c r="L8" s="112">
        <f t="shared" si="4"/>
        <v>-3.3970742272071298E-3</v>
      </c>
      <c r="M8" s="112">
        <f t="shared" si="5"/>
        <v>2.7670742272071299E-3</v>
      </c>
      <c r="N8" s="50" t="b">
        <v>1</v>
      </c>
      <c r="O8" s="50" t="b">
        <v>1</v>
      </c>
      <c r="P8" s="112">
        <f>_xll.qlInterpolationInterpolate($P$1,E8,TRUE)</f>
        <v>2.7670742272071299E-3</v>
      </c>
      <c r="Q8" s="242">
        <f t="shared" si="6"/>
        <v>0</v>
      </c>
      <c r="R8" s="237">
        <f t="shared" si="1"/>
        <v>2.8112468299558969E-3</v>
      </c>
      <c r="S8" s="112">
        <f>_xll.qlInterpolationInterpolate(AbcdInterpolation12M,F8,TRUE)</f>
        <v>2.7629068524791991E-3</v>
      </c>
      <c r="T8" s="242">
        <f t="shared" si="7"/>
        <v>4.1673747279307762E-2</v>
      </c>
      <c r="V8" s="114">
        <f>_xll.qlCalendarAdvance(Calendar,V7,"1D","f")</f>
        <v>42804</v>
      </c>
      <c r="W8" s="100">
        <f t="shared" si="2"/>
        <v>2.4657534246575342E-2</v>
      </c>
      <c r="X8" s="353">
        <f>_xll.qlInterpolationInterpolate(B12Minterpolation,V8,TRUE)</f>
        <v>2.3696982494171128E-3</v>
      </c>
      <c r="Y8" s="353">
        <f>_xll.qlInterpolationInterpolate(AbcdInterpolation12M,W8,TRUE)</f>
        <v>2.3699658315898672E-3</v>
      </c>
    </row>
    <row r="9" spans="1:30" ht="11.25" customHeight="1" x14ac:dyDescent="0.2">
      <c r="A9" s="60">
        <f t="shared" si="9"/>
        <v>6</v>
      </c>
      <c r="B9" s="60" t="s">
        <v>32</v>
      </c>
      <c r="C9" s="60">
        <f t="shared" si="8"/>
        <v>18</v>
      </c>
      <c r="D9" s="248" t="str">
        <f t="shared" si="3"/>
        <v>EUR6x18F_Quote</v>
      </c>
      <c r="E9" s="114">
        <f>_xll.qlCalendarAdvance("target",$E$3,A9&amp;"M","mf",,Trigger)</f>
        <v>42982</v>
      </c>
      <c r="F9" s="100">
        <f t="shared" si="0"/>
        <v>0.51232876712328768</v>
      </c>
      <c r="G9" s="114">
        <f>_xll.qlCalendarAdvance(Calendar,E9,$G$1,"mf",,Trigger)</f>
        <v>43347</v>
      </c>
      <c r="H9" s="100">
        <f>_xll.qlDayCounterYearFraction(DayCounter,E9,G9,,,Trigger)</f>
        <v>1.0138888888888888</v>
      </c>
      <c r="I9" s="112">
        <f>_xll.qlQuoteValue(D9,AllTriggers)</f>
        <v>-5.2999999999999998E-4</v>
      </c>
      <c r="J9" s="115">
        <f>_xll.qlYieldTSDiscount(Discounting,E9,,AllTriggers)</f>
        <v>1.0018385113188129</v>
      </c>
      <c r="K9" s="115">
        <f>_xll.qlYieldTSDiscount(Discounting,G9,,AllTriggers)</f>
        <v>1.0052662340182799</v>
      </c>
      <c r="L9" s="112">
        <f t="shared" si="4"/>
        <v>-3.3630569490842267E-3</v>
      </c>
      <c r="M9" s="112">
        <f t="shared" si="5"/>
        <v>2.8330569490842266E-3</v>
      </c>
      <c r="N9" s="50" t="b">
        <v>1</v>
      </c>
      <c r="O9" s="50" t="b">
        <v>1</v>
      </c>
      <c r="P9" s="112">
        <f>_xll.qlInterpolationInterpolate($P$1,E9,TRUE)</f>
        <v>2.8330569490842266E-3</v>
      </c>
      <c r="Q9" s="242">
        <f t="shared" si="6"/>
        <v>0</v>
      </c>
      <c r="R9" s="237">
        <f t="shared" si="1"/>
        <v>2.8780870328185613E-3</v>
      </c>
      <c r="S9" s="112">
        <f>_xll.qlInterpolationInterpolate(AbcdInterpolation12M,F9,TRUE)</f>
        <v>2.8299169742521633E-3</v>
      </c>
      <c r="T9" s="242">
        <f t="shared" si="7"/>
        <v>3.1399748320632553E-2</v>
      </c>
      <c r="V9" s="114">
        <f>_xll.qlCalendarAdvance(Calendar,V8,"1D","f")</f>
        <v>42807</v>
      </c>
      <c r="W9" s="100">
        <f t="shared" si="2"/>
        <v>3.287671232876712E-2</v>
      </c>
      <c r="X9" s="353">
        <f>_xll.qlInterpolationInterpolate(B12Minterpolation,V9,TRUE)</f>
        <v>2.3780470387163842E-3</v>
      </c>
      <c r="Y9" s="353">
        <f>_xll.qlInterpolationInterpolate(AbcdInterpolation12M,W9,TRUE)</f>
        <v>2.3795369710917715E-3</v>
      </c>
    </row>
    <row r="10" spans="1:30" ht="11.25" customHeight="1" x14ac:dyDescent="0.2">
      <c r="A10" s="60">
        <f t="shared" si="9"/>
        <v>7</v>
      </c>
      <c r="B10" s="60" t="s">
        <v>32</v>
      </c>
      <c r="C10" s="60">
        <f t="shared" si="8"/>
        <v>19</v>
      </c>
      <c r="D10" s="248" t="str">
        <f t="shared" si="3"/>
        <v>EUR7x19F_Quote</v>
      </c>
      <c r="E10" s="114">
        <f>_xll.qlCalendarAdvance("target",$E$3,A10&amp;"M","mf",,Trigger)</f>
        <v>43011</v>
      </c>
      <c r="F10" s="100">
        <f t="shared" si="0"/>
        <v>0.59178082191780823</v>
      </c>
      <c r="G10" s="114">
        <f>_xll.qlCalendarAdvance(Calendar,E10,$G$1,"mf",,Trigger)</f>
        <v>43376</v>
      </c>
      <c r="H10" s="100">
        <f>_xll.qlDayCounterYearFraction(DayCounter,E10,G10,,,Trigger)</f>
        <v>1.0138888888888888</v>
      </c>
      <c r="I10" s="112">
        <f>_xll.qlQuoteValue(D10,AllTriggers)</f>
        <v>-4.4000000000000007E-4</v>
      </c>
      <c r="J10" s="115">
        <f>_xll.qlYieldTSDiscount(Discounting,E10,,AllTriggers)</f>
        <v>1.002122508009355</v>
      </c>
      <c r="K10" s="115">
        <f>_xll.qlYieldTSDiscount(Discounting,G10,,AllTriggers)</f>
        <v>1.0055200118231633</v>
      </c>
      <c r="L10" s="112">
        <f t="shared" si="4"/>
        <v>-3.3325668572206642E-3</v>
      </c>
      <c r="M10" s="112">
        <f t="shared" si="5"/>
        <v>2.8925668572206643E-3</v>
      </c>
      <c r="N10" s="50" t="b">
        <v>1</v>
      </c>
      <c r="O10" s="50" t="b">
        <v>1</v>
      </c>
      <c r="P10" s="112">
        <f>_xll.qlInterpolationInterpolate($P$1,E10,TRUE)</f>
        <v>2.8925668572206643E-3</v>
      </c>
      <c r="Q10" s="242">
        <f t="shared" si="6"/>
        <v>0</v>
      </c>
      <c r="R10" s="237">
        <f t="shared" si="1"/>
        <v>2.9383630729328536E-3</v>
      </c>
      <c r="S10" s="112">
        <f>_xll.qlInterpolationInterpolate(AbcdInterpolation12M,F10,TRUE)</f>
        <v>2.8851803680130707E-3</v>
      </c>
      <c r="T10" s="242">
        <f t="shared" si="7"/>
        <v>7.3864892075935565E-2</v>
      </c>
      <c r="V10" s="114">
        <f>_xll.qlCalendarAdvance(Calendar,V9,"1D","f")</f>
        <v>42808</v>
      </c>
      <c r="W10" s="100">
        <f t="shared" si="2"/>
        <v>3.5616438356164383E-2</v>
      </c>
      <c r="X10" s="353">
        <f>_xll.qlInterpolationInterpolate(B12Minterpolation,V10,TRUE)</f>
        <v>2.3808149543695372E-3</v>
      </c>
      <c r="Y10" s="353">
        <f>_xll.qlInterpolationInterpolate(AbcdInterpolation12M,W10,TRUE)</f>
        <v>2.3827133910743689E-3</v>
      </c>
    </row>
    <row r="11" spans="1:30" ht="11.25" customHeight="1" x14ac:dyDescent="0.2">
      <c r="A11" s="60">
        <f t="shared" si="9"/>
        <v>8</v>
      </c>
      <c r="B11" s="60" t="s">
        <v>32</v>
      </c>
      <c r="C11" s="60">
        <f t="shared" si="8"/>
        <v>20</v>
      </c>
      <c r="D11" s="248" t="str">
        <f t="shared" si="3"/>
        <v>EUR8x20F_Quote</v>
      </c>
      <c r="E11" s="114">
        <f>_xll.qlCalendarAdvance("target",$E$3,A11&amp;"M","mf",,Trigger)</f>
        <v>43042</v>
      </c>
      <c r="F11" s="100">
        <f t="shared" si="0"/>
        <v>0.67671232876712328</v>
      </c>
      <c r="G11" s="114">
        <f>_xll.qlCalendarAdvance(Calendar,E11,$G$1,"mf",,Trigger)</f>
        <v>43409</v>
      </c>
      <c r="H11" s="100">
        <f>_xll.qlDayCounterYearFraction(DayCounter,E11,G11,,,Trigger)</f>
        <v>1.0194444444444444</v>
      </c>
      <c r="I11" s="112">
        <f>_xll.qlQuoteValue(D11,AllTriggers)</f>
        <v>-3.4999999999999994E-4</v>
      </c>
      <c r="J11" s="115">
        <f>_xll.qlYieldTSDiscount(Discounting,E11,,AllTriggers)</f>
        <v>1.0024253022553387</v>
      </c>
      <c r="K11" s="115">
        <f>_xll.qlYieldTSDiscount(Discounting,G11,,AllTriggers)</f>
        <v>1.0058048578424141</v>
      </c>
      <c r="L11" s="112">
        <f t="shared" si="4"/>
        <v>-3.2959628032393981E-3</v>
      </c>
      <c r="M11" s="112">
        <f t="shared" si="5"/>
        <v>2.9459628032393981E-3</v>
      </c>
      <c r="N11" s="50" t="b">
        <v>1</v>
      </c>
      <c r="O11" s="50" t="b">
        <v>1</v>
      </c>
      <c r="P11" s="112">
        <f>_xll.qlInterpolationInterpolate($P$1,E11,TRUE)</f>
        <v>2.9459628032393981E-3</v>
      </c>
      <c r="Q11" s="242">
        <f t="shared" si="6"/>
        <v>0</v>
      </c>
      <c r="R11" s="237">
        <f t="shared" si="1"/>
        <v>3.0088393911901967E-3</v>
      </c>
      <c r="S11" s="112">
        <f>_xll.qlInterpolationInterpolate(AbcdInterpolation12M,F11,TRUE)</f>
        <v>2.9387800451641209E-3</v>
      </c>
      <c r="T11" s="242">
        <f t="shared" si="7"/>
        <v>7.1827580752771403E-2</v>
      </c>
      <c r="V11" s="114">
        <f>_xll.qlCalendarAdvance(Calendar,V10,"1D","f")</f>
        <v>42809</v>
      </c>
      <c r="W11" s="100">
        <f t="shared" si="2"/>
        <v>3.8356164383561646E-2</v>
      </c>
      <c r="X11" s="353">
        <f>_xll.qlInterpolationInterpolate(B12Minterpolation,V11,TRUE)</f>
        <v>2.3835759404319491E-3</v>
      </c>
      <c r="Y11" s="353">
        <f>_xll.qlInterpolationInterpolate(AbcdInterpolation12M,W11,TRUE)</f>
        <v>2.3858828217679083E-3</v>
      </c>
    </row>
    <row r="12" spans="1:30" ht="11.25" customHeight="1" x14ac:dyDescent="0.2">
      <c r="A12" s="60">
        <f t="shared" si="9"/>
        <v>9</v>
      </c>
      <c r="B12" s="60" t="s">
        <v>32</v>
      </c>
      <c r="C12" s="60">
        <f t="shared" si="8"/>
        <v>21</v>
      </c>
      <c r="D12" s="248" t="str">
        <f t="shared" si="3"/>
        <v>EUR9x21F_Quote</v>
      </c>
      <c r="E12" s="114">
        <f>_xll.qlCalendarAdvance("target",$E$3,A12&amp;"M","mf",,Trigger)</f>
        <v>43073</v>
      </c>
      <c r="F12" s="100">
        <f t="shared" si="0"/>
        <v>0.76164383561643834</v>
      </c>
      <c r="G12" s="114">
        <f>_xll.qlCalendarAdvance(Calendar,E12,$G$1,"mf",,Trigger)</f>
        <v>43438</v>
      </c>
      <c r="H12" s="100">
        <f>_xll.qlDayCounterYearFraction(DayCounter,E12,G12,,,Trigger)</f>
        <v>1.0138888888888888</v>
      </c>
      <c r="I12" s="112">
        <f>_xll.qlQuoteValue(D12,AllTriggers)</f>
        <v>-2.6000000000000003E-4</v>
      </c>
      <c r="J12" s="115">
        <f>_xll.qlYieldTSDiscount(Discounting,E12,,AllTriggers)</f>
        <v>1.002729387122127</v>
      </c>
      <c r="K12" s="115">
        <f>_xll.qlYieldTSDiscount(Discounting,G12,,AllTriggers)</f>
        <v>1.006047494478727</v>
      </c>
      <c r="L12" s="112">
        <f t="shared" si="4"/>
        <v>-3.2529814438461012E-3</v>
      </c>
      <c r="M12" s="112">
        <f t="shared" si="5"/>
        <v>2.992981443846101E-3</v>
      </c>
      <c r="N12" s="50" t="b">
        <v>1</v>
      </c>
      <c r="O12" s="50" t="b">
        <v>1</v>
      </c>
      <c r="P12" s="112">
        <f>_xll.qlInterpolationInterpolate($P$1,E12,TRUE)</f>
        <v>2.992981443846101E-3</v>
      </c>
      <c r="Q12" s="242">
        <f t="shared" si="6"/>
        <v>0</v>
      </c>
      <c r="R12" s="237">
        <f t="shared" si="1"/>
        <v>3.0399668031397538E-3</v>
      </c>
      <c r="S12" s="112">
        <f>_xll.qlInterpolationInterpolate(AbcdInterpolation12M,F12,TRUE)</f>
        <v>2.9870060895814446E-3</v>
      </c>
      <c r="T12" s="242">
        <f t="shared" si="7"/>
        <v>5.9753542646563164E-2</v>
      </c>
      <c r="V12" s="114">
        <f>_xll.qlCalendarAdvance(Calendar,V11,"1D","f")</f>
        <v>42810</v>
      </c>
      <c r="W12" s="100">
        <f t="shared" si="2"/>
        <v>4.1095890410958902E-2</v>
      </c>
      <c r="X12" s="353">
        <f>_xll.qlInterpolationInterpolate(B12Minterpolation,V12,TRUE)</f>
        <v>2.3863303433831577E-3</v>
      </c>
      <c r="Y12" s="353">
        <f>_xll.qlInterpolationInterpolate(AbcdInterpolation12M,W12,TRUE)</f>
        <v>2.3890452578869351E-3</v>
      </c>
    </row>
    <row r="13" spans="1:30" ht="11.25" customHeight="1" x14ac:dyDescent="0.2">
      <c r="A13" s="60">
        <f t="shared" si="9"/>
        <v>10</v>
      </c>
      <c r="B13" s="60" t="s">
        <v>32</v>
      </c>
      <c r="C13" s="60">
        <f t="shared" si="8"/>
        <v>22</v>
      </c>
      <c r="D13" s="248" t="str">
        <f t="shared" si="3"/>
        <v>EUR10x22F_Quote</v>
      </c>
      <c r="E13" s="114">
        <f>_xll.qlCalendarAdvance("target",$E$3,A13&amp;"M","mf",,Trigger)</f>
        <v>43103</v>
      </c>
      <c r="F13" s="100">
        <f t="shared" si="0"/>
        <v>0.84383561643835614</v>
      </c>
      <c r="G13" s="114">
        <f>_xll.qlCalendarAdvance(Calendar,E13,$G$1,"mf",,Trigger)</f>
        <v>43468</v>
      </c>
      <c r="H13" s="100">
        <f>_xll.qlDayCounterYearFraction(DayCounter,E13,G13,,,Trigger)</f>
        <v>1.0138888888888888</v>
      </c>
      <c r="I13" s="112">
        <f>_xll.qlQuoteValue(D13,AllTriggers)</f>
        <v>-1.7000000000000001E-4</v>
      </c>
      <c r="J13" s="115">
        <f>_xll.qlYieldTSDiscount(Discounting,E13,,AllTriggers)</f>
        <v>1.0030228100170737</v>
      </c>
      <c r="K13" s="115">
        <f>_xll.qlYieldTSDiscount(Discounting,G13,,AllTriggers)</f>
        <v>1.0062872100505176</v>
      </c>
      <c r="L13" s="112">
        <f t="shared" si="4"/>
        <v>-3.1995658819959296E-3</v>
      </c>
      <c r="M13" s="112">
        <f t="shared" si="5"/>
        <v>3.0295658819959295E-3</v>
      </c>
      <c r="N13" s="50" t="b">
        <v>0</v>
      </c>
      <c r="O13" s="50" t="b">
        <v>0</v>
      </c>
      <c r="P13" s="112">
        <f>_xll.qlInterpolationInterpolate($P$1,E13,TRUE)</f>
        <v>3.0304428798986704E-3</v>
      </c>
      <c r="Q13" s="242">
        <f t="shared" si="6"/>
        <v>-8.7699790274082395E-3</v>
      </c>
      <c r="R13" s="237">
        <f t="shared" si="1"/>
        <v>3.0769015192226583E-3</v>
      </c>
      <c r="S13" s="112">
        <f>_xll.qlInterpolationInterpolate(AbcdInterpolation12M,F13,TRUE)</f>
        <v>3.028834539557301E-3</v>
      </c>
      <c r="T13" s="242">
        <f t="shared" si="7"/>
        <v>7.3134243862857731E-3</v>
      </c>
      <c r="V13" s="114">
        <f>_xll.qlCalendarAdvance(Calendar,V12,"1D","f")</f>
        <v>42811</v>
      </c>
      <c r="W13" s="100">
        <f t="shared" si="2"/>
        <v>4.3835616438356165E-2</v>
      </c>
      <c r="X13" s="353">
        <f>_xll.qlInterpolationInterpolate(B12Minterpolation,V13,TRUE)</f>
        <v>2.3890785097026995E-3</v>
      </c>
      <c r="Y13" s="353">
        <f>_xll.qlInterpolationInterpolate(AbcdInterpolation12M,W13,TRUE)</f>
        <v>2.3922006943635204E-3</v>
      </c>
    </row>
    <row r="14" spans="1:30" ht="11.25" customHeight="1" x14ac:dyDescent="0.2">
      <c r="A14" s="60">
        <f t="shared" si="9"/>
        <v>11</v>
      </c>
      <c r="B14" s="60" t="s">
        <v>32</v>
      </c>
      <c r="C14" s="60">
        <f t="shared" si="8"/>
        <v>23</v>
      </c>
      <c r="D14" s="248" t="str">
        <f t="shared" si="3"/>
        <v>EUR11x23F_Quote</v>
      </c>
      <c r="E14" s="114">
        <f>_xll.qlCalendarAdvance("target",$E$3,A14&amp;"M","mf",,Trigger)</f>
        <v>43136</v>
      </c>
      <c r="F14" s="100">
        <f t="shared" si="0"/>
        <v>0.9342465753424658</v>
      </c>
      <c r="G14" s="114">
        <f>_xll.qlCalendarAdvance(Calendar,E14,$G$1,"mf",,Trigger)</f>
        <v>43501</v>
      </c>
      <c r="H14" s="100">
        <f>_xll.qlDayCounterYearFraction(DayCounter,E14,G14,,,Trigger)</f>
        <v>1.0138888888888888</v>
      </c>
      <c r="I14" s="112">
        <f>_xll.qlQuoteValue(D14,AllTriggers)</f>
        <v>-6.9999999999999994E-5</v>
      </c>
      <c r="J14" s="115">
        <f>_xll.qlYieldTSDiscount(Discounting,E14,,AllTriggers)</f>
        <v>1.0033419268415087</v>
      </c>
      <c r="K14" s="115">
        <f>_xll.qlYieldTSDiscount(Discounting,G14,,AllTriggers)</f>
        <v>1.0065382956802409</v>
      </c>
      <c r="L14" s="112">
        <f t="shared" si="4"/>
        <v>-3.1321043399530043E-3</v>
      </c>
      <c r="M14" s="112">
        <f t="shared" si="5"/>
        <v>3.0621043399530041E-3</v>
      </c>
      <c r="N14" s="50" t="b">
        <v>0</v>
      </c>
      <c r="O14" s="50" t="b">
        <v>0</v>
      </c>
      <c r="P14" s="112">
        <f>_xll.qlInterpolationInterpolate($P$1,E14,TRUE)</f>
        <v>3.0642885850606346E-3</v>
      </c>
      <c r="Q14" s="242">
        <f t="shared" si="6"/>
        <v>-2.1842451076304996E-2</v>
      </c>
      <c r="R14" s="237">
        <f t="shared" si="1"/>
        <v>3.1096839845716692E-3</v>
      </c>
      <c r="S14" s="112">
        <f>_xll.qlInterpolationInterpolate(AbcdInterpolation12M,F14,TRUE)</f>
        <v>3.0696605195979156E-3</v>
      </c>
      <c r="T14" s="242">
        <f t="shared" si="7"/>
        <v>-7.5561796449115023E-2</v>
      </c>
      <c r="V14" s="114">
        <f>_xll.qlCalendarAdvance(Calendar,V13,"1D","f")</f>
        <v>42814</v>
      </c>
      <c r="W14" s="100">
        <f t="shared" si="2"/>
        <v>5.2054794520547946E-2</v>
      </c>
      <c r="X14" s="353">
        <f>_xll.qlInterpolationInterpolate(B12Minterpolation,V14,TRUE)</f>
        <v>2.3972890536666969E-3</v>
      </c>
      <c r="Y14" s="353">
        <f>_xll.qlInterpolationInterpolate(AbcdInterpolation12M,W14,TRUE)</f>
        <v>2.401624958465829E-3</v>
      </c>
    </row>
    <row r="15" spans="1:30" ht="11.25" customHeight="1" x14ac:dyDescent="0.2">
      <c r="A15" s="60">
        <f t="shared" si="9"/>
        <v>12</v>
      </c>
      <c r="B15" s="60" t="s">
        <v>32</v>
      </c>
      <c r="C15" s="60">
        <f t="shared" si="8"/>
        <v>24</v>
      </c>
      <c r="D15" s="249" t="str">
        <f t="shared" si="3"/>
        <v>EUR12x24F_Quote</v>
      </c>
      <c r="E15" s="118">
        <f>_xll.qlCalendarAdvance("target",$E$3,A15&amp;"M","mf",,Trigger)</f>
        <v>43164</v>
      </c>
      <c r="F15" s="105">
        <f t="shared" si="0"/>
        <v>1.010958904109589</v>
      </c>
      <c r="G15" s="118">
        <f>_xll.qlCalendarAdvance(Calendar,E15,$G$1,"mf",,Trigger)</f>
        <v>43529</v>
      </c>
      <c r="H15" s="105">
        <f>_xll.qlDayCounterYearFraction(DayCounter,E15,G15,,,Trigger)</f>
        <v>1.0138888888888888</v>
      </c>
      <c r="I15" s="121">
        <f>_xll.qlQuoteValue(D15,AllTriggers)</f>
        <v>2.0000000000000002E-5</v>
      </c>
      <c r="J15" s="119">
        <f>_xll.qlYieldTSDiscount(Discounting,E15,,AllTriggers)</f>
        <v>1.003609142356672</v>
      </c>
      <c r="K15" s="119">
        <f>_xll.qlYieldTSDiscount(Discounting,G15,,AllTriggers)</f>
        <v>1.0067427851099662</v>
      </c>
      <c r="L15" s="121">
        <f t="shared" si="4"/>
        <v>-3.0700156841925938E-3</v>
      </c>
      <c r="M15" s="121">
        <f t="shared" si="5"/>
        <v>3.0900156841925938E-3</v>
      </c>
      <c r="N15" s="55" t="b">
        <v>1</v>
      </c>
      <c r="O15" s="55" t="b">
        <v>1</v>
      </c>
      <c r="P15" s="121">
        <f>_xll.qlInterpolationInterpolate($P$1,E15,TRUE)</f>
        <v>3.0900156841925938E-3</v>
      </c>
      <c r="Q15" s="243">
        <f t="shared" si="6"/>
        <v>0</v>
      </c>
      <c r="R15" s="275">
        <f t="shared" si="1"/>
        <v>3.1377867489966768E-3</v>
      </c>
      <c r="S15" s="121">
        <f>_xll.qlInterpolationInterpolate(AbcdInterpolation12M,F15,TRUE)</f>
        <v>3.1002865658718137E-3</v>
      </c>
      <c r="T15" s="243">
        <f t="shared" si="7"/>
        <v>-0.10270881679219808</v>
      </c>
      <c r="V15" s="114">
        <f>_xll.qlCalendarAdvance(Calendar,V14,"1D","f")</f>
        <v>42815</v>
      </c>
      <c r="W15" s="100">
        <f t="shared" si="2"/>
        <v>5.4794520547945202E-2</v>
      </c>
      <c r="X15" s="353">
        <f>_xll.qlInterpolationInterpolate(B12Minterpolation,V15,TRUE)</f>
        <v>2.4000157382549434E-3</v>
      </c>
      <c r="Y15" s="353">
        <f>_xll.qlInterpolationInterpolate(AbcdInterpolation12M,W15,TRUE)</f>
        <v>2.4047523499488429E-3</v>
      </c>
    </row>
    <row r="16" spans="1:30" ht="11.25" customHeight="1" x14ac:dyDescent="0.2">
      <c r="E16" s="229"/>
      <c r="F16" s="229"/>
      <c r="G16" s="229"/>
      <c r="H16" s="229"/>
      <c r="I16" s="86"/>
      <c r="J16" s="62"/>
      <c r="K16" s="62"/>
      <c r="L16" s="86"/>
      <c r="M16" s="86"/>
      <c r="Q16" s="62"/>
      <c r="R16" s="62"/>
      <c r="S16" s="62"/>
      <c r="T16" s="62"/>
      <c r="V16" s="114">
        <f>_xll.qlCalendarAdvance(Calendar,V15,"1D","f")</f>
        <v>42816</v>
      </c>
      <c r="W16" s="100">
        <f t="shared" si="2"/>
        <v>5.7534246575342465E-2</v>
      </c>
      <c r="X16" s="353">
        <f>_xll.qlInterpolationInterpolate(B12Minterpolation,V16,TRUE)</f>
        <v>2.4027379186092081E-3</v>
      </c>
      <c r="Y16" s="353">
        <f>_xll.qlInterpolationInterpolate(AbcdInterpolation12M,W16,TRUE)</f>
        <v>2.4078727196169825E-3</v>
      </c>
    </row>
    <row r="17" spans="5:25" ht="11.25" customHeight="1" x14ac:dyDescent="0.2">
      <c r="E17" s="229"/>
      <c r="F17" s="229"/>
      <c r="G17" s="229"/>
      <c r="H17" s="229"/>
      <c r="I17" s="86"/>
      <c r="L17" s="86"/>
      <c r="M17" s="86"/>
      <c r="R17" s="62"/>
      <c r="S17" s="62"/>
      <c r="T17" s="62"/>
      <c r="V17" s="114">
        <f>_xll.qlCalendarAdvance(Calendar,V16,"1D","f")</f>
        <v>42817</v>
      </c>
      <c r="W17" s="100">
        <f t="shared" si="2"/>
        <v>6.0273972602739728E-2</v>
      </c>
      <c r="X17" s="353">
        <f>_xll.qlInterpolationInterpolate(B12Minterpolation,V17,TRUE)</f>
        <v>2.4054559412090286E-3</v>
      </c>
      <c r="Y17" s="353">
        <f>_xll.qlInterpolationInterpolate(AbcdInterpolation12M,W17,TRUE)</f>
        <v>2.4109860636499208E-3</v>
      </c>
    </row>
    <row r="18" spans="5:25" ht="11.25" customHeight="1" x14ac:dyDescent="0.2">
      <c r="E18" s="229"/>
      <c r="F18" s="229"/>
      <c r="G18" s="229"/>
      <c r="H18" s="229"/>
      <c r="I18" s="86"/>
      <c r="L18" s="86"/>
      <c r="M18" s="86"/>
      <c r="V18" s="114">
        <f>_xll.qlCalendarAdvance(Calendar,V17,"1D","f")</f>
        <v>42818</v>
      </c>
      <c r="W18" s="100">
        <f t="shared" si="2"/>
        <v>6.3013698630136991E-2</v>
      </c>
      <c r="X18" s="353">
        <f>_xll.qlInterpolationInterpolate(B12Minterpolation,V18,TRUE)</f>
        <v>2.4081701525339419E-3</v>
      </c>
      <c r="Y18" s="353">
        <f>_xll.qlInterpolationInterpolate(AbcdInterpolation12M,W18,TRUE)</f>
        <v>2.4140923784258697E-3</v>
      </c>
    </row>
    <row r="19" spans="5:25" ht="11.25" customHeight="1" x14ac:dyDescent="0.2">
      <c r="E19" s="229"/>
      <c r="F19" s="229"/>
      <c r="G19" s="229"/>
      <c r="H19" s="229"/>
      <c r="I19" s="86"/>
      <c r="L19" s="86"/>
      <c r="M19" s="86"/>
      <c r="V19" s="114">
        <f>_xll.qlCalendarAdvance(Calendar,V18,"1D","f")</f>
        <v>42821</v>
      </c>
      <c r="W19" s="100">
        <f t="shared" si="2"/>
        <v>7.1232876712328766E-2</v>
      </c>
      <c r="X19" s="353">
        <f>_xll.qlInterpolationInterpolate(B12Minterpolation,V19,TRUE)</f>
        <v>2.416293383654608E-3</v>
      </c>
      <c r="Y19" s="353">
        <f>_xll.qlInterpolationInterpolate(AbcdInterpolation12M,W19,TRUE)</f>
        <v>2.4233691139186968E-3</v>
      </c>
    </row>
    <row r="20" spans="5:25" ht="11.25" customHeight="1" x14ac:dyDescent="0.2">
      <c r="E20" s="229"/>
      <c r="F20" s="229"/>
      <c r="G20" s="229"/>
      <c r="H20" s="229"/>
      <c r="I20" s="86"/>
      <c r="L20" s="86"/>
      <c r="M20" s="86"/>
      <c r="V20" s="114">
        <f>_xll.qlCalendarAdvance(Calendar,V19,"1D","f")</f>
        <v>42822</v>
      </c>
      <c r="W20" s="100">
        <f t="shared" si="2"/>
        <v>7.3972602739726029E-2</v>
      </c>
      <c r="X20" s="353">
        <f>_xll.qlInterpolationInterpolate(B12Minterpolation,V20,TRUE)</f>
        <v>2.4189958146752623E-3</v>
      </c>
      <c r="Y20" s="353">
        <f>_xll.qlInterpolationInterpolate(AbcdInterpolation12M,W20,TRUE)</f>
        <v>2.4264472793302707E-3</v>
      </c>
    </row>
    <row r="21" spans="5:25" ht="11.25" customHeight="1" x14ac:dyDescent="0.2">
      <c r="E21" s="229"/>
      <c r="F21" s="229"/>
      <c r="G21" s="229"/>
      <c r="H21" s="229"/>
      <c r="I21" s="86"/>
      <c r="L21" s="86"/>
      <c r="M21" s="86"/>
      <c r="V21" s="114">
        <f>_xll.qlCalendarAdvance(Calendar,V20,"1D","f")</f>
        <v>42823</v>
      </c>
      <c r="W21" s="100">
        <f t="shared" si="2"/>
        <v>7.6712328767123292E-2</v>
      </c>
      <c r="X21" s="353">
        <f>_xll.qlInterpolationInterpolate(B12Minterpolation,V21,TRUE)</f>
        <v>2.4216961668186944E-3</v>
      </c>
      <c r="Y21" s="353">
        <f>_xll.qlInterpolationInterpolate(AbcdInterpolation12M,W21,TRUE)</f>
        <v>2.4295184002646477E-3</v>
      </c>
    </row>
    <row r="22" spans="5:25" ht="11.25" customHeight="1" x14ac:dyDescent="0.2">
      <c r="E22" s="229"/>
      <c r="F22" s="229"/>
      <c r="G22" s="229"/>
      <c r="H22" s="229"/>
      <c r="I22" s="86"/>
      <c r="L22" s="86"/>
      <c r="M22" s="86"/>
      <c r="V22" s="114">
        <f>_xll.qlCalendarAdvance(Calendar,V21,"1D","f")</f>
        <v>42824</v>
      </c>
      <c r="W22" s="100">
        <f t="shared" si="2"/>
        <v>7.9452054794520555E-2</v>
      </c>
      <c r="X22" s="353">
        <f>_xll.qlInterpolationInterpolate(B12Minterpolation,V22,TRUE)</f>
        <v>2.424394786564441E-3</v>
      </c>
      <c r="Y22" s="353">
        <f>_xll.qlInterpolationInterpolate(AbcdInterpolation12M,W22,TRUE)</f>
        <v>2.4325824742381136E-3</v>
      </c>
    </row>
    <row r="23" spans="5:25" ht="11.25" customHeight="1" x14ac:dyDescent="0.2">
      <c r="E23" s="229"/>
      <c r="F23" s="229"/>
      <c r="G23" s="229"/>
      <c r="H23" s="229"/>
      <c r="I23" s="86"/>
      <c r="L23" s="86"/>
      <c r="M23" s="86"/>
      <c r="V23" s="114">
        <f>_xll.qlCalendarAdvance(Calendar,V22,"1D","f")</f>
        <v>42825</v>
      </c>
      <c r="W23" s="100">
        <f t="shared" si="2"/>
        <v>8.2191780821917804E-2</v>
      </c>
      <c r="X23" s="353">
        <f>_xll.qlInterpolationInterpolate(B12Minterpolation,V23,TRUE)</f>
        <v>2.4270920203920401E-3</v>
      </c>
      <c r="Y23" s="353">
        <f>_xll.qlInterpolationInterpolate(AbcdInterpolation12M,W23,TRUE)</f>
        <v>2.4356394989479453E-3</v>
      </c>
    </row>
    <row r="24" spans="5:25" ht="11.25" customHeight="1" x14ac:dyDescent="0.2">
      <c r="E24" s="229"/>
      <c r="F24" s="229"/>
      <c r="G24" s="229"/>
      <c r="H24" s="229"/>
      <c r="I24" s="86"/>
      <c r="L24" s="86"/>
      <c r="M24" s="86"/>
      <c r="V24" s="114">
        <f>_xll.qlCalendarAdvance(Calendar,V23,"1D","f")</f>
        <v>42828</v>
      </c>
      <c r="W24" s="100">
        <f t="shared" si="2"/>
        <v>9.0410958904109592E-2</v>
      </c>
      <c r="X24" s="353">
        <f>_xll.qlInterpolationInterpolate(B12Minterpolation,V24,TRUE)</f>
        <v>2.4351788711613181E-3</v>
      </c>
      <c r="Y24" s="353">
        <f>_xll.qlInterpolationInterpolate(AbcdInterpolation12M,W24,TRUE)</f>
        <v>2.4447682571353325E-3</v>
      </c>
    </row>
    <row r="25" spans="5:25" ht="11.25" customHeight="1" x14ac:dyDescent="0.2">
      <c r="E25" s="229"/>
      <c r="F25" s="229"/>
      <c r="G25" s="229"/>
      <c r="H25" s="229"/>
      <c r="I25" s="86"/>
      <c r="L25" s="86"/>
      <c r="M25" s="86"/>
      <c r="V25" s="114">
        <f>_xll.qlCalendarAdvance(Calendar,V24,"1D","f")</f>
        <v>42829</v>
      </c>
      <c r="W25" s="100">
        <f t="shared" si="2"/>
        <v>9.3150684931506855E-2</v>
      </c>
      <c r="X25" s="353">
        <f>_xll.qlInterpolationInterpolate(B12Minterpolation,V25,TRUE)</f>
        <v>2.4378740261116949E-3</v>
      </c>
      <c r="Y25" s="353">
        <f>_xll.qlInterpolationInterpolate(AbcdInterpolation12M,W25,TRUE)</f>
        <v>2.44779706530309E-3</v>
      </c>
    </row>
    <row r="26" spans="5:25" ht="11.25" customHeight="1" x14ac:dyDescent="0.2">
      <c r="E26" s="229"/>
      <c r="F26" s="229"/>
      <c r="G26" s="229"/>
      <c r="H26" s="229"/>
      <c r="I26" s="86"/>
      <c r="L26" s="86"/>
      <c r="M26" s="86"/>
      <c r="V26" s="114">
        <f>_xll.qlCalendarAdvance(Calendar,V25,"1D","f")</f>
        <v>42830</v>
      </c>
      <c r="W26" s="100">
        <f t="shared" si="2"/>
        <v>9.5890410958904104E-2</v>
      </c>
      <c r="X26" s="353">
        <f>_xll.qlInterpolationInterpolate(B12Minterpolation,V26,TRUE)</f>
        <v>2.4405695275416086E-3</v>
      </c>
      <c r="Y26" s="353">
        <f>_xll.qlInterpolationInterpolate(AbcdInterpolation12M,W26,TRUE)</f>
        <v>2.4508188153282645E-3</v>
      </c>
    </row>
    <row r="27" spans="5:25" ht="11.25" customHeight="1" x14ac:dyDescent="0.2">
      <c r="E27" s="229"/>
      <c r="F27" s="229"/>
      <c r="G27" s="229"/>
      <c r="H27" s="229"/>
      <c r="I27" s="86"/>
      <c r="L27" s="86"/>
      <c r="M27" s="86"/>
      <c r="V27" s="114">
        <f>_xll.qlCalendarAdvance(Calendar,V26,"1D","f")</f>
        <v>42831</v>
      </c>
      <c r="W27" s="100">
        <f t="shared" si="2"/>
        <v>9.8630136986301367E-2</v>
      </c>
      <c r="X27" s="353">
        <f>_xll.qlInterpolationInterpolate(B12Minterpolation,V27,TRUE)</f>
        <v>2.4432657219305961E-3</v>
      </c>
      <c r="Y27" s="353">
        <f>_xll.qlInterpolationInterpolate(AbcdInterpolation12M,W27,TRUE)</f>
        <v>2.4538335059460293E-3</v>
      </c>
    </row>
    <row r="28" spans="5:25" ht="11.25" customHeight="1" x14ac:dyDescent="0.2">
      <c r="E28" s="229"/>
      <c r="F28" s="229"/>
      <c r="G28" s="229"/>
      <c r="H28" s="229"/>
      <c r="I28" s="86"/>
      <c r="L28" s="86"/>
      <c r="M28" s="86"/>
      <c r="V28" s="114">
        <f>_xll.qlCalendarAdvance(Calendar,V27,"1D","f")</f>
        <v>42832</v>
      </c>
      <c r="W28" s="100">
        <f t="shared" si="2"/>
        <v>0.10136986301369863</v>
      </c>
      <c r="X28" s="353">
        <f>_xll.qlInterpolationInterpolate(B12Minterpolation,V28,TRUE)</f>
        <v>2.4459629557581951E-3</v>
      </c>
      <c r="Y28" s="353">
        <f>_xll.qlInterpolationInterpolate(AbcdInterpolation12M,W28,TRUE)</f>
        <v>2.4568411360567674E-3</v>
      </c>
    </row>
    <row r="29" spans="5:25" ht="11.25" customHeight="1" x14ac:dyDescent="0.2">
      <c r="E29" s="229"/>
      <c r="F29" s="229"/>
      <c r="G29" s="229"/>
      <c r="H29" s="229"/>
      <c r="I29" s="86"/>
      <c r="L29" s="86"/>
      <c r="M29" s="86"/>
      <c r="V29" s="114">
        <f>_xll.qlCalendarAdvance(Calendar,V28,"1D","f")</f>
        <v>42835</v>
      </c>
      <c r="W29" s="100">
        <f t="shared" si="2"/>
        <v>0.1095890410958904</v>
      </c>
      <c r="X29" s="353">
        <f>_xll.qlInterpolationInterpolate(B12Minterpolation,V29,TRUE)</f>
        <v>2.4540643586680282E-3</v>
      </c>
      <c r="Y29" s="353">
        <f>_xll.qlInterpolationInterpolate(AbcdInterpolation12M,W29,TRUE)</f>
        <v>2.4658216547822622E-3</v>
      </c>
    </row>
    <row r="30" spans="5:25" ht="11.25" customHeight="1" x14ac:dyDescent="0.2">
      <c r="E30" s="229"/>
      <c r="F30" s="229"/>
      <c r="G30" s="229"/>
      <c r="H30" s="229"/>
      <c r="I30" s="86"/>
      <c r="L30" s="86"/>
      <c r="M30" s="86"/>
      <c r="V30" s="114">
        <f>_xll.qlCalendarAdvance(Calendar,V29,"1D","f")</f>
        <v>42836</v>
      </c>
      <c r="W30" s="100">
        <f t="shared" si="2"/>
        <v>0.11232876712328767</v>
      </c>
      <c r="X30" s="353">
        <f>_xll.qlInterpolationInterpolate(B12Minterpolation,V30,TRUE)</f>
        <v>2.4567692150454417E-3</v>
      </c>
      <c r="Y30" s="353">
        <f>_xll.qlInterpolationInterpolate(AbcdInterpolation12M,W30,TRUE)</f>
        <v>2.4688010350963361E-3</v>
      </c>
    </row>
    <row r="31" spans="5:25" ht="11.25" customHeight="1" x14ac:dyDescent="0.2">
      <c r="E31" s="229"/>
      <c r="F31" s="229"/>
      <c r="G31" s="229"/>
      <c r="H31" s="229"/>
      <c r="I31" s="86"/>
      <c r="L31" s="86"/>
      <c r="M31" s="86"/>
      <c r="V31" s="114">
        <f>_xll.qlCalendarAdvance(Calendar,V30,"1D","f")</f>
        <v>42837</v>
      </c>
      <c r="W31" s="100">
        <f t="shared" si="2"/>
        <v>0.11506849315068493</v>
      </c>
      <c r="X31" s="353">
        <f>_xll.qlInterpolationInterpolate(B12Minterpolation,V31,TRUE)</f>
        <v>2.4594768432591512E-3</v>
      </c>
      <c r="Y31" s="353">
        <f>_xll.qlInterpolationInterpolate(AbcdInterpolation12M,W31,TRUE)</f>
        <v>2.4717733518078069E-3</v>
      </c>
    </row>
    <row r="32" spans="5:25" ht="11.25" customHeight="1" x14ac:dyDescent="0.2">
      <c r="E32" s="229"/>
      <c r="F32" s="229"/>
      <c r="G32" s="229"/>
      <c r="H32" s="229"/>
      <c r="I32" s="86"/>
      <c r="L32" s="86"/>
      <c r="M32" s="86"/>
      <c r="V32" s="114">
        <f>_xll.qlCalendarAdvance(Calendar,V31,"1D","f")</f>
        <v>42838</v>
      </c>
      <c r="W32" s="100">
        <f t="shared" si="2"/>
        <v>0.11780821917808219</v>
      </c>
      <c r="X32" s="353">
        <f>_xll.qlInterpolationInterpolate(B12Minterpolation,V32,TRUE)</f>
        <v>2.4621875897886942E-3</v>
      </c>
      <c r="Y32" s="353">
        <f>_xll.qlInterpolationInterpolate(AbcdInterpolation12M,W32,TRUE)</f>
        <v>2.4747386047634995E-3</v>
      </c>
    </row>
    <row r="33" spans="5:25" ht="11.25" customHeight="1" x14ac:dyDescent="0.2">
      <c r="E33" s="229"/>
      <c r="F33" s="229"/>
      <c r="G33" s="229"/>
      <c r="H33" s="229"/>
      <c r="I33" s="86"/>
      <c r="L33" s="86"/>
      <c r="M33" s="86"/>
      <c r="V33" s="114">
        <f>_xll.qlCalendarAdvance(Calendar,V32,"1D","f")</f>
        <v>42843</v>
      </c>
      <c r="W33" s="100">
        <f t="shared" si="2"/>
        <v>0.13150684931506848</v>
      </c>
      <c r="X33" s="353">
        <f>_xll.qlInterpolationInterpolate(B12Minterpolation,V33,TRUE)</f>
        <v>2.4758002239577037E-3</v>
      </c>
      <c r="Y33" s="353">
        <f>_xll.qlInterpolationInterpolate(AbcdInterpolation12M,W33,TRUE)</f>
        <v>2.4894589182782962E-3</v>
      </c>
    </row>
    <row r="34" spans="5:25" ht="11.25" customHeight="1" x14ac:dyDescent="0.2">
      <c r="E34" s="229"/>
      <c r="F34" s="229"/>
      <c r="G34" s="229"/>
      <c r="H34" s="229"/>
      <c r="I34" s="86"/>
      <c r="L34" s="86"/>
      <c r="M34" s="86"/>
      <c r="V34" s="114">
        <f>_xll.qlCalendarAdvance(Calendar,V33,"1D","f")</f>
        <v>42844</v>
      </c>
      <c r="W34" s="100">
        <f t="shared" si="2"/>
        <v>0.13424657534246576</v>
      </c>
      <c r="X34" s="353">
        <f>_xll.qlInterpolationInterpolate(B12Minterpolation,V34,TRUE)</f>
        <v>2.4785369564525239E-3</v>
      </c>
      <c r="Y34" s="353">
        <f>_xll.qlInterpolationInterpolate(AbcdInterpolation12M,W34,TRUE)</f>
        <v>2.4923817937804963E-3</v>
      </c>
    </row>
    <row r="35" spans="5:25" ht="11.25" customHeight="1" x14ac:dyDescent="0.2">
      <c r="E35" s="229"/>
      <c r="F35" s="229"/>
      <c r="G35" s="229"/>
      <c r="H35" s="229"/>
      <c r="I35" s="86"/>
      <c r="L35" s="86"/>
      <c r="M35" s="86"/>
      <c r="V35" s="114">
        <f>_xll.qlCalendarAdvance(Calendar,V34,"1D","f")</f>
        <v>42845</v>
      </c>
      <c r="W35" s="100">
        <f t="shared" si="2"/>
        <v>0.13698630136986301</v>
      </c>
      <c r="X35" s="353">
        <f>_xll.qlInterpolationInterpolate(B12Minterpolation,V35,TRUE)</f>
        <v>2.4812792326199366E-3</v>
      </c>
      <c r="Y35" s="353">
        <f>_xll.qlInterpolationInterpolate(AbcdInterpolation12M,W35,TRUE)</f>
        <v>2.495297608563013E-3</v>
      </c>
    </row>
    <row r="36" spans="5:25" ht="11.25" customHeight="1" x14ac:dyDescent="0.2">
      <c r="E36" s="229"/>
      <c r="F36" s="229"/>
      <c r="G36" s="229"/>
      <c r="H36" s="229"/>
      <c r="I36" s="86"/>
      <c r="L36" s="86"/>
      <c r="M36" s="86"/>
      <c r="V36" s="114">
        <f>_xll.qlCalendarAdvance(Calendar,V35,"1D","f")</f>
        <v>42846</v>
      </c>
      <c r="W36" s="100">
        <f t="shared" si="2"/>
        <v>0.13972602739726028</v>
      </c>
      <c r="X36" s="353">
        <f>_xll.qlInterpolationInterpolate(B12Minterpolation,V36,TRUE)</f>
        <v>2.4840273989394784E-3</v>
      </c>
      <c r="Y36" s="353">
        <f>_xll.qlInterpolationInterpolate(AbcdInterpolation12M,W36,TRUE)</f>
        <v>2.4982063636235547E-3</v>
      </c>
    </row>
    <row r="37" spans="5:25" ht="11.25" customHeight="1" x14ac:dyDescent="0.2">
      <c r="E37" s="229"/>
      <c r="F37" s="229"/>
      <c r="G37" s="229"/>
      <c r="H37" s="229"/>
      <c r="I37" s="86"/>
      <c r="L37" s="86"/>
      <c r="M37" s="86"/>
      <c r="V37" s="114">
        <f>_xll.qlCalendarAdvance(Calendar,V36,"1D","f")</f>
        <v>42849</v>
      </c>
      <c r="W37" s="100">
        <f t="shared" si="2"/>
        <v>0.14794520547945206</v>
      </c>
      <c r="X37" s="353">
        <f>_xll.qlInterpolationInterpolate(B12Minterpolation,V37,TRUE)</f>
        <v>2.492310703606252E-3</v>
      </c>
      <c r="Y37" s="353">
        <f>_xll.qlInterpolationInterpolate(AbcdInterpolation12M,W37,TRUE)</f>
        <v>2.5068902824728306E-3</v>
      </c>
    </row>
    <row r="38" spans="5:25" ht="11.25" customHeight="1" x14ac:dyDescent="0.2">
      <c r="E38" s="229"/>
      <c r="F38" s="229"/>
      <c r="G38" s="229"/>
      <c r="H38" s="229"/>
      <c r="I38" s="86"/>
      <c r="L38" s="86"/>
      <c r="M38" s="86"/>
      <c r="V38" s="114">
        <f>_xll.qlCalendarAdvance(Calendar,V37,"1D","f")</f>
        <v>42850</v>
      </c>
      <c r="W38" s="100">
        <f t="shared" si="2"/>
        <v>0.15068493150684931</v>
      </c>
      <c r="X38" s="353">
        <f>_xll.qlInterpolationInterpolate(B12Minterpolation,V38,TRUE)</f>
        <v>2.4950858953296821E-3</v>
      </c>
      <c r="Y38" s="353">
        <f>_xll.qlInterpolationInterpolate(AbcdInterpolation12M,W38,TRUE)</f>
        <v>2.5097708113063781E-3</v>
      </c>
    </row>
    <row r="39" spans="5:25" ht="11.25" customHeight="1" x14ac:dyDescent="0.2">
      <c r="E39" s="229"/>
      <c r="F39" s="229"/>
      <c r="G39" s="229"/>
      <c r="H39" s="229"/>
      <c r="I39" s="86"/>
      <c r="L39" s="86"/>
      <c r="M39" s="86"/>
      <c r="V39" s="114">
        <f>_xll.qlCalendarAdvance(Calendar,V38,"1D","f")</f>
        <v>42851</v>
      </c>
      <c r="W39" s="100">
        <f t="shared" si="2"/>
        <v>0.15342465753424658</v>
      </c>
      <c r="X39" s="353">
        <f>_xll.qlInterpolationInterpolate(B12Minterpolation,V39,TRUE)</f>
        <v>2.4978687096029271E-3</v>
      </c>
      <c r="Y39" s="353">
        <f>_xll.qlInterpolationInterpolate(AbcdInterpolation12M,W39,TRUE)</f>
        <v>2.5126442874037914E-3</v>
      </c>
    </row>
    <row r="40" spans="5:25" ht="11.25" customHeight="1" x14ac:dyDescent="0.2">
      <c r="E40" s="229"/>
      <c r="F40" s="229"/>
      <c r="G40" s="229"/>
      <c r="H40" s="229"/>
      <c r="I40" s="86"/>
      <c r="L40" s="86"/>
      <c r="M40" s="86"/>
      <c r="V40" s="114">
        <f>_xll.qlCalendarAdvance(Calendar,V39,"1D","f")</f>
        <v>42852</v>
      </c>
      <c r="W40" s="100">
        <f t="shared" si="2"/>
        <v>0.15616438356164383</v>
      </c>
      <c r="X40" s="353">
        <f>_xll.qlInterpolationInterpolate(B12Minterpolation,V40,TRUE)</f>
        <v>2.5006594929055234E-3</v>
      </c>
      <c r="Y40" s="353">
        <f>_xll.qlInterpolationInterpolate(AbcdInterpolation12M,W40,TRUE)</f>
        <v>2.5155107125494148E-3</v>
      </c>
    </row>
    <row r="41" spans="5:25" ht="11.25" customHeight="1" x14ac:dyDescent="0.2">
      <c r="E41" s="229"/>
      <c r="F41" s="229"/>
      <c r="G41" s="229"/>
      <c r="H41" s="229"/>
      <c r="I41" s="86"/>
      <c r="L41" s="86"/>
      <c r="M41" s="86"/>
      <c r="V41" s="114">
        <f>_xll.qlCalendarAdvance(Calendar,V40,"1D","f")</f>
        <v>42853</v>
      </c>
      <c r="W41" s="100">
        <f t="shared" si="2"/>
        <v>0.15890410958904111</v>
      </c>
      <c r="X41" s="353">
        <f>_xll.qlInterpolationInterpolate(B12Minterpolation,V41,TRUE)</f>
        <v>2.5034585917170088E-3</v>
      </c>
      <c r="Y41" s="353">
        <f>_xll.qlInterpolationInterpolate(AbcdInterpolation12M,W41,TRUE)</f>
        <v>2.5183700886528158E-3</v>
      </c>
    </row>
    <row r="42" spans="5:25" ht="11.25" customHeight="1" x14ac:dyDescent="0.2">
      <c r="E42" s="229"/>
      <c r="F42" s="229"/>
      <c r="G42" s="229"/>
      <c r="H42" s="229"/>
      <c r="I42" s="86"/>
      <c r="L42" s="86"/>
      <c r="M42" s="86"/>
      <c r="V42" s="114">
        <f>_xll.qlCalendarAdvance(Calendar,V41,"1D","f")</f>
        <v>42857</v>
      </c>
      <c r="W42" s="100">
        <f t="shared" si="2"/>
        <v>0.16986301369863013</v>
      </c>
      <c r="X42" s="353">
        <f>_xll.qlInterpolationInterpolate(B12Minterpolation,V42,TRUE)</f>
        <v>2.5147450716425774E-3</v>
      </c>
      <c r="Y42" s="353">
        <f>_xll.qlInterpolationInterpolate(AbcdInterpolation12M,W42,TRUE)</f>
        <v>2.5297371451213349E-3</v>
      </c>
    </row>
    <row r="43" spans="5:25" ht="11.25" customHeight="1" x14ac:dyDescent="0.2">
      <c r="E43" s="229"/>
      <c r="F43" s="229"/>
      <c r="G43" s="229"/>
      <c r="H43" s="229"/>
      <c r="I43" s="86"/>
      <c r="L43" s="86"/>
      <c r="M43" s="86"/>
      <c r="V43" s="114">
        <f>_xll.qlCalendarAdvance(Calendar,V42,"1D","f")</f>
        <v>42858</v>
      </c>
      <c r="W43" s="100">
        <f t="shared" si="2"/>
        <v>0.17260273972602741</v>
      </c>
      <c r="X43" s="353">
        <f>_xll.qlInterpolationInterpolate(B12Minterpolation,V43,TRUE)</f>
        <v>2.5175909451915614E-3</v>
      </c>
      <c r="Y43" s="353">
        <f>_xll.qlInterpolationInterpolate(AbcdInterpolation12M,W43,TRUE)</f>
        <v>2.5325613089208082E-3</v>
      </c>
    </row>
    <row r="44" spans="5:25" ht="11.25" customHeight="1" x14ac:dyDescent="0.2">
      <c r="E44" s="229"/>
      <c r="F44" s="229"/>
      <c r="G44" s="229"/>
      <c r="H44" s="229"/>
      <c r="I44" s="86"/>
      <c r="L44" s="86"/>
      <c r="M44" s="86"/>
      <c r="V44" s="114">
        <f>_xll.qlCalendarAdvance(Calendar,V43,"1D","f")</f>
        <v>42859</v>
      </c>
      <c r="W44" s="100">
        <f t="shared" si="2"/>
        <v>0.17534246575342466</v>
      </c>
      <c r="X44" s="353">
        <f>_xll.qlInterpolationInterpolate(B12Minterpolation,V44,TRUE)</f>
        <v>2.5204470287611999E-3</v>
      </c>
      <c r="Y44" s="353">
        <f>_xll.qlInterpolationInterpolate(AbcdInterpolation12M,W44,TRUE)</f>
        <v>2.5353784376714724E-3</v>
      </c>
    </row>
    <row r="45" spans="5:25" ht="11.25" customHeight="1" x14ac:dyDescent="0.2">
      <c r="E45" s="229"/>
      <c r="F45" s="229"/>
      <c r="G45" s="229"/>
      <c r="H45" s="229"/>
      <c r="I45" s="86"/>
      <c r="L45" s="86"/>
      <c r="M45" s="86"/>
      <c r="V45" s="114">
        <f>_xll.qlCalendarAdvance(Calendar,V44,"1D","f")</f>
        <v>42860</v>
      </c>
      <c r="W45" s="100">
        <f t="shared" si="2"/>
        <v>0.17808219178082191</v>
      </c>
      <c r="X45" s="353">
        <f>_xll.qlInterpolationInterpolate(B12Minterpolation,V45,TRUE)</f>
        <v>2.523312747003746E-3</v>
      </c>
      <c r="Y45" s="353">
        <f>_xll.qlInterpolationInterpolate(AbcdInterpolation12M,W45,TRUE)</f>
        <v>2.538188534113603E-3</v>
      </c>
    </row>
    <row r="46" spans="5:25" ht="11.25" customHeight="1" x14ac:dyDescent="0.2">
      <c r="E46" s="229"/>
      <c r="F46" s="229"/>
      <c r="G46" s="229"/>
      <c r="H46" s="229"/>
      <c r="I46" s="86"/>
      <c r="L46" s="86"/>
      <c r="M46" s="86"/>
      <c r="V46" s="114">
        <f>_xll.qlCalendarAdvance(Calendar,V45,"1D","f")</f>
        <v>42863</v>
      </c>
      <c r="W46" s="100">
        <f t="shared" si="2"/>
        <v>0.18630136986301371</v>
      </c>
      <c r="X46" s="353">
        <f>_xll.qlInterpolationInterpolate(B12Minterpolation,V46,TRUE)</f>
        <v>2.5319601126368033E-3</v>
      </c>
      <c r="Y46" s="353">
        <f>_xll.qlInterpolationInterpolate(AbcdInterpolation12M,W46,TRUE)</f>
        <v>2.5465766586687507E-3</v>
      </c>
    </row>
    <row r="47" spans="5:25" ht="11.25" customHeight="1" x14ac:dyDescent="0.2">
      <c r="V47" s="114">
        <f>_xll.qlCalendarAdvance(Calendar,V46,"1D","f")</f>
        <v>42864</v>
      </c>
      <c r="W47" s="100">
        <f t="shared" si="2"/>
        <v>0.18904109589041096</v>
      </c>
      <c r="X47" s="353">
        <f>_xll.qlInterpolationInterpolate(B12Minterpolation,V47,TRUE)</f>
        <v>2.5348567724389525E-3</v>
      </c>
      <c r="Y47" s="353">
        <f>_xll.qlInterpolationInterpolate(AbcdInterpolation12M,W47,TRUE)</f>
        <v>2.5493586555057793E-3</v>
      </c>
    </row>
    <row r="48" spans="5:25" ht="11.25" customHeight="1" x14ac:dyDescent="0.2">
      <c r="V48" s="114">
        <f>_xll.qlCalendarAdvance(Calendar,V47,"1D","f")</f>
        <v>42865</v>
      </c>
      <c r="W48" s="100">
        <f t="shared" si="2"/>
        <v>0.19178082191780821</v>
      </c>
      <c r="X48" s="353">
        <f>_xll.qlInterpolationInterpolate(B12Minterpolation,V48,TRUE)</f>
        <v>2.5377592683479945E-3</v>
      </c>
      <c r="Y48" s="353">
        <f>_xll.qlInterpolationInterpolate(AbcdInterpolation12M,W48,TRUE)</f>
        <v>2.5521336353926971E-3</v>
      </c>
    </row>
    <row r="49" spans="22:25" ht="11.25" customHeight="1" x14ac:dyDescent="0.2">
      <c r="V49" s="114">
        <f>_xll.qlCalendarAdvance(Calendar,V48,"1D","f")</f>
        <v>42866</v>
      </c>
      <c r="W49" s="100">
        <f t="shared" si="2"/>
        <v>0.19452054794520549</v>
      </c>
      <c r="X49" s="353">
        <f>_xll.qlInterpolationInterpolate(B12Minterpolation,V49,TRUE)</f>
        <v>2.5406668406507274E-3</v>
      </c>
      <c r="Y49" s="353">
        <f>_xll.qlInterpolationInterpolate(AbcdInterpolation12M,W49,TRUE)</f>
        <v>2.5549016017224579E-3</v>
      </c>
    </row>
    <row r="50" spans="22:25" ht="11.25" customHeight="1" x14ac:dyDescent="0.2">
      <c r="V50" s="114">
        <f>_xll.qlCalendarAdvance(Calendar,V49,"1D","f")</f>
        <v>42867</v>
      </c>
      <c r="W50" s="100">
        <f t="shared" si="2"/>
        <v>0.19726027397260273</v>
      </c>
      <c r="X50" s="353">
        <f>_xll.qlInterpolationInterpolate(B12Minterpolation,V50,TRUE)</f>
        <v>2.5435787296339478E-3</v>
      </c>
      <c r="Y50" s="353">
        <f>_xll.qlInterpolationInterpolate(AbcdInterpolation12M,W50,TRUE)</f>
        <v>2.5576625579917809E-3</v>
      </c>
    </row>
    <row r="51" spans="22:25" ht="11.25" customHeight="1" x14ac:dyDescent="0.2">
      <c r="V51" s="114">
        <f>_xll.qlCalendarAdvance(Calendar,V50,"1D","f")</f>
        <v>42870</v>
      </c>
      <c r="W51" s="100">
        <f t="shared" si="2"/>
        <v>0.20547945205479451</v>
      </c>
      <c r="X51" s="353">
        <f>_xll.qlInterpolationInterpolate(B12Minterpolation,V51,TRUE)</f>
        <v>2.5523326995345046E-3</v>
      </c>
      <c r="Y51" s="353">
        <f>_xll.qlInterpolationInterpolate(AbcdInterpolation12M,W51,TRUE)</f>
        <v>2.5659034029320398E-3</v>
      </c>
    </row>
    <row r="52" spans="22:25" ht="11.25" customHeight="1" x14ac:dyDescent="0.2">
      <c r="V52" s="114">
        <f>_xll.qlCalendarAdvance(Calendar,V51,"1D","f")</f>
        <v>42871</v>
      </c>
      <c r="W52" s="100">
        <f t="shared" si="2"/>
        <v>0.20821917808219179</v>
      </c>
      <c r="X52" s="353">
        <f>_xll.qlInterpolationInterpolate(B12Minterpolation,V52,TRUE)</f>
        <v>2.5552542581076458E-3</v>
      </c>
      <c r="Y52" s="353">
        <f>_xll.qlInterpolationInterpolate(AbcdInterpolation12M,W52,TRUE)</f>
        <v>2.5686363559541884E-3</v>
      </c>
    </row>
    <row r="53" spans="22:25" x14ac:dyDescent="0.2">
      <c r="V53" s="114">
        <f>_xll.qlCalendarAdvance(Calendar,V52,"1D","f")</f>
        <v>42872</v>
      </c>
      <c r="W53" s="100">
        <f t="shared" si="2"/>
        <v>0.21095890410958903</v>
      </c>
      <c r="X53" s="353">
        <f>_xll.qlInterpolationInterpolate(B12Minterpolation,V53,TRUE)</f>
        <v>2.5581763347952602E-3</v>
      </c>
      <c r="Y53" s="353">
        <f>_xll.qlInterpolationInterpolate(AbcdInterpolation12M,W53,TRUE)</f>
        <v>2.5713623179082004E-3</v>
      </c>
    </row>
    <row r="54" spans="22:25" x14ac:dyDescent="0.2">
      <c r="V54" s="114">
        <f>_xll.qlCalendarAdvance(Calendar,V53,"1D","f")</f>
        <v>42873</v>
      </c>
      <c r="W54" s="100">
        <f t="shared" si="2"/>
        <v>0.21369863013698631</v>
      </c>
      <c r="X54" s="353">
        <f>_xll.qlInterpolationInterpolate(B12Minterpolation,V54,TRUE)</f>
        <v>2.5610981698841444E-3</v>
      </c>
      <c r="Y54" s="353">
        <f>_xll.qlInterpolationInterpolate(AbcdInterpolation12M,W54,TRUE)</f>
        <v>2.574081292884888E-3</v>
      </c>
    </row>
    <row r="55" spans="22:25" x14ac:dyDescent="0.2">
      <c r="V55" s="114">
        <f>_xll.qlCalendarAdvance(Calendar,V54,"1D","f")</f>
        <v>42874</v>
      </c>
      <c r="W55" s="100">
        <f t="shared" si="2"/>
        <v>0.21643835616438356</v>
      </c>
      <c r="X55" s="353">
        <f>_xll.qlInterpolationInterpolate(B12Minterpolation,V55,TRUE)</f>
        <v>2.564019003661096E-3</v>
      </c>
      <c r="Y55" s="353">
        <f>_xll.qlInterpolationInterpolate(AbcdInterpolation12M,W55,TRUE)</f>
        <v>2.5767932850695287E-3</v>
      </c>
    </row>
    <row r="56" spans="22:25" x14ac:dyDescent="0.2">
      <c r="V56" s="114">
        <f>_xll.qlCalendarAdvance(Calendar,V55,"1D","f")</f>
        <v>42877</v>
      </c>
      <c r="W56" s="100">
        <f t="shared" si="2"/>
        <v>0.22465753424657534</v>
      </c>
      <c r="X56" s="353">
        <f>_xll.qlInterpolationInterpolate(B12Minterpolation,V56,TRUE)</f>
        <v>2.5727678999883244E-3</v>
      </c>
      <c r="Y56" s="353">
        <f>_xll.qlInterpolationInterpolate(AbcdInterpolation12M,W56,TRUE)</f>
        <v>2.5848874081132204E-3</v>
      </c>
    </row>
    <row r="57" spans="22:25" x14ac:dyDescent="0.2">
      <c r="V57" s="114">
        <f>_xll.qlCalendarAdvance(Calendar,V56,"1D","f")</f>
        <v>42878</v>
      </c>
      <c r="W57" s="100">
        <f t="shared" si="2"/>
        <v>0.22739726027397261</v>
      </c>
      <c r="X57" s="353">
        <f>_xll.qlInterpolationInterpolate(B12Minterpolation,V57,TRUE)</f>
        <v>2.5756771313855151E-3</v>
      </c>
      <c r="Y57" s="353">
        <f>_xll.qlInterpolationInterpolate(AbcdInterpolation12M,W57,TRUE)</f>
        <v>2.5875715128262887E-3</v>
      </c>
    </row>
    <row r="58" spans="22:25" x14ac:dyDescent="0.2">
      <c r="V58" s="114">
        <f>_xll.qlCalendarAdvance(Calendar,V57,"1D","f")</f>
        <v>42879</v>
      </c>
      <c r="W58" s="100">
        <f t="shared" si="2"/>
        <v>0.23013698630136986</v>
      </c>
      <c r="X58" s="353">
        <f>_xll.qlInterpolationInterpolate(B12Minterpolation,V58,TRUE)</f>
        <v>2.5785815629047588E-3</v>
      </c>
      <c r="Y58" s="353">
        <f>_xll.qlInterpolationInterpolate(AbcdInterpolation12M,W58,TRUE)</f>
        <v>2.5902486570458659E-3</v>
      </c>
    </row>
    <row r="59" spans="22:25" x14ac:dyDescent="0.2">
      <c r="V59" s="114">
        <f>_xll.qlCalendarAdvance(Calendar,V58,"1D","f")</f>
        <v>42880</v>
      </c>
      <c r="W59" s="100">
        <f t="shared" si="2"/>
        <v>0.23287671232876711</v>
      </c>
      <c r="X59" s="353">
        <f>_xll.qlInterpolationInterpolate(B12Minterpolation,V59,TRUE)</f>
        <v>2.5814804348328517E-3</v>
      </c>
      <c r="Y59" s="353">
        <f>_xll.qlInterpolationInterpolate(AbcdInterpolation12M,W59,TRUE)</f>
        <v>2.5929188454975592E-3</v>
      </c>
    </row>
    <row r="60" spans="22:25" x14ac:dyDescent="0.2">
      <c r="V60" s="114">
        <f>_xll.qlCalendarAdvance(Calendar,V59,"1D","f")</f>
        <v>42881</v>
      </c>
      <c r="W60" s="100">
        <f t="shared" si="2"/>
        <v>0.23561643835616439</v>
      </c>
      <c r="X60" s="353">
        <f>_xll.qlInterpolationInterpolate(B12Minterpolation,V60,TRUE)</f>
        <v>2.5843729874565915E-3</v>
      </c>
      <c r="Y60" s="353">
        <f>_xll.qlInterpolationInterpolate(AbcdInterpolation12M,W60,TRUE)</f>
        <v>2.5955820829927957E-3</v>
      </c>
    </row>
    <row r="61" spans="22:25" x14ac:dyDescent="0.2">
      <c r="V61" s="114">
        <f>_xll.qlCalendarAdvance(Calendar,V60,"1D","f")</f>
        <v>42884</v>
      </c>
      <c r="W61" s="100">
        <f t="shared" si="2"/>
        <v>0.24383561643835616</v>
      </c>
      <c r="X61" s="353">
        <f>_xll.qlInterpolationInterpolate(B12Minterpolation,V61,TRUE)</f>
        <v>2.5930051323696628E-3</v>
      </c>
      <c r="Y61" s="353">
        <f>_xll.qlInterpolationInterpolate(AbcdInterpolation12M,W61,TRUE)</f>
        <v>2.6035301391173983E-3</v>
      </c>
    </row>
    <row r="62" spans="22:25" x14ac:dyDescent="0.2">
      <c r="V62" s="114">
        <f>_xll.qlCalendarAdvance(Calendar,V61,"1D","f")</f>
        <v>42885</v>
      </c>
      <c r="W62" s="100">
        <f t="shared" si="2"/>
        <v>0.24657534246575341</v>
      </c>
      <c r="X62" s="353">
        <f>_xll.qlInterpolationInterpolate(B12Minterpolation,V62,TRUE)</f>
        <v>2.5958648106439602E-3</v>
      </c>
      <c r="Y62" s="353">
        <f>_xll.qlInterpolationInterpolate(AbcdInterpolation12M,W62,TRUE)</f>
        <v>2.606165622577517E-3</v>
      </c>
    </row>
    <row r="63" spans="22:25" x14ac:dyDescent="0.2">
      <c r="V63" s="114">
        <f>_xll.qlCalendarAdvance(Calendar,V62,"1D","f")</f>
        <v>42886</v>
      </c>
      <c r="W63" s="100">
        <f t="shared" si="2"/>
        <v>0.24931506849315069</v>
      </c>
      <c r="X63" s="353">
        <f>_xll.qlInterpolationInterpolate(B12Minterpolation,V63,TRUE)</f>
        <v>2.5987143710478901E-3</v>
      </c>
      <c r="Y63" s="353">
        <f>_xll.qlInterpolationInterpolate(AbcdInterpolation12M,W63,TRUE)</f>
        <v>2.6087941803856624E-3</v>
      </c>
    </row>
    <row r="64" spans="22:25" x14ac:dyDescent="0.2">
      <c r="V64" s="114">
        <f>_xll.qlCalendarAdvance(Calendar,V63,"1D","f")</f>
        <v>42887</v>
      </c>
      <c r="W64" s="100">
        <f t="shared" si="2"/>
        <v>0.25205479452054796</v>
      </c>
      <c r="X64" s="353">
        <f>_xll.qlInterpolationInterpolate(B12Minterpolation,V64,TRUE)</f>
        <v>2.6015530538682492E-3</v>
      </c>
      <c r="Y64" s="353">
        <f>_xll.qlInterpolationInterpolate(AbcdInterpolation12M,W64,TRUE)</f>
        <v>2.6114158178443358E-3</v>
      </c>
    </row>
    <row r="65" spans="22:25" x14ac:dyDescent="0.2">
      <c r="V65" s="114">
        <f>_xll.qlCalendarAdvance(Calendar,V64,"1D","f")</f>
        <v>42888</v>
      </c>
      <c r="W65" s="100">
        <f t="shared" si="2"/>
        <v>0.25479452054794521</v>
      </c>
      <c r="X65" s="353">
        <f>_xll.qlInterpolationInterpolate(B12Minterpolation,V65,TRUE)</f>
        <v>2.6043800993918345E-3</v>
      </c>
      <c r="Y65" s="353">
        <f>_xll.qlInterpolationInterpolate(AbcdInterpolation12M,W65,TRUE)</f>
        <v>2.6140305403339493E-3</v>
      </c>
    </row>
    <row r="66" spans="22:25" x14ac:dyDescent="0.2">
      <c r="V66" s="114">
        <f>_xll.qlCalendarAdvance(Calendar,V65,"1D","f")</f>
        <v>42891</v>
      </c>
      <c r="W66" s="100">
        <f t="shared" si="2"/>
        <v>0.26301369863013696</v>
      </c>
      <c r="X66" s="353">
        <f>_xll.qlInterpolationInterpolate(B12Minterpolation,V66,TRUE)</f>
        <v>2.6127838150499199E-3</v>
      </c>
      <c r="Y66" s="353">
        <f>_xll.qlInterpolationInterpolate(AbcdInterpolation12M,W66,TRUE)</f>
        <v>2.6218332729402737E-3</v>
      </c>
    </row>
    <row r="67" spans="22:25" x14ac:dyDescent="0.2">
      <c r="V67" s="114">
        <f>_xll.qlCalendarAdvance(Calendar,V66,"1D","f")</f>
        <v>42892</v>
      </c>
      <c r="W67" s="100">
        <f t="shared" ref="W67:W130" si="10">(V67-EvaluationDate)/365</f>
        <v>0.26575342465753427</v>
      </c>
      <c r="X67" s="353">
        <f>_xll.qlInterpolationInterpolate(B12Minterpolation,V67,TRUE)</f>
        <v>2.6155569617215351E-3</v>
      </c>
      <c r="Y67" s="353">
        <f>_xll.qlInterpolationInterpolate(AbcdInterpolation12M,W67,TRUE)</f>
        <v>2.6244203908804458E-3</v>
      </c>
    </row>
    <row r="68" spans="22:25" x14ac:dyDescent="0.2">
      <c r="V68" s="114">
        <f>_xll.qlCalendarAdvance(Calendar,V67,"1D","f")</f>
        <v>42893</v>
      </c>
      <c r="W68" s="100">
        <f t="shared" si="10"/>
        <v>0.26849315068493151</v>
      </c>
      <c r="X68" s="353">
        <f>_xll.qlInterpolationInterpolate(B12Minterpolation,V68,TRUE)</f>
        <v>2.6183161573332821E-3</v>
      </c>
      <c r="Y68" s="353">
        <f>_xll.qlInterpolationInterpolate(AbcdInterpolation12M,W68,TRUE)</f>
        <v>2.627000621886371E-3</v>
      </c>
    </row>
    <row r="69" spans="22:25" x14ac:dyDescent="0.2">
      <c r="V69" s="114">
        <f>_xll.qlCalendarAdvance(Calendar,V68,"1D","f")</f>
        <v>42894</v>
      </c>
      <c r="W69" s="100">
        <f t="shared" si="10"/>
        <v>0.27123287671232876</v>
      </c>
      <c r="X69" s="353">
        <f>_xll.qlInterpolationInterpolate(B12Minterpolation,V69,TRUE)</f>
        <v>2.6210621269748794E-3</v>
      </c>
      <c r="Y69" s="353">
        <f>_xll.qlInterpolationInterpolate(AbcdInterpolation12M,W69,TRUE)</f>
        <v>2.6295739717842751E-3</v>
      </c>
    </row>
    <row r="70" spans="22:25" x14ac:dyDescent="0.2">
      <c r="V70" s="114">
        <f>_xll.qlCalendarAdvance(Calendar,V69,"1D","f")</f>
        <v>42895</v>
      </c>
      <c r="W70" s="100">
        <f t="shared" si="10"/>
        <v>0.27397260273972601</v>
      </c>
      <c r="X70" s="353">
        <f>_xll.qlInterpolationInterpolate(B12Minterpolation,V70,TRUE)</f>
        <v>2.6237955957360438E-3</v>
      </c>
      <c r="Y70" s="353">
        <f>_xll.qlInterpolationInterpolate(AbcdInterpolation12M,W70,TRUE)</f>
        <v>2.6321404464711181E-3</v>
      </c>
    </row>
    <row r="71" spans="22:25" x14ac:dyDescent="0.2">
      <c r="V71" s="114">
        <f>_xll.qlCalendarAdvance(Calendar,V70,"1D","f")</f>
        <v>42898</v>
      </c>
      <c r="W71" s="100">
        <f t="shared" si="10"/>
        <v>0.28219178082191781</v>
      </c>
      <c r="X71" s="353">
        <f>_xll.qlInterpolationInterpolate(B12Minterpolation,V71,TRUE)</f>
        <v>2.6319282476341163E-3</v>
      </c>
      <c r="Y71" s="353">
        <f>_xll.qlInterpolationInterpolate(AbcdInterpolation12M,W71,TRUE)</f>
        <v>2.6397986792757238E-3</v>
      </c>
    </row>
    <row r="72" spans="22:25" x14ac:dyDescent="0.2">
      <c r="V72" s="114">
        <f>_xll.qlCalendarAdvance(Calendar,V71,"1D","f")</f>
        <v>42899</v>
      </c>
      <c r="W72" s="100">
        <f t="shared" si="10"/>
        <v>0.28493150684931506</v>
      </c>
      <c r="X72" s="353">
        <f>_xll.qlInterpolationInterpolate(B12Minterpolation,V72,TRUE)</f>
        <v>2.6346189637707256E-3</v>
      </c>
      <c r="Y72" s="353">
        <f>_xll.qlInterpolationInterpolate(AbcdInterpolation12M,W72,TRUE)</f>
        <v>2.6423377134688407E-3</v>
      </c>
    </row>
    <row r="73" spans="22:25" x14ac:dyDescent="0.2">
      <c r="V73" s="114">
        <f>_xll.qlCalendarAdvance(Calendar,V72,"1D","f")</f>
        <v>42900</v>
      </c>
      <c r="W73" s="100">
        <f t="shared" si="10"/>
        <v>0.28767123287671231</v>
      </c>
      <c r="X73" s="353">
        <f>_xll.qlInterpolationInterpolate(B12Minterpolation,V73,TRUE)</f>
        <v>2.6373008044754897E-3</v>
      </c>
      <c r="Y73" s="353">
        <f>_xll.qlInterpolationInterpolate(AbcdInterpolation12M,W73,TRUE)</f>
        <v>2.6448699029629446E-3</v>
      </c>
    </row>
    <row r="74" spans="22:25" x14ac:dyDescent="0.2">
      <c r="V74" s="114">
        <f>_xll.qlCalendarAdvance(Calendar,V73,"1D","f")</f>
        <v>42901</v>
      </c>
      <c r="W74" s="100">
        <f t="shared" si="10"/>
        <v>0.29041095890410956</v>
      </c>
      <c r="X74" s="353">
        <f>_xll.qlInterpolationInterpolate(B12Minterpolation,V74,TRUE)</f>
        <v>2.6399744948381264E-3</v>
      </c>
      <c r="Y74" s="353">
        <f>_xll.qlInterpolationInterpolate(AbcdInterpolation12M,W74,TRUE)</f>
        <v>2.6473952540592158E-3</v>
      </c>
    </row>
    <row r="75" spans="22:25" x14ac:dyDescent="0.2">
      <c r="V75" s="114">
        <f>_xll.qlCalendarAdvance(Calendar,V74,"1D","f")</f>
        <v>42902</v>
      </c>
      <c r="W75" s="100">
        <f t="shared" si="10"/>
        <v>0.29315068493150687</v>
      </c>
      <c r="X75" s="353">
        <f>_xll.qlInterpolationInterpolate(B12Minterpolation,V75,TRUE)</f>
        <v>2.6426407599483533E-3</v>
      </c>
      <c r="Y75" s="353">
        <f>_xll.qlInterpolationInterpolate(AbcdInterpolation12M,W75,TRUE)</f>
        <v>2.6499137731229626E-3</v>
      </c>
    </row>
    <row r="76" spans="22:25" x14ac:dyDescent="0.2">
      <c r="V76" s="114">
        <f>_xll.qlCalendarAdvance(Calendar,V75,"1D","f")</f>
        <v>42905</v>
      </c>
      <c r="W76" s="100">
        <f t="shared" si="10"/>
        <v>0.30136986301369861</v>
      </c>
      <c r="X76" s="353">
        <f>_xll.qlInterpolationInterpolate(B12Minterpolation,V76,TRUE)</f>
        <v>2.6506022546617502E-3</v>
      </c>
      <c r="Y76" s="353">
        <f>_xll.qlInterpolationInterpolate(AbcdInterpolation12M,W76,TRUE)</f>
        <v>2.65742840271472E-3</v>
      </c>
    </row>
    <row r="77" spans="22:25" x14ac:dyDescent="0.2">
      <c r="V77" s="114">
        <f>_xll.qlCalendarAdvance(Calendar,V76,"1D","f")</f>
        <v>42906</v>
      </c>
      <c r="W77" s="100">
        <f t="shared" si="10"/>
        <v>0.30410958904109592</v>
      </c>
      <c r="X77" s="353">
        <f>_xll.qlInterpolationInterpolate(B12Minterpolation,V77,TRUE)</f>
        <v>2.6532460696595131E-3</v>
      </c>
      <c r="Y77" s="353">
        <f>_xll.qlInterpolationInterpolate(AbcdInterpolation12M,W77,TRUE)</f>
        <v>2.6599196585520694E-3</v>
      </c>
    </row>
    <row r="78" spans="22:25" x14ac:dyDescent="0.2">
      <c r="V78" s="114">
        <f>_xll.qlCalendarAdvance(Calendar,V77,"1D","f")</f>
        <v>42907</v>
      </c>
      <c r="W78" s="100">
        <f t="shared" si="10"/>
        <v>0.30684931506849317</v>
      </c>
      <c r="X78" s="353">
        <f>_xll.qlInterpolationInterpolate(B12Minterpolation,V78,TRUE)</f>
        <v>2.6558860848534542E-3</v>
      </c>
      <c r="Y78" s="353">
        <f>_xll.qlInterpolationInterpolate(AbcdInterpolation12M,W78,TRUE)</f>
        <v>2.6624041151137108E-3</v>
      </c>
    </row>
    <row r="79" spans="22:25" x14ac:dyDescent="0.2">
      <c r="V79" s="114">
        <f>_xll.qlCalendarAdvance(Calendar,V78,"1D","f")</f>
        <v>42908</v>
      </c>
      <c r="W79" s="100">
        <f t="shared" si="10"/>
        <v>0.30958904109589042</v>
      </c>
      <c r="X79" s="353">
        <f>_xll.qlInterpolationInterpolate(B12Minterpolation,V79,TRUE)</f>
        <v>2.6585230253332905E-3</v>
      </c>
      <c r="Y79" s="353">
        <f>_xll.qlInterpolationInterpolate(AbcdInterpolation12M,W79,TRUE)</f>
        <v>2.6648817791309742E-3</v>
      </c>
    </row>
    <row r="80" spans="22:25" x14ac:dyDescent="0.2">
      <c r="V80" s="114">
        <f>_xll.qlCalendarAdvance(Calendar,V79,"1D","f")</f>
        <v>42909</v>
      </c>
      <c r="W80" s="100">
        <f t="shared" si="10"/>
        <v>0.31232876712328766</v>
      </c>
      <c r="X80" s="353">
        <f>_xll.qlInterpolationInterpolate(B12Minterpolation,V80,TRUE)</f>
        <v>2.6611576161887393E-3</v>
      </c>
      <c r="Y80" s="353">
        <f>_xll.qlInterpolationInterpolate(AbcdInterpolation12M,W80,TRUE)</f>
        <v>2.6673526573931941E-3</v>
      </c>
    </row>
    <row r="81" spans="22:25" x14ac:dyDescent="0.2">
      <c r="V81" s="114">
        <f>_xll.qlCalendarAdvance(Calendar,V80,"1D","f")</f>
        <v>42912</v>
      </c>
      <c r="W81" s="100">
        <f t="shared" si="10"/>
        <v>0.32054794520547947</v>
      </c>
      <c r="X81" s="353">
        <f>_xll.qlInterpolationInterpolate(B12Minterpolation,V81,TRUE)</f>
        <v>2.6690545419059404E-3</v>
      </c>
      <c r="Y81" s="353">
        <f>_xll.qlInterpolationInterpolate(AbcdInterpolation12M,W81,TRUE)</f>
        <v>2.6747246463955836E-3</v>
      </c>
    </row>
    <row r="82" spans="22:25" x14ac:dyDescent="0.2">
      <c r="V82" s="114">
        <f>_xll.qlCalendarAdvance(Calendar,V81,"1D","f")</f>
        <v>42913</v>
      </c>
      <c r="W82" s="100">
        <f t="shared" si="10"/>
        <v>0.32328767123287672</v>
      </c>
      <c r="X82" s="353">
        <f>_xll.qlInterpolationInterpolate(B12Minterpolation,V82,TRUE)</f>
        <v>2.6716869851610169E-3</v>
      </c>
      <c r="Y82" s="353">
        <f>_xll.qlInterpolationInterpolate(AbcdInterpolation12M,W82,TRUE)</f>
        <v>2.6771684506621363E-3</v>
      </c>
    </row>
    <row r="83" spans="22:25" x14ac:dyDescent="0.2">
      <c r="V83" s="114">
        <f>_xll.qlCalendarAdvance(Calendar,V82,"1D","f")</f>
        <v>42914</v>
      </c>
      <c r="W83" s="100">
        <f t="shared" si="10"/>
        <v>0.32602739726027397</v>
      </c>
      <c r="X83" s="353">
        <f>_xll.qlInterpolationInterpolate(B12Minterpolation,V83,TRUE)</f>
        <v>2.6743207042402941E-3</v>
      </c>
      <c r="Y83" s="353">
        <f>_xll.qlInterpolationInterpolate(AbcdInterpolation12M,W83,TRUE)</f>
        <v>2.679605503961614E-3</v>
      </c>
    </row>
    <row r="84" spans="22:25" x14ac:dyDescent="0.2">
      <c r="V84" s="114">
        <f>_xll.qlCalendarAdvance(Calendar,V83,"1D","f")</f>
        <v>42915</v>
      </c>
      <c r="W84" s="100">
        <f t="shared" si="10"/>
        <v>0.32876712328767121</v>
      </c>
      <c r="X84" s="353">
        <f>_xll.qlInterpolationInterpolate(B12Minterpolation,V84,TRUE)</f>
        <v>2.6769564242334894E-3</v>
      </c>
      <c r="Y84" s="353">
        <f>_xll.qlInterpolationInterpolate(AbcdInterpolation12M,W84,TRUE)</f>
        <v>2.6820358134142666E-3</v>
      </c>
    </row>
    <row r="85" spans="22:25" x14ac:dyDescent="0.2">
      <c r="V85" s="114">
        <f>_xll.qlCalendarAdvance(Calendar,V84,"1D","f")</f>
        <v>42916</v>
      </c>
      <c r="W85" s="100">
        <f t="shared" si="10"/>
        <v>0.33150684931506852</v>
      </c>
      <c r="X85" s="353">
        <f>_xll.qlInterpolationInterpolate(B12Minterpolation,V85,TRUE)</f>
        <v>2.6795948702303205E-3</v>
      </c>
      <c r="Y85" s="353">
        <f>_xll.qlInterpolationInterpolate(AbcdInterpolation12M,W85,TRUE)</f>
        <v>2.684459386192732E-3</v>
      </c>
    </row>
    <row r="86" spans="22:25" x14ac:dyDescent="0.2">
      <c r="V86" s="114">
        <f>_xll.qlCalendarAdvance(Calendar,V85,"1D","f")</f>
        <v>42919</v>
      </c>
      <c r="W86" s="100">
        <f t="shared" si="10"/>
        <v>0.33972602739726027</v>
      </c>
      <c r="X86" s="353">
        <f>_xll.qlInterpolationInterpolate(B12Minterpolation,V86,TRUE)</f>
        <v>2.6875338151398044E-3</v>
      </c>
      <c r="Y86" s="353">
        <f>_xll.qlInterpolationInterpolate(AbcdInterpolation12M,W86,TRUE)</f>
        <v>2.6916897569792984E-3</v>
      </c>
    </row>
    <row r="87" spans="22:25" x14ac:dyDescent="0.2">
      <c r="V87" s="114">
        <f>_xll.qlCalendarAdvance(Calendar,V86,"1D","f")</f>
        <v>42920</v>
      </c>
      <c r="W87" s="100">
        <f t="shared" si="10"/>
        <v>0.34246575342465752</v>
      </c>
      <c r="X87" s="353">
        <f>_xll.qlInterpolationInterpolate(B12Minterpolation,V87,TRUE)</f>
        <v>2.6901901130400746E-3</v>
      </c>
      <c r="Y87" s="353">
        <f>_xll.qlInterpolationInterpolate(AbcdInterpolation12M,W87,TRUE)</f>
        <v>2.6940864558086951E-3</v>
      </c>
    </row>
    <row r="88" spans="22:25" x14ac:dyDescent="0.2">
      <c r="V88" s="114">
        <f>_xll.qlCalendarAdvance(Calendar,V87,"1D","f")</f>
        <v>42921</v>
      </c>
      <c r="W88" s="100">
        <f t="shared" si="10"/>
        <v>0.34520547945205482</v>
      </c>
      <c r="X88" s="353">
        <f>_xll.qlInterpolationInterpolate(B12Minterpolation,V88,TRUE)</f>
        <v>2.6928509443428896E-3</v>
      </c>
      <c r="Y88" s="353">
        <f>_xll.qlInterpolationInterpolate(AbcdInterpolation12M,W88,TRUE)</f>
        <v>2.6964764545865552E-3</v>
      </c>
    </row>
    <row r="89" spans="22:25" x14ac:dyDescent="0.2">
      <c r="V89" s="114">
        <f>_xll.qlCalendarAdvance(Calendar,V88,"1D","f")</f>
        <v>42922</v>
      </c>
      <c r="W89" s="100">
        <f t="shared" si="10"/>
        <v>0.34794520547945207</v>
      </c>
      <c r="X89" s="353">
        <f>_xll.qlInterpolationInterpolate(B12Minterpolation,V89,TRUE)</f>
        <v>2.6955152160882886E-3</v>
      </c>
      <c r="Y89" s="353">
        <f>_xll.qlInterpolationInterpolate(AbcdInterpolation12M,W89,TRUE)</f>
        <v>2.6988597607841423E-3</v>
      </c>
    </row>
    <row r="90" spans="22:25" x14ac:dyDescent="0.2">
      <c r="V90" s="114">
        <f>_xll.qlCalendarAdvance(Calendar,V89,"1D","f")</f>
        <v>42923</v>
      </c>
      <c r="W90" s="100">
        <f t="shared" si="10"/>
        <v>0.35068493150684932</v>
      </c>
      <c r="X90" s="353">
        <f>_xll.qlInterpolationInterpolate(B12Minterpolation,V90,TRUE)</f>
        <v>2.6981818353163109E-3</v>
      </c>
      <c r="Y90" s="353">
        <f>_xll.qlInterpolationInterpolate(AbcdInterpolation12M,W90,TRUE)</f>
        <v>2.7012363819199302E-3</v>
      </c>
    </row>
    <row r="91" spans="22:25" x14ac:dyDescent="0.2">
      <c r="V91" s="114">
        <f>_xll.qlCalendarAdvance(Calendar,V90,"1D","f")</f>
        <v>42926</v>
      </c>
      <c r="W91" s="100">
        <f t="shared" si="10"/>
        <v>0.35890410958904112</v>
      </c>
      <c r="X91" s="353">
        <f>_xll.qlInterpolationInterpolate(B12Minterpolation,V91,TRUE)</f>
        <v>2.7061848482965068E-3</v>
      </c>
      <c r="Y91" s="353">
        <f>_xll.qlInterpolationInterpolate(AbcdInterpolation12M,W91,TRUE)</f>
        <v>2.708326210835194E-3</v>
      </c>
    </row>
    <row r="92" spans="22:25" x14ac:dyDescent="0.2">
      <c r="V92" s="114">
        <f>_xll.qlCalendarAdvance(Calendar,V91,"1D","f")</f>
        <v>42927</v>
      </c>
      <c r="W92" s="100">
        <f t="shared" si="10"/>
        <v>0.36164383561643837</v>
      </c>
      <c r="X92" s="353">
        <f>_xll.qlInterpolationInterpolate(B12Minterpolation,V92,TRUE)</f>
        <v>2.708849927855412E-3</v>
      </c>
      <c r="Y92" s="353">
        <f>_xll.qlInterpolationInterpolate(AbcdInterpolation12M,W92,TRUE)</f>
        <v>2.7106761678288736E-3</v>
      </c>
    </row>
    <row r="93" spans="22:25" x14ac:dyDescent="0.2">
      <c r="V93" s="114">
        <f>_xll.qlCalendarAdvance(Calendar,V92,"1D","f")</f>
        <v>42928</v>
      </c>
      <c r="W93" s="100">
        <f t="shared" si="10"/>
        <v>0.36438356164383562</v>
      </c>
      <c r="X93" s="353">
        <f>_xll.qlInterpolationInterpolate(B12Minterpolation,V93,TRUE)</f>
        <v>2.7115118900971355E-3</v>
      </c>
      <c r="Y93" s="353">
        <f>_xll.qlInterpolationInterpolate(AbcdInterpolation12M,W93,TRUE)</f>
        <v>2.713019478037326E-3</v>
      </c>
    </row>
    <row r="94" spans="22:25" x14ac:dyDescent="0.2">
      <c r="V94" s="114">
        <f>_xll.qlCalendarAdvance(Calendar,V93,"1D","f")</f>
        <v>42929</v>
      </c>
      <c r="W94" s="100">
        <f t="shared" si="10"/>
        <v>0.36712328767123287</v>
      </c>
      <c r="X94" s="353">
        <f>_xll.qlInterpolationInterpolate(B12Minterpolation,V94,TRUE)</f>
        <v>2.7141696420617165E-3</v>
      </c>
      <c r="Y94" s="353">
        <f>_xll.qlInterpolationInterpolate(AbcdInterpolation12M,W94,TRUE)</f>
        <v>2.7153561492479611E-3</v>
      </c>
    </row>
    <row r="95" spans="22:25" x14ac:dyDescent="0.2">
      <c r="V95" s="114">
        <f>_xll.qlCalendarAdvance(Calendar,V94,"1D","f")</f>
        <v>42930</v>
      </c>
      <c r="W95" s="100">
        <f t="shared" si="10"/>
        <v>0.36986301369863012</v>
      </c>
      <c r="X95" s="353">
        <f>_xll.qlInterpolationInterpolate(B12Minterpolation,V95,TRUE)</f>
        <v>2.7168220907891937E-3</v>
      </c>
      <c r="Y95" s="353">
        <f>_xll.qlInterpolationInterpolate(AbcdInterpolation12M,W95,TRUE)</f>
        <v>2.7176861892906161E-3</v>
      </c>
    </row>
    <row r="96" spans="22:25" x14ac:dyDescent="0.2">
      <c r="V96" s="114">
        <f>_xll.qlCalendarAdvance(Calendar,V95,"1D","f")</f>
        <v>42933</v>
      </c>
      <c r="W96" s="100">
        <f t="shared" si="10"/>
        <v>0.37808219178082192</v>
      </c>
      <c r="X96" s="353">
        <f>_xll.qlInterpolationInterpolate(B12Minterpolation,V96,TRUE)</f>
        <v>2.7247366879493951E-3</v>
      </c>
      <c r="Y96" s="353">
        <f>_xll.qlInterpolationInterpolate(AbcdInterpolation12M,W96,TRUE)</f>
        <v>2.7246366013330844E-3</v>
      </c>
    </row>
    <row r="97" spans="22:25" x14ac:dyDescent="0.2">
      <c r="V97" s="114">
        <f>_xll.qlCalendarAdvance(Calendar,V96,"1D","f")</f>
        <v>42934</v>
      </c>
      <c r="W97" s="100">
        <f t="shared" si="10"/>
        <v>0.38082191780821917</v>
      </c>
      <c r="X97" s="353">
        <f>_xll.qlInterpolationInterpolate(B12Minterpolation,V97,TRUE)</f>
        <v>2.7273569941288489E-3</v>
      </c>
      <c r="Y97" s="353">
        <f>_xll.qlInterpolationInterpolate(AbcdInterpolation12M,W97,TRUE)</f>
        <v>2.7269401958296005E-3</v>
      </c>
    </row>
    <row r="98" spans="22:25" x14ac:dyDescent="0.2">
      <c r="V98" s="114">
        <f>_xll.qlCalendarAdvance(Calendar,V97,"1D","f")</f>
        <v>42935</v>
      </c>
      <c r="W98" s="100">
        <f t="shared" si="10"/>
        <v>0.38356164383561642</v>
      </c>
      <c r="X98" s="353">
        <f>_xll.qlInterpolationInterpolate(B12Minterpolation,V98,TRUE)</f>
        <v>2.7299665322713944E-3</v>
      </c>
      <c r="Y98" s="353">
        <f>_xll.qlInterpolationInterpolate(AbcdInterpolation12M,W98,TRUE)</f>
        <v>2.7292371989222578E-3</v>
      </c>
    </row>
    <row r="99" spans="22:25" x14ac:dyDescent="0.2">
      <c r="V99" s="114">
        <f>_xll.qlCalendarAdvance(Calendar,V98,"1D","f")</f>
        <v>42936</v>
      </c>
      <c r="W99" s="100">
        <f t="shared" si="10"/>
        <v>0.38630136986301372</v>
      </c>
      <c r="X99" s="353">
        <f>_xll.qlInterpolationInterpolate(B12Minterpolation,V99,TRUE)</f>
        <v>2.7325642094170703E-3</v>
      </c>
      <c r="Y99" s="353">
        <f>_xll.qlInterpolationInterpolate(AbcdInterpolation12M,W99,TRUE)</f>
        <v>2.7315276186824534E-3</v>
      </c>
    </row>
    <row r="100" spans="22:25" x14ac:dyDescent="0.2">
      <c r="V100" s="114">
        <f>_xll.qlCalendarAdvance(Calendar,V99,"1D","f")</f>
        <v>42937</v>
      </c>
      <c r="W100" s="100">
        <f t="shared" si="10"/>
        <v>0.38904109589041097</v>
      </c>
      <c r="X100" s="353">
        <f>_xll.qlInterpolationInterpolate(B12Minterpolation,V100,TRUE)</f>
        <v>2.7351489326059163E-3</v>
      </c>
      <c r="Y100" s="353">
        <f>_xll.qlInterpolationInterpolate(AbcdInterpolation12M,W100,TRUE)</f>
        <v>2.7338114632196858E-3</v>
      </c>
    </row>
    <row r="101" spans="22:25" x14ac:dyDescent="0.2">
      <c r="V101" s="114">
        <f>_xll.qlCalendarAdvance(Calendar,V100,"1D","f")</f>
        <v>42940</v>
      </c>
      <c r="W101" s="100">
        <f t="shared" si="10"/>
        <v>0.39726027397260272</v>
      </c>
      <c r="X101" s="353">
        <f>_xll.qlInterpolationInterpolate(B12Minterpolation,V101,TRUE)</f>
        <v>2.7428144488318628E-3</v>
      </c>
      <c r="Y101" s="353">
        <f>_xll.qlInterpolationInterpolate(AbcdInterpolation12M,W101,TRUE)</f>
        <v>2.7406236271477567E-3</v>
      </c>
    </row>
    <row r="102" spans="22:25" x14ac:dyDescent="0.2">
      <c r="V102" s="114">
        <f>_xll.qlCalendarAdvance(Calendar,V101,"1D","f")</f>
        <v>42941</v>
      </c>
      <c r="W102" s="100">
        <f t="shared" si="10"/>
        <v>0.4</v>
      </c>
      <c r="X102" s="353">
        <f>_xll.qlInterpolationInterpolate(B12Minterpolation,V102,TRUE)</f>
        <v>2.7453364265937787E-3</v>
      </c>
      <c r="Y102" s="353">
        <f>_xll.qlInterpolationInterpolate(AbcdInterpolation12M,W102,TRUE)</f>
        <v>2.7428812526295236E-3</v>
      </c>
    </row>
    <row r="103" spans="22:25" x14ac:dyDescent="0.2">
      <c r="V103" s="114">
        <f>_xll.qlCalendarAdvance(Calendar,V102,"1D","f")</f>
        <v>42942</v>
      </c>
      <c r="W103" s="100">
        <f t="shared" si="10"/>
        <v>0.40273972602739727</v>
      </c>
      <c r="X103" s="353">
        <f>_xll.qlInterpolationInterpolate(B12Minterpolation,V103,TRUE)</f>
        <v>2.7478399855990591E-3</v>
      </c>
      <c r="Y103" s="353">
        <f>_xll.qlInterpolationInterpolate(AbcdInterpolation12M,W103,TRUE)</f>
        <v>2.7451323439867553E-3</v>
      </c>
    </row>
    <row r="104" spans="22:25" x14ac:dyDescent="0.2">
      <c r="V104" s="114">
        <f>_xll.qlCalendarAdvance(Calendar,V103,"1D","f")</f>
        <v>42943</v>
      </c>
      <c r="W104" s="100">
        <f t="shared" si="10"/>
        <v>0.40547945205479452</v>
      </c>
      <c r="X104" s="353">
        <f>_xll.qlInterpolationInterpolate(B12Minterpolation,V104,TRUE)</f>
        <v>2.7503240328877435E-3</v>
      </c>
      <c r="Y104" s="353">
        <f>_xll.qlInterpolationInterpolate(AbcdInterpolation12M,W104,TRUE)</f>
        <v>2.7473769095452891E-3</v>
      </c>
    </row>
    <row r="105" spans="22:25" x14ac:dyDescent="0.2">
      <c r="V105" s="114">
        <f>_xll.qlCalendarAdvance(Calendar,V104,"1D","f")</f>
        <v>42944</v>
      </c>
      <c r="W105" s="100">
        <f t="shared" si="10"/>
        <v>0.40821917808219177</v>
      </c>
      <c r="X105" s="353">
        <f>_xll.qlInterpolationInterpolate(B12Minterpolation,V105,TRUE)</f>
        <v>2.7527874754998713E-3</v>
      </c>
      <c r="Y105" s="353">
        <f>_xll.qlInterpolationInterpolate(AbcdInterpolation12M,W105,TRUE)</f>
        <v>2.7496149576650203E-3</v>
      </c>
    </row>
    <row r="106" spans="22:25" x14ac:dyDescent="0.2">
      <c r="V106" s="114">
        <f>_xll.qlCalendarAdvance(Calendar,V105,"1D","f")</f>
        <v>42947</v>
      </c>
      <c r="W106" s="100">
        <f t="shared" si="10"/>
        <v>0.41643835616438357</v>
      </c>
      <c r="X106" s="353">
        <f>_xll.qlInterpolationInterpolate(B12Minterpolation,V106,TRUE)</f>
        <v>2.7600432456773038E-3</v>
      </c>
      <c r="Y106" s="353">
        <f>_xll.qlInterpolationInterpolate(AbcdInterpolation12M,W106,TRUE)</f>
        <v>2.7562900814900719E-3</v>
      </c>
    </row>
    <row r="107" spans="22:25" x14ac:dyDescent="0.2">
      <c r="V107" s="114">
        <f>_xll.qlCalendarAdvance(Calendar,V106,"1D","f")</f>
        <v>42948</v>
      </c>
      <c r="W107" s="100">
        <f t="shared" si="10"/>
        <v>0.41917808219178082</v>
      </c>
      <c r="X107" s="353">
        <f>_xll.qlInterpolationInterpolate(B12Minterpolation,V107,TRUE)</f>
        <v>2.7624133399835943E-3</v>
      </c>
      <c r="Y107" s="353">
        <f>_xll.qlInterpolationInterpolate(AbcdInterpolation12M,W107,TRUE)</f>
        <v>2.7585021441159964E-3</v>
      </c>
    </row>
    <row r="108" spans="22:25" x14ac:dyDescent="0.2">
      <c r="V108" s="114">
        <f>_xll.qlCalendarAdvance(Calendar,V107,"1D","f")</f>
        <v>42949</v>
      </c>
      <c r="W108" s="100">
        <f t="shared" si="10"/>
        <v>0.42191780821917807</v>
      </c>
      <c r="X108" s="353">
        <f>_xll.qlInterpolationInterpolate(B12Minterpolation,V108,TRUE)</f>
        <v>2.7647573648135232E-3</v>
      </c>
      <c r="Y108" s="353">
        <f>_xll.qlInterpolationInterpolate(AbcdInterpolation12M,W108,TRUE)</f>
        <v>2.7607077315947009E-3</v>
      </c>
    </row>
    <row r="109" spans="22:25" x14ac:dyDescent="0.2">
      <c r="V109" s="114">
        <f>_xll.qlCalendarAdvance(Calendar,V108,"1D","f")</f>
        <v>42950</v>
      </c>
      <c r="W109" s="100">
        <f t="shared" si="10"/>
        <v>0.42465753424657532</v>
      </c>
      <c r="X109" s="353">
        <f>_xll.qlInterpolationInterpolate(B12Minterpolation,V109,TRUE)</f>
        <v>2.7670742272071299E-3</v>
      </c>
      <c r="Y109" s="353">
        <f>_xll.qlInterpolationInterpolate(AbcdInterpolation12M,W109,TRUE)</f>
        <v>2.7629068524791991E-3</v>
      </c>
    </row>
    <row r="110" spans="22:25" x14ac:dyDescent="0.2">
      <c r="V110" s="114">
        <f>_xll.qlCalendarAdvance(Calendar,V109,"1D","f")</f>
        <v>42951</v>
      </c>
      <c r="W110" s="100">
        <f t="shared" si="10"/>
        <v>0.42739726027397262</v>
      </c>
      <c r="X110" s="353">
        <f>_xll.qlInterpolationInterpolate(B12Minterpolation,V110,TRUE)</f>
        <v>2.7693632225456411E-3</v>
      </c>
      <c r="Y110" s="353">
        <f>_xll.qlInterpolationInterpolate(AbcdInterpolation12M,W110,TRUE)</f>
        <v>2.7650995153528581E-3</v>
      </c>
    </row>
    <row r="111" spans="22:25" x14ac:dyDescent="0.2">
      <c r="V111" s="114">
        <f>_xll.qlCalendarAdvance(Calendar,V110,"1D","f")</f>
        <v>42954</v>
      </c>
      <c r="W111" s="100">
        <f t="shared" si="10"/>
        <v>0.43561643835616437</v>
      </c>
      <c r="X111" s="353">
        <f>_xll.qlInterpolationInterpolate(B12Minterpolation,V111,TRUE)</f>
        <v>2.7760730470551779E-3</v>
      </c>
      <c r="Y111" s="353">
        <f>_xll.qlInterpolationInterpolate(AbcdInterpolation12M,W111,TRUE)</f>
        <v>2.7716388421871923E-3</v>
      </c>
    </row>
    <row r="112" spans="22:25" x14ac:dyDescent="0.2">
      <c r="V112" s="114">
        <f>_xll.qlCalendarAdvance(Calendar,V111,"1D","f")</f>
        <v>42955</v>
      </c>
      <c r="W112" s="100">
        <f t="shared" si="10"/>
        <v>0.43835616438356162</v>
      </c>
      <c r="X112" s="353">
        <f>_xll.qlInterpolationInterpolate(B12Minterpolation,V112,TRUE)</f>
        <v>2.7782613916802583E-3</v>
      </c>
      <c r="Y112" s="353">
        <f>_xll.qlInterpolationInterpolate(AbcdInterpolation12M,W112,TRUE)</f>
        <v>2.7738057594406582E-3</v>
      </c>
    </row>
    <row r="113" spans="22:25" x14ac:dyDescent="0.2">
      <c r="V113" s="114">
        <f>_xll.qlCalendarAdvance(Calendar,V112,"1D","f")</f>
        <v>42956</v>
      </c>
      <c r="W113" s="100">
        <f t="shared" si="10"/>
        <v>0.44109589041095892</v>
      </c>
      <c r="X113" s="353">
        <f>_xll.qlInterpolationInterpolate(B12Minterpolation,V113,TRUE)</f>
        <v>2.7804276663449074E-3</v>
      </c>
      <c r="Y113" s="353">
        <f>_xll.qlInterpolationInterpolate(AbcdInterpolation12M,W113,TRUE)</f>
        <v>2.7759662620379182E-3</v>
      </c>
    </row>
    <row r="114" spans="22:25" x14ac:dyDescent="0.2">
      <c r="V114" s="114">
        <f>_xll.qlCalendarAdvance(Calendar,V113,"1D","f")</f>
        <v>42957</v>
      </c>
      <c r="W114" s="100">
        <f t="shared" si="10"/>
        <v>0.44383561643835617</v>
      </c>
      <c r="X114" s="353">
        <f>_xll.qlInterpolationInterpolate(B12Minterpolation,V114,TRUE)</f>
        <v>2.7825731081362946E-3</v>
      </c>
      <c r="Y114" s="353">
        <f>_xll.qlInterpolationInterpolate(AbcdInterpolation12M,W114,TRUE)</f>
        <v>2.7781203587340366E-3</v>
      </c>
    </row>
    <row r="115" spans="22:25" x14ac:dyDescent="0.2">
      <c r="V115" s="114">
        <f>_xll.qlCalendarAdvance(Calendar,V114,"1D","f")</f>
        <v>42958</v>
      </c>
      <c r="W115" s="100">
        <f t="shared" si="10"/>
        <v>0.44657534246575342</v>
      </c>
      <c r="X115" s="353">
        <f>_xll.qlInterpolationInterpolate(B12Minterpolation,V115,TRUE)</f>
        <v>2.7846989541415908E-3</v>
      </c>
      <c r="Y115" s="353">
        <f>_xll.qlInterpolationInterpolate(AbcdInterpolation12M,W115,TRUE)</f>
        <v>2.7802680583110134E-3</v>
      </c>
    </row>
    <row r="116" spans="22:25" x14ac:dyDescent="0.2">
      <c r="V116" s="114">
        <f>_xll.qlCalendarAdvance(Calendar,V115,"1D","f")</f>
        <v>42961</v>
      </c>
      <c r="W116" s="100">
        <f t="shared" si="10"/>
        <v>0.45479452054794522</v>
      </c>
      <c r="X116" s="353">
        <f>_xll.qlInterpolationInterpolate(B12Minterpolation,V116,TRUE)</f>
        <v>2.7909712883126356E-3</v>
      </c>
      <c r="Y116" s="353">
        <f>_xll.qlInterpolationInterpolate(AbcdInterpolation12M,W116,TRUE)</f>
        <v>2.7866728625411605E-3</v>
      </c>
    </row>
    <row r="117" spans="22:25" x14ac:dyDescent="0.2">
      <c r="V117" s="114">
        <f>_xll.qlCalendarAdvance(Calendar,V116,"1D","f")</f>
        <v>42962</v>
      </c>
      <c r="W117" s="100">
        <f t="shared" si="10"/>
        <v>0.45753424657534247</v>
      </c>
      <c r="X117" s="353">
        <f>_xll.qlInterpolationInterpolate(B12Minterpolation,V117,TRUE)</f>
        <v>2.7930311220452702E-3</v>
      </c>
      <c r="Y117" s="353">
        <f>_xll.qlInterpolationInterpolate(AbcdInterpolation12M,W117,TRUE)</f>
        <v>2.7887950619838431E-3</v>
      </c>
    </row>
    <row r="118" spans="22:25" x14ac:dyDescent="0.2">
      <c r="V118" s="114">
        <f>_xll.qlCalendarAdvance(Calendar,V117,"1D","f")</f>
        <v>42963</v>
      </c>
      <c r="W118" s="100">
        <f t="shared" si="10"/>
        <v>0.46027397260273972</v>
      </c>
      <c r="X118" s="353">
        <f>_xll.qlInterpolationInterpolate(B12Minterpolation,V118,TRUE)</f>
        <v>2.7950775454276657E-3</v>
      </c>
      <c r="Y118" s="353">
        <f>_xll.qlInterpolationInterpolate(AbcdInterpolation12M,W118,TRUE)</f>
        <v>2.7909109086051214E-3</v>
      </c>
    </row>
    <row r="119" spans="22:25" x14ac:dyDescent="0.2">
      <c r="V119" s="114">
        <f>_xll.qlCalendarAdvance(Calendar,V118,"1D","f")</f>
        <v>42964</v>
      </c>
      <c r="W119" s="100">
        <f t="shared" si="10"/>
        <v>0.46301369863013697</v>
      </c>
      <c r="X119" s="353">
        <f>_xll.qlInterpolationInterpolate(B12Minterpolation,V119,TRUE)</f>
        <v>2.7971117955469917E-3</v>
      </c>
      <c r="Y119" s="353">
        <f>_xll.qlInterpolationInterpolate(AbcdInterpolation12M,W119,TRUE)</f>
        <v>2.7930204113389527E-3</v>
      </c>
    </row>
    <row r="120" spans="22:25" x14ac:dyDescent="0.2">
      <c r="V120" s="114">
        <f>_xll.qlCalendarAdvance(Calendar,V119,"1D","f")</f>
        <v>42965</v>
      </c>
      <c r="W120" s="100">
        <f t="shared" si="10"/>
        <v>0.46575342465753422</v>
      </c>
      <c r="X120" s="353">
        <f>_xll.qlInterpolationInterpolate(B12Minterpolation,V120,TRUE)</f>
        <v>2.7991351094904192E-3</v>
      </c>
      <c r="Y120" s="353">
        <f>_xll.qlInterpolationInterpolate(AbcdInterpolation12M,W120,TRUE)</f>
        <v>2.79512357914305E-3</v>
      </c>
    </row>
    <row r="121" spans="22:25" x14ac:dyDescent="0.2">
      <c r="V121" s="114">
        <f>_xll.qlCalendarAdvance(Calendar,V120,"1D","f")</f>
        <v>42968</v>
      </c>
      <c r="W121" s="100">
        <f t="shared" si="10"/>
        <v>0.47397260273972602</v>
      </c>
      <c r="X121" s="353">
        <f>_xll.qlInterpolationInterpolate(B12Minterpolation,V121,TRUE)</f>
        <v>2.8051518051370123E-3</v>
      </c>
      <c r="Y121" s="353">
        <f>_xll.qlInterpolationInterpolate(AbcdInterpolation12M,W121,TRUE)</f>
        <v>2.801395162901676E-3</v>
      </c>
    </row>
    <row r="122" spans="22:25" x14ac:dyDescent="0.2">
      <c r="V122" s="114">
        <f>_xll.qlCalendarAdvance(Calendar,V121,"1D","f")</f>
        <v>42969</v>
      </c>
      <c r="W122" s="100">
        <f t="shared" si="10"/>
        <v>0.47671232876712327</v>
      </c>
      <c r="X122" s="353">
        <f>_xll.qlInterpolationInterpolate(B12Minterpolation,V122,TRUE)</f>
        <v>2.8071437452485476E-3</v>
      </c>
      <c r="Y122" s="353">
        <f>_xll.qlInterpolationInterpolate(AbcdInterpolation12M,W122,TRUE)</f>
        <v>2.8034730810244527E-3</v>
      </c>
    </row>
    <row r="123" spans="22:25" x14ac:dyDescent="0.2">
      <c r="V123" s="114">
        <f>_xll.qlCalendarAdvance(Calendar,V122,"1D","f")</f>
        <v>42970</v>
      </c>
      <c r="W123" s="100">
        <f t="shared" si="10"/>
        <v>0.47945205479452052</v>
      </c>
      <c r="X123" s="353">
        <f>_xll.qlInterpolationInterpolate(B12Minterpolation,V123,TRUE)</f>
        <v>2.8091309346200363E-3</v>
      </c>
      <c r="Y123" s="353">
        <f>_xll.qlInterpolationInterpolate(AbcdInterpolation12M,W123,TRUE)</f>
        <v>2.8055447093477365E-3</v>
      </c>
    </row>
    <row r="124" spans="22:25" x14ac:dyDescent="0.2">
      <c r="V124" s="114">
        <f>_xll.qlCalendarAdvance(Calendar,V123,"1D","f")</f>
        <v>42971</v>
      </c>
      <c r="W124" s="100">
        <f t="shared" si="10"/>
        <v>0.48219178082191783</v>
      </c>
      <c r="X124" s="353">
        <f>_xll.qlInterpolationInterpolate(B12Minterpolation,V124,TRUE)</f>
        <v>2.8111146103386477E-3</v>
      </c>
      <c r="Y124" s="353">
        <f>_xll.qlInterpolationInterpolate(AbcdInterpolation12M,W124,TRUE)</f>
        <v>2.8076100569629785E-3</v>
      </c>
    </row>
    <row r="125" spans="22:25" x14ac:dyDescent="0.2">
      <c r="V125" s="114">
        <f>_xll.qlCalendarAdvance(Calendar,V124,"1D","f")</f>
        <v>42972</v>
      </c>
      <c r="W125" s="100">
        <f t="shared" si="10"/>
        <v>0.48493150684931507</v>
      </c>
      <c r="X125" s="353">
        <f>_xll.qlInterpolationInterpolate(B12Minterpolation,V125,TRUE)</f>
        <v>2.8130960094915531E-3</v>
      </c>
      <c r="Y125" s="353">
        <f>_xll.qlInterpolationInterpolate(AbcdInterpolation12M,W125,TRUE)</f>
        <v>2.8096691329825094E-3</v>
      </c>
    </row>
    <row r="126" spans="22:25" x14ac:dyDescent="0.2">
      <c r="V126" s="114">
        <f>_xll.qlCalendarAdvance(Calendar,V125,"1D","f")</f>
        <v>42975</v>
      </c>
      <c r="W126" s="100">
        <f t="shared" si="10"/>
        <v>0.49315068493150682</v>
      </c>
      <c r="X126" s="353">
        <f>_xll.qlInterpolationInterpolate(B12Minterpolation,V126,TRUE)</f>
        <v>2.8190389184277339E-3</v>
      </c>
      <c r="Y126" s="353">
        <f>_xll.qlInterpolationInterpolate(AbcdInterpolation12M,W126,TRUE)</f>
        <v>2.8158088228944682E-3</v>
      </c>
    </row>
    <row r="127" spans="22:25" x14ac:dyDescent="0.2">
      <c r="V127" s="114">
        <f>_xll.qlCalendarAdvance(Calendar,V126,"1D","f")</f>
        <v>42976</v>
      </c>
      <c r="W127" s="100">
        <f t="shared" si="10"/>
        <v>0.49589041095890413</v>
      </c>
      <c r="X127" s="353">
        <f>_xll.qlInterpolationInterpolate(B12Minterpolation,V127,TRUE)</f>
        <v>2.8210235821895168E-3</v>
      </c>
      <c r="Y127" s="353">
        <f>_xll.qlInterpolationInterpolate(AbcdInterpolation12M,W127,TRUE)</f>
        <v>2.8178429040575819E-3</v>
      </c>
    </row>
    <row r="128" spans="22:25" x14ac:dyDescent="0.2">
      <c r="V128" s="114">
        <f>_xll.qlCalendarAdvance(Calendar,V127,"1D","f")</f>
        <v>42977</v>
      </c>
      <c r="W128" s="100">
        <f t="shared" si="10"/>
        <v>0.49863013698630138</v>
      </c>
      <c r="X128" s="353">
        <f>_xll.qlInterpolationInterpolate(B12Minterpolation,V128,TRUE)</f>
        <v>2.8230121548214449E-3</v>
      </c>
      <c r="Y128" s="353">
        <f>_xll.qlInterpolationInterpolate(AbcdInterpolation12M,W128,TRUE)</f>
        <v>2.8198707594856371E-3</v>
      </c>
    </row>
    <row r="129" spans="22:25" x14ac:dyDescent="0.2">
      <c r="V129" s="114">
        <f>_xll.qlCalendarAdvance(Calendar,V128,"1D","f")</f>
        <v>42978</v>
      </c>
      <c r="W129" s="100">
        <f t="shared" si="10"/>
        <v>0.50136986301369868</v>
      </c>
      <c r="X129" s="353">
        <f>_xll.qlInterpolationInterpolate(B12Minterpolation,V129,TRUE)</f>
        <v>2.8250058734106886E-3</v>
      </c>
      <c r="Y129" s="353">
        <f>_xll.qlInterpolationInterpolate(AbcdInterpolation12M,W129,TRUE)</f>
        <v>2.8218923984078912E-3</v>
      </c>
    </row>
    <row r="130" spans="22:25" x14ac:dyDescent="0.2">
      <c r="V130" s="114">
        <f>_xll.qlCalendarAdvance(Calendar,V129,"1D","f")</f>
        <v>42979</v>
      </c>
      <c r="W130" s="100">
        <f t="shared" si="10"/>
        <v>0.50410958904109593</v>
      </c>
      <c r="X130" s="353">
        <f>_xll.qlInterpolationInterpolate(B12Minterpolation,V130,TRUE)</f>
        <v>2.8270059750444185E-3</v>
      </c>
      <c r="Y130" s="353">
        <f>_xll.qlInterpolationInterpolate(AbcdInterpolation12M,W130,TRUE)</f>
        <v>2.8239078300717675E-3</v>
      </c>
    </row>
    <row r="131" spans="22:25" x14ac:dyDescent="0.2">
      <c r="V131" s="114">
        <f>_xll.qlCalendarAdvance(Calendar,V130,"1D","f")</f>
        <v>42982</v>
      </c>
      <c r="W131" s="100">
        <f t="shared" ref="W131:W194" si="11">(V131-EvaluationDate)/365</f>
        <v>0.51232876712328768</v>
      </c>
      <c r="X131" s="353">
        <f>_xll.qlInterpolationInterpolate(B12Minterpolation,V131,TRUE)</f>
        <v>2.8330569490842266E-3</v>
      </c>
      <c r="Y131" s="353">
        <f>_xll.qlInterpolationInterpolate(AbcdInterpolation12M,W131,TRUE)</f>
        <v>2.8299169742521633E-3</v>
      </c>
    </row>
    <row r="132" spans="22:25" x14ac:dyDescent="0.2">
      <c r="V132" s="114">
        <f>_xll.qlCalendarAdvance(Calendar,V131,"1D","f")</f>
        <v>42983</v>
      </c>
      <c r="W132" s="100">
        <f t="shared" si="11"/>
        <v>0.51506849315068493</v>
      </c>
      <c r="X132" s="353">
        <f>_xll.qlInterpolationInterpolate(B12Minterpolation,V132,TRUE)</f>
        <v>2.8350945759190974E-3</v>
      </c>
      <c r="Y132" s="353">
        <f>_xll.qlInterpolationInterpolate(AbcdInterpolation12M,W132,TRUE)</f>
        <v>2.8319076697073085E-3</v>
      </c>
    </row>
    <row r="133" spans="22:25" x14ac:dyDescent="0.2">
      <c r="V133" s="114">
        <f>_xll.qlCalendarAdvance(Calendar,V132,"1D","f")</f>
        <v>42984</v>
      </c>
      <c r="W133" s="100">
        <f t="shared" si="11"/>
        <v>0.51780821917808217</v>
      </c>
      <c r="X133" s="353">
        <f>_xll.qlInterpolationInterpolate(B12Minterpolation,V133,TRUE)</f>
        <v>2.8371425041432679E-3</v>
      </c>
      <c r="Y133" s="353">
        <f>_xll.qlInterpolationInterpolate(AbcdInterpolation12M,W133,TRUE)</f>
        <v>2.8338922044009777E-3</v>
      </c>
    </row>
    <row r="134" spans="22:25" x14ac:dyDescent="0.2">
      <c r="V134" s="114">
        <f>_xll.qlCalendarAdvance(Calendar,V133,"1D","f")</f>
        <v>42985</v>
      </c>
      <c r="W134" s="100">
        <f t="shared" si="11"/>
        <v>0.52054794520547942</v>
      </c>
      <c r="X134" s="353">
        <f>_xll.qlInterpolationInterpolate(B12Minterpolation,V134,TRUE)</f>
        <v>2.8391997037528717E-3</v>
      </c>
      <c r="Y134" s="353">
        <f>_xll.qlInterpolationInterpolate(AbcdInterpolation12M,W134,TRUE)</f>
        <v>2.8358705876820249E-3</v>
      </c>
    </row>
    <row r="135" spans="22:25" x14ac:dyDescent="0.2">
      <c r="V135" s="114">
        <f>_xll.qlCalendarAdvance(Calendar,V134,"1D","f")</f>
        <v>42986</v>
      </c>
      <c r="W135" s="100">
        <f t="shared" si="11"/>
        <v>0.52328767123287667</v>
      </c>
      <c r="X135" s="353">
        <f>_xll.qlInterpolationInterpolate(B12Minterpolation,V135,TRUE)</f>
        <v>2.8412651447440409E-3</v>
      </c>
      <c r="Y135" s="353">
        <f>_xll.qlInterpolationInterpolate(AbcdInterpolation12M,W135,TRUE)</f>
        <v>2.8378428289149858E-3</v>
      </c>
    </row>
    <row r="136" spans="22:25" x14ac:dyDescent="0.2">
      <c r="V136" s="114">
        <f>_xll.qlCalendarAdvance(Calendar,V135,"1D","f")</f>
        <v>42989</v>
      </c>
      <c r="W136" s="100">
        <f t="shared" si="11"/>
        <v>0.53150684931506853</v>
      </c>
      <c r="X136" s="353">
        <f>_xll.qlInterpolationInterpolate(B12Minterpolation,V136,TRUE)</f>
        <v>2.8475006159682723E-3</v>
      </c>
      <c r="Y136" s="353">
        <f>_xll.qlInterpolationInterpolate(AbcdInterpolation12M,W136,TRUE)</f>
        <v>2.8437227941988837E-3</v>
      </c>
    </row>
    <row r="137" spans="22:25" x14ac:dyDescent="0.2">
      <c r="V137" s="114">
        <f>_xll.qlCalendarAdvance(Calendar,V136,"1D","f")</f>
        <v>42990</v>
      </c>
      <c r="W137" s="100">
        <f t="shared" si="11"/>
        <v>0.53424657534246578</v>
      </c>
      <c r="X137" s="353">
        <f>_xll.qlInterpolationInterpolate(B12Minterpolation,V137,TRUE)</f>
        <v>2.8495887224470329E-3</v>
      </c>
      <c r="Y137" s="353">
        <f>_xll.qlInterpolationInterpolate(AbcdInterpolation12M,W137,TRUE)</f>
        <v>2.8456705611867535E-3</v>
      </c>
    </row>
    <row r="138" spans="22:25" x14ac:dyDescent="0.2">
      <c r="V138" s="114">
        <f>_xll.qlCalendarAdvance(Calendar,V137,"1D","f")</f>
        <v>42991</v>
      </c>
      <c r="W138" s="100">
        <f t="shared" si="11"/>
        <v>0.53698630136986303</v>
      </c>
      <c r="X138" s="353">
        <f>_xll.qlInterpolationInterpolate(B12Minterpolation,V138,TRUE)</f>
        <v>2.8516799202880235E-3</v>
      </c>
      <c r="Y138" s="353">
        <f>_xll.qlInterpolationInterpolate(AbcdInterpolation12M,W138,TRUE)</f>
        <v>2.8476122331727435E-3</v>
      </c>
    </row>
    <row r="139" spans="22:25" x14ac:dyDescent="0.2">
      <c r="V139" s="114">
        <f>_xll.qlCalendarAdvance(Calendar,V138,"1D","f")</f>
        <v>42992</v>
      </c>
      <c r="W139" s="100">
        <f t="shared" si="11"/>
        <v>0.53972602739726028</v>
      </c>
      <c r="X139" s="353">
        <f>_xll.qlInterpolationInterpolate(B12Minterpolation,V139,TRUE)</f>
        <v>2.8537731794873772E-3</v>
      </c>
      <c r="Y139" s="353">
        <f>_xll.qlInterpolationInterpolate(AbcdInterpolation12M,W139,TRUE)</f>
        <v>2.849547819608503E-3</v>
      </c>
    </row>
    <row r="140" spans="22:25" x14ac:dyDescent="0.2">
      <c r="V140" s="114">
        <f>_xll.qlCalendarAdvance(Calendar,V139,"1D","f")</f>
        <v>42993</v>
      </c>
      <c r="W140" s="100">
        <f t="shared" si="11"/>
        <v>0.54246575342465753</v>
      </c>
      <c r="X140" s="353">
        <f>_xll.qlInterpolationInterpolate(B12Minterpolation,V140,TRUE)</f>
        <v>2.8558674700412258E-3</v>
      </c>
      <c r="Y140" s="353">
        <f>_xll.qlInterpolationInterpolate(AbcdInterpolation12M,W140,TRUE)</f>
        <v>2.8514773299590781E-3</v>
      </c>
    </row>
    <row r="141" spans="22:25" x14ac:dyDescent="0.2">
      <c r="V141" s="114">
        <f>_xll.qlCalendarAdvance(Calendar,V140,"1D","f")</f>
        <v>42996</v>
      </c>
      <c r="W141" s="100">
        <f t="shared" si="11"/>
        <v>0.55068493150684927</v>
      </c>
      <c r="X141" s="353">
        <f>_xll.qlInterpolationInterpolate(B12Minterpolation,V141,TRUE)</f>
        <v>2.8621462297910741E-3</v>
      </c>
      <c r="Y141" s="353">
        <f>_xll.qlInterpolationInterpolate(AbcdInterpolation12M,W141,TRUE)</f>
        <v>2.8572294993444223E-3</v>
      </c>
    </row>
    <row r="142" spans="22:25" x14ac:dyDescent="0.2">
      <c r="V142" s="114">
        <f>_xll.qlCalendarAdvance(Calendar,V141,"1D","f")</f>
        <v>42997</v>
      </c>
      <c r="W142" s="100">
        <f t="shared" si="11"/>
        <v>0.55342465753424652</v>
      </c>
      <c r="X142" s="353">
        <f>_xll.qlInterpolationInterpolate(B12Minterpolation,V142,TRUE)</f>
        <v>2.8642343457242333E-3</v>
      </c>
      <c r="Y142" s="353">
        <f>_xll.qlInterpolationInterpolate(AbcdInterpolation12M,W142,TRUE)</f>
        <v>2.8591348002616171E-3</v>
      </c>
    </row>
    <row r="143" spans="22:25" x14ac:dyDescent="0.2">
      <c r="V143" s="114">
        <f>_xll.qlCalendarAdvance(Calendar,V142,"1D","f")</f>
        <v>42998</v>
      </c>
      <c r="W143" s="100">
        <f t="shared" si="11"/>
        <v>0.55616438356164388</v>
      </c>
      <c r="X143" s="353">
        <f>_xll.qlInterpolationInterpolate(B12Minterpolation,V143,TRUE)</f>
        <v>2.8663183429925524E-3</v>
      </c>
      <c r="Y143" s="353">
        <f>_xll.qlInterpolationInterpolate(AbcdInterpolation12M,W143,TRUE)</f>
        <v>2.8610340726088683E-3</v>
      </c>
    </row>
    <row r="144" spans="22:25" x14ac:dyDescent="0.2">
      <c r="V144" s="114">
        <f>_xll.qlCalendarAdvance(Calendar,V143,"1D","f")</f>
        <v>42999</v>
      </c>
      <c r="W144" s="100">
        <f t="shared" si="11"/>
        <v>0.55890410958904113</v>
      </c>
      <c r="X144" s="353">
        <f>_xll.qlInterpolationInterpolate(B12Minterpolation,V144,TRUE)</f>
        <v>2.868397191592164E-3</v>
      </c>
      <c r="Y144" s="353">
        <f>_xll.qlInterpolationInterpolate(AbcdInterpolation12M,W144,TRUE)</f>
        <v>2.8629273259251193E-3</v>
      </c>
    </row>
    <row r="145" spans="22:25" x14ac:dyDescent="0.2">
      <c r="V145" s="114">
        <f>_xll.qlCalendarAdvance(Calendar,V144,"1D","f")</f>
        <v>43000</v>
      </c>
      <c r="W145" s="100">
        <f t="shared" si="11"/>
        <v>0.56164383561643838</v>
      </c>
      <c r="X145" s="353">
        <f>_xll.qlInterpolationInterpolate(B12Minterpolation,V145,TRUE)</f>
        <v>2.8704698615192007E-3</v>
      </c>
      <c r="Y145" s="353">
        <f>_xll.qlInterpolationInterpolate(AbcdInterpolation12M,W145,TRUE)</f>
        <v>2.8648145697605805E-3</v>
      </c>
    </row>
    <row r="146" spans="22:25" x14ac:dyDescent="0.2">
      <c r="V146" s="114">
        <f>_xll.qlCalendarAdvance(Calendar,V145,"1D","f")</f>
        <v>43003</v>
      </c>
      <c r="W146" s="100">
        <f t="shared" si="11"/>
        <v>0.56986301369863013</v>
      </c>
      <c r="X146" s="353">
        <f>_xll.qlInterpolationInterpolate(B12Minterpolation,V146,TRUE)</f>
        <v>2.8766404992261914E-3</v>
      </c>
      <c r="Y146" s="353">
        <f>_xll.qlInterpolationInterpolate(AbcdInterpolation12M,W146,TRUE)</f>
        <v>2.8704403400474266E-3</v>
      </c>
    </row>
    <row r="147" spans="22:25" x14ac:dyDescent="0.2">
      <c r="V147" s="114">
        <f>_xll.qlCalendarAdvance(Calendar,V146,"1D","f")</f>
        <v>43004</v>
      </c>
      <c r="W147" s="100">
        <f t="shared" si="11"/>
        <v>0.57260273972602738</v>
      </c>
      <c r="X147" s="353">
        <f>_xll.qlInterpolationInterpolate(B12Minterpolation,V147,TRUE)</f>
        <v>2.8786781544242576E-3</v>
      </c>
      <c r="Y147" s="353">
        <f>_xll.qlInterpolationInterpolate(AbcdInterpolation12M,W147,TRUE)</f>
        <v>2.872303641677293E-3</v>
      </c>
    </row>
    <row r="148" spans="22:25" x14ac:dyDescent="0.2">
      <c r="V148" s="114">
        <f>_xll.qlCalendarAdvance(Calendar,V147,"1D","f")</f>
        <v>43005</v>
      </c>
      <c r="W148" s="100">
        <f t="shared" si="11"/>
        <v>0.57534246575342463</v>
      </c>
      <c r="X148" s="353">
        <f>_xll.qlInterpolationInterpolate(B12Minterpolation,V148,TRUE)</f>
        <v>2.8807044809304135E-3</v>
      </c>
      <c r="Y148" s="353">
        <f>_xll.qlInterpolationInterpolate(AbcdInterpolation12M,W148,TRUE)</f>
        <v>2.8741609817365429E-3</v>
      </c>
    </row>
    <row r="149" spans="22:25" x14ac:dyDescent="0.2">
      <c r="V149" s="114">
        <f>_xll.qlCalendarAdvance(Calendar,V148,"1D","f")</f>
        <v>43006</v>
      </c>
      <c r="W149" s="100">
        <f t="shared" si="11"/>
        <v>0.57808219178082187</v>
      </c>
      <c r="X149" s="353">
        <f>_xll.qlInterpolationInterpolate(B12Minterpolation,V149,TRUE)</f>
        <v>2.8827184487407913E-3</v>
      </c>
      <c r="Y149" s="353">
        <f>_xll.qlInterpolationInterpolate(AbcdInterpolation12M,W149,TRUE)</f>
        <v>2.8760123698370775E-3</v>
      </c>
    </row>
    <row r="150" spans="22:25" x14ac:dyDescent="0.2">
      <c r="V150" s="114">
        <f>_xll.qlCalendarAdvance(Calendar,V149,"1D","f")</f>
        <v>43007</v>
      </c>
      <c r="W150" s="100">
        <f t="shared" si="11"/>
        <v>0.58082191780821912</v>
      </c>
      <c r="X150" s="353">
        <f>_xll.qlInterpolationInterpolate(B12Minterpolation,V150,TRUE)</f>
        <v>2.8847190278515245E-3</v>
      </c>
      <c r="Y150" s="353">
        <f>_xll.qlInterpolationInterpolate(AbcdInterpolation12M,W150,TRUE)</f>
        <v>2.8778578156001219E-3</v>
      </c>
    </row>
    <row r="151" spans="22:25" x14ac:dyDescent="0.2">
      <c r="V151" s="114">
        <f>_xll.qlCalendarAdvance(Calendar,V150,"1D","f")</f>
        <v>43010</v>
      </c>
      <c r="W151" s="100">
        <f t="shared" si="11"/>
        <v>0.58904109589041098</v>
      </c>
      <c r="X151" s="353">
        <f>_xll.qlInterpolationInterpolate(B12Minterpolation,V151,TRUE)</f>
        <v>2.8906301329471827E-3</v>
      </c>
      <c r="Y151" s="353">
        <f>_xll.qlInterpolationInterpolate(AbcdInterpolation12M,W151,TRUE)</f>
        <v>2.8833585952106906E-3</v>
      </c>
    </row>
    <row r="152" spans="22:25" x14ac:dyDescent="0.2">
      <c r="V152" s="114">
        <f>_xll.qlCalendarAdvance(Calendar,V151,"1D","f")</f>
        <v>43011</v>
      </c>
      <c r="W152" s="100">
        <f t="shared" si="11"/>
        <v>0.59178082191780823</v>
      </c>
      <c r="X152" s="353">
        <f>_xll.qlInterpolationInterpolate(B12Minterpolation,V152,TRUE)</f>
        <v>2.8925668572206643E-3</v>
      </c>
      <c r="Y152" s="353">
        <f>_xll.qlInterpolationInterpolate(AbcdInterpolation12M,W152,TRUE)</f>
        <v>2.8851803680130707E-3</v>
      </c>
    </row>
    <row r="153" spans="22:25" x14ac:dyDescent="0.2">
      <c r="V153" s="114">
        <f>_xll.qlCalendarAdvance(Calendar,V152,"1D","f")</f>
        <v>43012</v>
      </c>
      <c r="W153" s="100">
        <f t="shared" si="11"/>
        <v>0.59452054794520548</v>
      </c>
      <c r="X153" s="353">
        <f>_xll.qlInterpolationInterpolate(B12Minterpolation,V153,TRUE)</f>
        <v>2.8944852999507327E-3</v>
      </c>
      <c r="Y153" s="353">
        <f>_xll.qlInterpolationInterpolate(AbcdInterpolation12M,W153,TRUE)</f>
        <v>2.8869962467146073E-3</v>
      </c>
    </row>
    <row r="154" spans="22:25" x14ac:dyDescent="0.2">
      <c r="V154" s="114">
        <f>_xll.qlCalendarAdvance(Calendar,V153,"1D","f")</f>
        <v>43013</v>
      </c>
      <c r="W154" s="100">
        <f t="shared" si="11"/>
        <v>0.59726027397260273</v>
      </c>
      <c r="X154" s="353">
        <f>_xll.qlInterpolationInterpolate(B12Minterpolation,V154,TRUE)</f>
        <v>2.8963857170113596E-3</v>
      </c>
      <c r="Y154" s="353">
        <f>_xll.qlInterpolationInterpolate(AbcdInterpolation12M,W154,TRUE)</f>
        <v>2.8888062409869377E-3</v>
      </c>
    </row>
    <row r="155" spans="22:25" x14ac:dyDescent="0.2">
      <c r="V155" s="114">
        <f>_xll.qlCalendarAdvance(Calendar,V154,"1D","f")</f>
        <v>43014</v>
      </c>
      <c r="W155" s="100">
        <f t="shared" si="11"/>
        <v>0.6</v>
      </c>
      <c r="X155" s="353">
        <f>_xll.qlInterpolationInterpolate(B12Minterpolation,V155,TRUE)</f>
        <v>2.8982686214520832E-3</v>
      </c>
      <c r="Y155" s="353">
        <f>_xll.qlInterpolationInterpolate(AbcdInterpolation12M,W155,TRUE)</f>
        <v>2.8906103605092172E-3</v>
      </c>
    </row>
    <row r="156" spans="22:25" x14ac:dyDescent="0.2">
      <c r="V156" s="114">
        <f>_xll.qlCalendarAdvance(Calendar,V155,"1D","f")</f>
        <v>43017</v>
      </c>
      <c r="W156" s="100">
        <f t="shared" si="11"/>
        <v>0.60821917808219184</v>
      </c>
      <c r="X156" s="353">
        <f>_xll.qlInterpolationInterpolate(B12Minterpolation,V156,TRUE)</f>
        <v>2.9038173895502236E-3</v>
      </c>
      <c r="Y156" s="353">
        <f>_xll.qlInterpolationInterpolate(AbcdInterpolation12M,W156,TRUE)</f>
        <v>2.8959875674747599E-3</v>
      </c>
    </row>
    <row r="157" spans="22:25" x14ac:dyDescent="0.2">
      <c r="V157" s="114">
        <f>_xll.qlCalendarAdvance(Calendar,V156,"1D","f")</f>
        <v>43018</v>
      </c>
      <c r="W157" s="100">
        <f t="shared" si="11"/>
        <v>0.61095890410958908</v>
      </c>
      <c r="X157" s="353">
        <f>_xll.qlInterpolationInterpolate(B12Minterpolation,V157,TRUE)</f>
        <v>2.9056353740067233E-3</v>
      </c>
      <c r="Y157" s="353">
        <f>_xll.qlInterpolationInterpolate(AbcdInterpolation12M,W157,TRUE)</f>
        <v>2.897768284930016E-3</v>
      </c>
    </row>
    <row r="158" spans="22:25" x14ac:dyDescent="0.2">
      <c r="V158" s="114">
        <f>_xll.qlCalendarAdvance(Calendar,V157,"1D","f")</f>
        <v>43019</v>
      </c>
      <c r="W158" s="100">
        <f t="shared" si="11"/>
        <v>0.61369863013698633</v>
      </c>
      <c r="X158" s="353">
        <f>_xll.qlInterpolationInterpolate(B12Minterpolation,V158,TRUE)</f>
        <v>2.9074384110910141E-3</v>
      </c>
      <c r="Y158" s="353">
        <f>_xll.qlInterpolationInterpolate(AbcdInterpolation12M,W158,TRUE)</f>
        <v>2.8995431761351348E-3</v>
      </c>
    </row>
    <row r="159" spans="22:25" x14ac:dyDescent="0.2">
      <c r="V159" s="114">
        <f>_xll.qlCalendarAdvance(Calendar,V158,"1D","f")</f>
        <v>43020</v>
      </c>
      <c r="W159" s="100">
        <f t="shared" si="11"/>
        <v>0.61643835616438358</v>
      </c>
      <c r="X159" s="353">
        <f>_xll.qlInterpolationInterpolate(B12Minterpolation,V159,TRUE)</f>
        <v>2.9092270138526347E-3</v>
      </c>
      <c r="Y159" s="353">
        <f>_xll.qlInterpolationInterpolate(AbcdInterpolation12M,W159,TRUE)</f>
        <v>2.9013122508092719E-3</v>
      </c>
    </row>
    <row r="160" spans="22:25" x14ac:dyDescent="0.2">
      <c r="V160" s="114">
        <f>_xll.qlCalendarAdvance(Calendar,V159,"1D","f")</f>
        <v>43021</v>
      </c>
      <c r="W160" s="100">
        <f t="shared" si="11"/>
        <v>0.61917808219178083</v>
      </c>
      <c r="X160" s="353">
        <f>_xll.qlInterpolationInterpolate(B12Minterpolation,V160,TRUE)</f>
        <v>2.9110016953411244E-3</v>
      </c>
      <c r="Y160" s="353">
        <f>_xll.qlInterpolationInterpolate(AbcdInterpolation12M,W160,TRUE)</f>
        <v>2.903075518677425E-3</v>
      </c>
    </row>
    <row r="161" spans="22:25" x14ac:dyDescent="0.2">
      <c r="V161" s="114">
        <f>_xll.qlCalendarAdvance(Calendar,V160,"1D","f")</f>
        <v>43024</v>
      </c>
      <c r="W161" s="100">
        <f t="shared" si="11"/>
        <v>0.62739726027397258</v>
      </c>
      <c r="X161" s="353">
        <f>_xll.qlInterpolationInterpolate(B12Minterpolation,V161,TRUE)</f>
        <v>2.9162473426631945E-3</v>
      </c>
      <c r="Y161" s="353">
        <f>_xll.qlInterpolationInterpolate(AbcdInterpolation12M,W161,TRUE)</f>
        <v>2.9083305787788688E-3</v>
      </c>
    </row>
    <row r="162" spans="22:25" x14ac:dyDescent="0.2">
      <c r="V162" s="114">
        <f>_xll.qlCalendarAdvance(Calendar,V161,"1D","f")</f>
        <v>43025</v>
      </c>
      <c r="W162" s="100">
        <f t="shared" si="11"/>
        <v>0.63013698630136983</v>
      </c>
      <c r="X162" s="353">
        <f>_xll.qlInterpolationInterpolate(B12Minterpolation,V162,TRUE)</f>
        <v>2.9179714695545477E-3</v>
      </c>
      <c r="Y162" s="353">
        <f>_xll.qlInterpolationInterpolate(AbcdInterpolation12M,W162,TRUE)</f>
        <v>2.9100707167820585E-3</v>
      </c>
    </row>
    <row r="163" spans="22:25" x14ac:dyDescent="0.2">
      <c r="V163" s="114">
        <f>_xll.qlCalendarAdvance(Calendar,V162,"1D","f")</f>
        <v>43026</v>
      </c>
      <c r="W163" s="100">
        <f t="shared" si="11"/>
        <v>0.63287671232876708</v>
      </c>
      <c r="X163" s="353">
        <f>_xll.qlInterpolationInterpolate(B12Minterpolation,V163,TRUE)</f>
        <v>2.919684240420464E-3</v>
      </c>
      <c r="Y163" s="353">
        <f>_xll.qlInterpolationInterpolate(AbcdInterpolation12M,W163,TRUE)</f>
        <v>2.9118050966840648E-3</v>
      </c>
    </row>
    <row r="164" spans="22:25" x14ac:dyDescent="0.2">
      <c r="V164" s="114">
        <f>_xll.qlCalendarAdvance(Calendar,V163,"1D","f")</f>
        <v>43027</v>
      </c>
      <c r="W164" s="100">
        <f t="shared" si="11"/>
        <v>0.63561643835616444</v>
      </c>
      <c r="X164" s="353">
        <f>_xll.qlInterpolationInterpolate(B12Minterpolation,V164,TRUE)</f>
        <v>2.9213861683104821E-3</v>
      </c>
      <c r="Y164" s="353">
        <f>_xll.qlInterpolationInterpolate(AbcdInterpolation12M,W164,TRUE)</f>
        <v>2.9135337282402613E-3</v>
      </c>
    </row>
    <row r="165" spans="22:25" x14ac:dyDescent="0.2">
      <c r="V165" s="114">
        <f>_xll.qlCalendarAdvance(Calendar,V164,"1D","f")</f>
        <v>43028</v>
      </c>
      <c r="W165" s="100">
        <f t="shared" si="11"/>
        <v>0.63835616438356169</v>
      </c>
      <c r="X165" s="353">
        <f>_xll.qlInterpolationInterpolate(B12Minterpolation,V165,TRUE)</f>
        <v>2.9230777662741414E-3</v>
      </c>
      <c r="Y165" s="353">
        <f>_xll.qlInterpolationInterpolate(AbcdInterpolation12M,W165,TRUE)</f>
        <v>2.9152566212103459E-3</v>
      </c>
    </row>
    <row r="166" spans="22:25" x14ac:dyDescent="0.2">
      <c r="V166" s="114">
        <f>_xll.qlCalendarAdvance(Calendar,V165,"1D","f")</f>
        <v>43031</v>
      </c>
      <c r="W166" s="100">
        <f t="shared" si="11"/>
        <v>0.64657534246575343</v>
      </c>
      <c r="X166" s="353">
        <f>_xll.qlInterpolationInterpolate(B12Minterpolation,V166,TRUE)</f>
        <v>2.928095711102351E-3</v>
      </c>
      <c r="Y166" s="353">
        <f>_xll.qlInterpolationInterpolate(AbcdInterpolation12M,W166,TRUE)</f>
        <v>2.9203909662609672E-3</v>
      </c>
    </row>
    <row r="167" spans="22:25" x14ac:dyDescent="0.2">
      <c r="V167" s="114">
        <f>_xll.qlCalendarAdvance(Calendar,V166,"1D","f")</f>
        <v>43032</v>
      </c>
      <c r="W167" s="100">
        <f t="shared" si="11"/>
        <v>0.64931506849315068</v>
      </c>
      <c r="X167" s="353">
        <f>_xll.qlInterpolationInterpolate(B12Minterpolation,V167,TRUE)</f>
        <v>2.9297511198559615E-3</v>
      </c>
      <c r="Y167" s="353">
        <f>_xll.qlInterpolationInterpolate(AbcdInterpolation12M,W167,TRUE)</f>
        <v>2.9220910025622693E-3</v>
      </c>
    </row>
    <row r="168" spans="22:25" x14ac:dyDescent="0.2">
      <c r="V168" s="114">
        <f>_xll.qlCalendarAdvance(Calendar,V167,"1D","f")</f>
        <v>43033</v>
      </c>
      <c r="W168" s="100">
        <f t="shared" si="11"/>
        <v>0.65205479452054793</v>
      </c>
      <c r="X168" s="353">
        <f>_xll.qlInterpolationInterpolate(B12Minterpolation,V168,TRUE)</f>
        <v>2.9313987639309068E-3</v>
      </c>
      <c r="Y168" s="353">
        <f>_xll.qlInterpolationInterpolate(AbcdInterpolation12M,W168,TRUE)</f>
        <v>2.9237853491332036E-3</v>
      </c>
    </row>
    <row r="169" spans="22:25" x14ac:dyDescent="0.2">
      <c r="V169" s="114">
        <f>_xll.qlCalendarAdvance(Calendar,V168,"1D","f")</f>
        <v>43034</v>
      </c>
      <c r="W169" s="100">
        <f t="shared" si="11"/>
        <v>0.65479452054794518</v>
      </c>
      <c r="X169" s="353">
        <f>_xll.qlInterpolationInterpolate(B12Minterpolation,V169,TRUE)</f>
        <v>2.9330391563767259E-3</v>
      </c>
      <c r="Y169" s="353">
        <f>_xll.qlInterpolationInterpolate(AbcdInterpolation12M,W169,TRUE)</f>
        <v>2.9254740157549598E-3</v>
      </c>
    </row>
    <row r="170" spans="22:25" x14ac:dyDescent="0.2">
      <c r="V170" s="114">
        <f>_xll.qlCalendarAdvance(Calendar,V169,"1D","f")</f>
        <v>43035</v>
      </c>
      <c r="W170" s="100">
        <f t="shared" si="11"/>
        <v>0.65753424657534243</v>
      </c>
      <c r="X170" s="353">
        <f>_xll.qlInterpolationInterpolate(B12Minterpolation,V170,TRUE)</f>
        <v>2.9346728102429579E-3</v>
      </c>
      <c r="Y170" s="353">
        <f>_xll.qlInterpolationInterpolate(AbcdInterpolation12M,W170,TRUE)</f>
        <v>2.9271570122116151E-3</v>
      </c>
    </row>
    <row r="171" spans="22:25" x14ac:dyDescent="0.2">
      <c r="V171" s="114">
        <f>_xll.qlCalendarAdvance(Calendar,V170,"1D","f")</f>
        <v>43038</v>
      </c>
      <c r="W171" s="100">
        <f t="shared" si="11"/>
        <v>0.66575342465753429</v>
      </c>
      <c r="X171" s="353">
        <f>_xll.qlInterpolationInterpolate(B12Minterpolation,V171,TRUE)</f>
        <v>2.9395384708595178E-3</v>
      </c>
      <c r="Y171" s="353">
        <f>_xll.qlInterpolationInterpolate(AbcdInterpolation12M,W171,TRUE)</f>
        <v>2.9321720784708555E-3</v>
      </c>
    </row>
    <row r="172" spans="22:25" x14ac:dyDescent="0.2">
      <c r="V172" s="114">
        <f>_xll.qlCalendarAdvance(Calendar,V171,"1D","f")</f>
        <v>43039</v>
      </c>
      <c r="W172" s="100">
        <f t="shared" si="11"/>
        <v>0.66849315068493154</v>
      </c>
      <c r="X172" s="353">
        <f>_xll.qlInterpolationInterpolate(B12Minterpolation,V172,TRUE)</f>
        <v>2.9411503009027888E-3</v>
      </c>
      <c r="Y172" s="353">
        <f>_xll.qlInterpolationInterpolate(AbcdInterpolation12M,W172,TRUE)</f>
        <v>2.9338324921587286E-3</v>
      </c>
    </row>
    <row r="173" spans="22:25" x14ac:dyDescent="0.2">
      <c r="V173" s="114">
        <f>_xll.qlCalendarAdvance(Calendar,V172,"1D","f")</f>
        <v>43040</v>
      </c>
      <c r="W173" s="100">
        <f t="shared" si="11"/>
        <v>0.67123287671232879</v>
      </c>
      <c r="X173" s="353">
        <f>_xll.qlInterpolationInterpolate(B12Minterpolation,V173,TRUE)</f>
        <v>2.9427579576141666E-3</v>
      </c>
      <c r="Y173" s="353">
        <f>_xll.qlInterpolationInterpolate(AbcdInterpolation12M,W173,TRUE)</f>
        <v>2.9354872846383876E-3</v>
      </c>
    </row>
    <row r="174" spans="22:25" x14ac:dyDescent="0.2">
      <c r="V174" s="114">
        <f>_xll.qlCalendarAdvance(Calendar,V173,"1D","f")</f>
        <v>43041</v>
      </c>
      <c r="W174" s="100">
        <f t="shared" si="11"/>
        <v>0.67397260273972603</v>
      </c>
      <c r="X174" s="353">
        <f>_xll.qlInterpolationInterpolate(B12Minterpolation,V174,TRUE)</f>
        <v>2.9443619540431899E-3</v>
      </c>
      <c r="Y174" s="353">
        <f>_xll.qlInterpolationInterpolate(AbcdInterpolation12M,W174,TRUE)</f>
        <v>2.9371364657072058E-3</v>
      </c>
    </row>
    <row r="175" spans="22:25" x14ac:dyDescent="0.2">
      <c r="V175" s="114">
        <f>_xll.qlCalendarAdvance(Calendar,V174,"1D","f")</f>
        <v>43042</v>
      </c>
      <c r="W175" s="100">
        <f t="shared" si="11"/>
        <v>0.67671232876712328</v>
      </c>
      <c r="X175" s="353">
        <f>_xll.qlInterpolationInterpolate(B12Minterpolation,V175,TRUE)</f>
        <v>2.9459628032393981E-3</v>
      </c>
      <c r="Y175" s="353">
        <f>_xll.qlInterpolationInterpolate(AbcdInterpolation12M,W175,TRUE)</f>
        <v>2.9387800451641209E-3</v>
      </c>
    </row>
    <row r="176" spans="22:25" x14ac:dyDescent="0.2">
      <c r="V176" s="114">
        <f>_xll.qlCalendarAdvance(Calendar,V175,"1D","f")</f>
        <v>43045</v>
      </c>
      <c r="W176" s="100">
        <f t="shared" si="11"/>
        <v>0.68493150684931503</v>
      </c>
      <c r="X176" s="353">
        <f>_xll.qlInterpolationInterpolate(B12Minterpolation,V176,TRUE)</f>
        <v>2.9507481123740814E-3</v>
      </c>
      <c r="Y176" s="353">
        <f>_xll.qlInterpolationInterpolate(AbcdInterpolation12M,W176,TRUE)</f>
        <v>2.9436772718726386E-3</v>
      </c>
    </row>
    <row r="177" spans="22:25" x14ac:dyDescent="0.2">
      <c r="V177" s="114">
        <f>_xll.qlCalendarAdvance(Calendar,V176,"1D","f")</f>
        <v>43046</v>
      </c>
      <c r="W177" s="100">
        <f t="shared" si="11"/>
        <v>0.68767123287671228</v>
      </c>
      <c r="X177" s="353">
        <f>_xll.qlInterpolationInterpolate(B12Minterpolation,V177,TRUE)</f>
        <v>2.9523367266366322E-3</v>
      </c>
      <c r="Y177" s="353">
        <f>_xll.qlInterpolationInterpolate(AbcdInterpolation12M,W177,TRUE)</f>
        <v>2.945298542896495E-3</v>
      </c>
    </row>
    <row r="178" spans="22:25" x14ac:dyDescent="0.2">
      <c r="V178" s="114">
        <f>_xll.qlCalendarAdvance(Calendar,V177,"1D","f")</f>
        <v>43047</v>
      </c>
      <c r="W178" s="100">
        <f t="shared" si="11"/>
        <v>0.69041095890410964</v>
      </c>
      <c r="X178" s="353">
        <f>_xll.qlInterpolationInterpolate(B12Minterpolation,V178,TRUE)</f>
        <v>2.9539216606452295E-3</v>
      </c>
      <c r="Y178" s="353">
        <f>_xll.qlInterpolationInterpolate(AbcdInterpolation12M,W178,TRUE)</f>
        <v>2.9469142613204919E-3</v>
      </c>
    </row>
    <row r="179" spans="22:25" x14ac:dyDescent="0.2">
      <c r="V179" s="114">
        <f>_xll.qlCalendarAdvance(Calendar,V178,"1D","f")</f>
        <v>43048</v>
      </c>
      <c r="W179" s="100">
        <f t="shared" si="11"/>
        <v>0.69315068493150689</v>
      </c>
      <c r="X179" s="353">
        <f>_xll.qlInterpolationInterpolate(B12Minterpolation,V179,TRUE)</f>
        <v>2.9555026528822028E-3</v>
      </c>
      <c r="Y179" s="353">
        <f>_xll.qlInterpolationInterpolate(AbcdInterpolation12M,W179,TRUE)</f>
        <v>2.9485244369492833E-3</v>
      </c>
    </row>
    <row r="180" spans="22:25" x14ac:dyDescent="0.2">
      <c r="V180" s="114">
        <f>_xll.qlCalendarAdvance(Calendar,V179,"1D","f")</f>
        <v>43049</v>
      </c>
      <c r="W180" s="100">
        <f t="shared" si="11"/>
        <v>0.69589041095890414</v>
      </c>
      <c r="X180" s="353">
        <f>_xll.qlInterpolationInterpolate(B12Minterpolation,V180,TRUE)</f>
        <v>2.9570794418298839E-3</v>
      </c>
      <c r="Y180" s="353">
        <f>_xll.qlInterpolationInterpolate(AbcdInterpolation12M,W180,TRUE)</f>
        <v>2.9501290795878885E-3</v>
      </c>
    </row>
    <row r="181" spans="22:25" x14ac:dyDescent="0.2">
      <c r="V181" s="114">
        <f>_xll.qlCalendarAdvance(Calendar,V180,"1D","f")</f>
        <v>43052</v>
      </c>
      <c r="W181" s="100">
        <f t="shared" si="11"/>
        <v>0.70410958904109588</v>
      </c>
      <c r="X181" s="353">
        <f>_xll.qlInterpolationInterpolate(B12Minterpolation,V181,TRUE)</f>
        <v>2.9617819737604769E-3</v>
      </c>
      <c r="Y181" s="353">
        <f>_xll.qlInterpolationInterpolate(AbcdInterpolation12M,W181,TRUE)</f>
        <v>2.9549099076146713E-3</v>
      </c>
    </row>
    <row r="182" spans="22:25" x14ac:dyDescent="0.2">
      <c r="V182" s="114">
        <f>_xll.qlCalendarAdvance(Calendar,V181,"1D","f")</f>
        <v>43053</v>
      </c>
      <c r="W182" s="100">
        <f t="shared" si="11"/>
        <v>0.70684931506849313</v>
      </c>
      <c r="X182" s="353">
        <f>_xll.qlInterpolationInterpolate(B12Minterpolation,V182,TRUE)</f>
        <v>2.9633393343742936E-3</v>
      </c>
      <c r="Y182" s="353">
        <f>_xll.qlInterpolationInterpolate(AbcdInterpolation12M,W182,TRUE)</f>
        <v>2.9564925163440992E-3</v>
      </c>
    </row>
    <row r="183" spans="22:25" x14ac:dyDescent="0.2">
      <c r="V183" s="114">
        <f>_xll.qlCalendarAdvance(Calendar,V182,"1D","f")</f>
        <v>43054</v>
      </c>
      <c r="W183" s="100">
        <f t="shared" si="11"/>
        <v>0.70958904109589038</v>
      </c>
      <c r="X183" s="353">
        <f>_xll.qlInterpolationInterpolate(B12Minterpolation,V183,TRUE)</f>
        <v>2.9648911841104707E-3</v>
      </c>
      <c r="Y183" s="353">
        <f>_xll.qlInterpolationInterpolate(AbcdInterpolation12M,W183,TRUE)</f>
        <v>2.9580696411080588E-3</v>
      </c>
    </row>
    <row r="184" spans="22:25" x14ac:dyDescent="0.2">
      <c r="V184" s="114">
        <f>_xll.qlCalendarAdvance(Calendar,V183,"1D","f")</f>
        <v>43055</v>
      </c>
      <c r="W184" s="100">
        <f t="shared" si="11"/>
        <v>0.71232876712328763</v>
      </c>
      <c r="X184" s="353">
        <f>_xll.qlInterpolationInterpolate(B12Minterpolation,V184,TRUE)</f>
        <v>2.966437261451339E-3</v>
      </c>
      <c r="Y184" s="353">
        <f>_xll.qlInterpolationInterpolate(AbcdInterpolation12M,W184,TRUE)</f>
        <v>2.9596412917102881E-3</v>
      </c>
    </row>
    <row r="185" spans="22:25" x14ac:dyDescent="0.2">
      <c r="V185" s="114">
        <f>_xll.qlCalendarAdvance(Calendar,V184,"1D","f")</f>
        <v>43056</v>
      </c>
      <c r="W185" s="100">
        <f t="shared" si="11"/>
        <v>0.71506849315068488</v>
      </c>
      <c r="X185" s="353">
        <f>_xll.qlInterpolationInterpolate(B12Minterpolation,V185,TRUE)</f>
        <v>2.9679773048792292E-3</v>
      </c>
      <c r="Y185" s="353">
        <f>_xll.qlInterpolationInterpolate(AbcdInterpolation12M,W185,TRUE)</f>
        <v>2.9612074779537772E-3</v>
      </c>
    </row>
    <row r="186" spans="22:25" x14ac:dyDescent="0.2">
      <c r="V186" s="114">
        <f>_xll.qlCalendarAdvance(Calendar,V185,"1D","f")</f>
        <v>43059</v>
      </c>
      <c r="W186" s="100">
        <f t="shared" si="11"/>
        <v>0.72328767123287674</v>
      </c>
      <c r="X186" s="353">
        <f>_xll.qlInterpolationInterpolate(B12Minterpolation,V186,TRUE)</f>
        <v>2.9725586165083376E-3</v>
      </c>
      <c r="Y186" s="353">
        <f>_xll.qlInterpolationInterpolate(AbcdInterpolation12M,W186,TRUE)</f>
        <v>2.9658733485469716E-3</v>
      </c>
    </row>
    <row r="187" spans="22:25" x14ac:dyDescent="0.2">
      <c r="V187" s="114">
        <f>_xll.qlCalendarAdvance(Calendar,V186,"1D","f")</f>
        <v>43060</v>
      </c>
      <c r="W187" s="100">
        <f t="shared" si="11"/>
        <v>0.72602739726027399</v>
      </c>
      <c r="X187" s="353">
        <f>_xll.qlInterpolationInterpolate(B12Minterpolation,V187,TRUE)</f>
        <v>2.9740719091076217E-3</v>
      </c>
      <c r="Y187" s="353">
        <f>_xll.qlInterpolationInterpolate(AbcdInterpolation12M,W187,TRUE)</f>
        <v>2.9674177753647459E-3</v>
      </c>
    </row>
    <row r="188" spans="22:25" x14ac:dyDescent="0.2">
      <c r="V188" s="114">
        <f>_xll.qlCalendarAdvance(Calendar,V187,"1D","f")</f>
        <v>43061</v>
      </c>
      <c r="W188" s="100">
        <f t="shared" si="11"/>
        <v>0.72876712328767124</v>
      </c>
      <c r="X188" s="353">
        <f>_xll.qlInterpolationInterpolate(B12Minterpolation,V188,TRUE)</f>
        <v>2.9755778602055805E-3</v>
      </c>
      <c r="Y188" s="353">
        <f>_xll.qlInterpolationInterpolate(AbcdInterpolation12M,W188,TRUE)</f>
        <v>2.9689567868219553E-3</v>
      </c>
    </row>
    <row r="189" spans="22:25" x14ac:dyDescent="0.2">
      <c r="V189" s="114">
        <f>_xll.qlCalendarAdvance(Calendar,V188,"1D","f")</f>
        <v>43062</v>
      </c>
      <c r="W189" s="100">
        <f t="shared" si="11"/>
        <v>0.73150684931506849</v>
      </c>
      <c r="X189" s="353">
        <f>_xll.qlInterpolationInterpolate(B12Minterpolation,V189,TRUE)</f>
        <v>2.9770762082845454E-3</v>
      </c>
      <c r="Y189" s="353">
        <f>_xll.qlInterpolationInterpolate(AbcdInterpolation12M,W189,TRUE)</f>
        <v>2.9704903927138563E-3</v>
      </c>
    </row>
    <row r="190" spans="22:25" x14ac:dyDescent="0.2">
      <c r="V190" s="114">
        <f>_xll.qlCalendarAdvance(Calendar,V189,"1D","f")</f>
        <v>43063</v>
      </c>
      <c r="W190" s="100">
        <f t="shared" si="11"/>
        <v>0.73424657534246573</v>
      </c>
      <c r="X190" s="353">
        <f>_xll.qlInterpolationInterpolate(B12Minterpolation,V190,TRUE)</f>
        <v>2.9785666918268464E-3</v>
      </c>
      <c r="Y190" s="353">
        <f>_xll.qlInterpolationInterpolate(AbcdInterpolation12M,W190,TRUE)</f>
        <v>2.9720186028339068E-3</v>
      </c>
    </row>
    <row r="191" spans="22:25" x14ac:dyDescent="0.2">
      <c r="V191" s="114">
        <f>_xll.qlCalendarAdvance(Calendar,V190,"1D","f")</f>
        <v>43066</v>
      </c>
      <c r="W191" s="100">
        <f t="shared" si="11"/>
        <v>0.74246575342465748</v>
      </c>
      <c r="X191" s="353">
        <f>_xll.qlInterpolationInterpolate(B12Minterpolation,V191,TRUE)</f>
        <v>2.9829883400570747E-3</v>
      </c>
      <c r="Y191" s="353">
        <f>_xll.qlInterpolationInterpolate(AbcdInterpolation12M,W191,TRUE)</f>
        <v>2.9765709564676503E-3</v>
      </c>
    </row>
    <row r="192" spans="22:25" x14ac:dyDescent="0.2">
      <c r="V192" s="114">
        <f>_xll.qlCalendarAdvance(Calendar,V191,"1D","f")</f>
        <v>43067</v>
      </c>
      <c r="W192" s="100">
        <f t="shared" si="11"/>
        <v>0.74520547945205484</v>
      </c>
      <c r="X192" s="353">
        <f>_xll.qlInterpolationInterpolate(B12Minterpolation,V192,TRUE)</f>
        <v>2.9844447502760277E-3</v>
      </c>
      <c r="Y192" s="353">
        <f>_xll.qlInterpolationInterpolate(AbcdInterpolation12M,W192,TRUE)</f>
        <v>2.9780776813940536E-3</v>
      </c>
    </row>
    <row r="193" spans="22:25" x14ac:dyDescent="0.2">
      <c r="V193" s="114">
        <f>_xll.qlCalendarAdvance(Calendar,V192,"1D","f")</f>
        <v>43068</v>
      </c>
      <c r="W193" s="100">
        <f t="shared" si="11"/>
        <v>0.74794520547945209</v>
      </c>
      <c r="X193" s="353">
        <f>_xll.qlInterpolationInterpolate(B12Minterpolation,V193,TRUE)</f>
        <v>2.9858919883699706E-3</v>
      </c>
      <c r="Y193" s="353">
        <f>_xll.qlInterpolationInterpolate(AbcdInterpolation12M,W193,TRUE)</f>
        <v>2.9795790594840696E-3</v>
      </c>
    </row>
    <row r="194" spans="22:25" x14ac:dyDescent="0.2">
      <c r="V194" s="114">
        <f>_xll.qlCalendarAdvance(Calendar,V193,"1D","f")</f>
        <v>43069</v>
      </c>
      <c r="W194" s="100">
        <f t="shared" si="11"/>
        <v>0.75068493150684934</v>
      </c>
      <c r="X194" s="353">
        <f>_xll.qlInterpolationInterpolate(B12Minterpolation,V194,TRUE)</f>
        <v>2.9873297928212335E-3</v>
      </c>
      <c r="Y194" s="353">
        <f>_xll.qlInterpolationInterpolate(AbcdInterpolation12M,W194,TRUE)</f>
        <v>2.9810751005174738E-3</v>
      </c>
    </row>
    <row r="195" spans="22:25" x14ac:dyDescent="0.2">
      <c r="V195" s="114">
        <f>_xll.qlCalendarAdvance(Calendar,V194,"1D","f")</f>
        <v>43070</v>
      </c>
      <c r="W195" s="100">
        <f t="shared" ref="W195:W258" si="12">(V195-EvaluationDate)/365</f>
        <v>0.75342465753424659</v>
      </c>
      <c r="X195" s="353">
        <f>_xll.qlInterpolationInterpolate(B12Minterpolation,V195,TRUE)</f>
        <v>2.9887579021121474E-3</v>
      </c>
      <c r="Y195" s="353">
        <f>_xll.qlInterpolationInterpolate(AbcdInterpolation12M,W195,TRUE)</f>
        <v>2.9825658142712875E-3</v>
      </c>
    </row>
    <row r="196" spans="22:25" x14ac:dyDescent="0.2">
      <c r="V196" s="114">
        <f>_xll.qlCalendarAdvance(Calendar,V195,"1D","f")</f>
        <v>43073</v>
      </c>
      <c r="W196" s="100">
        <f t="shared" si="12"/>
        <v>0.76164383561643834</v>
      </c>
      <c r="X196" s="353">
        <f>_xll.qlInterpolationInterpolate(B12Minterpolation,V196,TRUE)</f>
        <v>2.992981443846101E-3</v>
      </c>
      <c r="Y196" s="353">
        <f>_xll.qlInterpolationInterpolate(AbcdInterpolation12M,W196,TRUE)</f>
        <v>2.9870060895814446E-3</v>
      </c>
    </row>
    <row r="197" spans="22:25" x14ac:dyDescent="0.2">
      <c r="V197" s="114">
        <f>_xll.qlCalendarAdvance(Calendar,V196,"1D","f")</f>
        <v>43074</v>
      </c>
      <c r="W197" s="100">
        <f t="shared" si="12"/>
        <v>0.76438356164383559</v>
      </c>
      <c r="X197" s="353">
        <f>_xll.qlInterpolationInterpolate(B12Minterpolation,V197,TRUE)</f>
        <v>2.9943682205777872E-3</v>
      </c>
      <c r="Y197" s="353">
        <f>_xll.qlInterpolationInterpolate(AbcdInterpolation12M,W197,TRUE)</f>
        <v>2.9884755919276046E-3</v>
      </c>
    </row>
    <row r="198" spans="22:25" x14ac:dyDescent="0.2">
      <c r="V198" s="114">
        <f>_xll.qlCalendarAdvance(Calendar,V197,"1D","f")</f>
        <v>43075</v>
      </c>
      <c r="W198" s="100">
        <f t="shared" si="12"/>
        <v>0.76712328767123283</v>
      </c>
      <c r="X198" s="353">
        <f>_xll.qlInterpolationInterpolate(B12Minterpolation,V198,TRUE)</f>
        <v>2.9957443741139532E-3</v>
      </c>
      <c r="Y198" s="353">
        <f>_xll.qlInterpolationInterpolate(AbcdInterpolation12M,W198,TRUE)</f>
        <v>2.9899398158335384E-3</v>
      </c>
    </row>
    <row r="199" spans="22:25" x14ac:dyDescent="0.2">
      <c r="V199" s="114">
        <f>_xll.qlCalendarAdvance(Calendar,V198,"1D","f")</f>
        <v>43076</v>
      </c>
      <c r="W199" s="100">
        <f t="shared" si="12"/>
        <v>0.76986301369863008</v>
      </c>
      <c r="X199" s="353">
        <f>_xll.qlInterpolationInterpolate(B12Minterpolation,V199,TRUE)</f>
        <v>2.9971100224901038E-3</v>
      </c>
      <c r="Y199" s="353">
        <f>_xll.qlInterpolationInterpolate(AbcdInterpolation12M,W199,TRUE)</f>
        <v>2.991398771057089E-3</v>
      </c>
    </row>
    <row r="200" spans="22:25" x14ac:dyDescent="0.2">
      <c r="V200" s="114">
        <f>_xll.qlCalendarAdvance(Calendar,V199,"1D","f")</f>
        <v>43077</v>
      </c>
      <c r="W200" s="100">
        <f t="shared" si="12"/>
        <v>0.77260273972602744</v>
      </c>
      <c r="X200" s="353">
        <f>_xll.qlInterpolationInterpolate(B12Minterpolation,V200,TRUE)</f>
        <v>2.9984652837417454E-3</v>
      </c>
      <c r="Y200" s="353">
        <f>_xll.qlInterpolationInterpolate(AbcdInterpolation12M,W200,TRUE)</f>
        <v>2.9928524673524682E-3</v>
      </c>
    </row>
    <row r="201" spans="22:25" x14ac:dyDescent="0.2">
      <c r="V201" s="114">
        <f>_xll.qlCalendarAdvance(Calendar,V200,"1D","f")</f>
        <v>43080</v>
      </c>
      <c r="W201" s="100">
        <f t="shared" si="12"/>
        <v>0.78082191780821919</v>
      </c>
      <c r="X201" s="353">
        <f>_xll.qlInterpolationInterpolate(B12Minterpolation,V201,TRUE)</f>
        <v>3.0024699251046737E-3</v>
      </c>
      <c r="Y201" s="353">
        <f>_xll.qlInterpolationInterpolate(AbcdInterpolation12M,W201,TRUE)</f>
        <v>2.9971821001547757E-3</v>
      </c>
    </row>
    <row r="202" spans="22:25" x14ac:dyDescent="0.2">
      <c r="V202" s="114">
        <f>_xll.qlCalendarAdvance(Calendar,V201,"1D","f")</f>
        <v>43081</v>
      </c>
      <c r="W202" s="100">
        <f t="shared" si="12"/>
        <v>0.78356164383561644</v>
      </c>
      <c r="X202" s="353">
        <f>_xll.qlInterpolationInterpolate(B12Minterpolation,V202,TRUE)</f>
        <v>3.0037848182133363E-3</v>
      </c>
      <c r="Y202" s="353">
        <f>_xll.qlInterpolationInterpolate(AbcdInterpolation12M,W202,TRUE)</f>
        <v>2.998614858202857E-3</v>
      </c>
    </row>
    <row r="203" spans="22:25" x14ac:dyDescent="0.2">
      <c r="V203" s="114">
        <f>_xll.qlCalendarAdvance(Calendar,V202,"1D","f")</f>
        <v>43082</v>
      </c>
      <c r="W203" s="100">
        <f t="shared" si="12"/>
        <v>0.78630136986301369</v>
      </c>
      <c r="X203" s="353">
        <f>_xll.qlInterpolationInterpolate(B12Minterpolation,V203,TRUE)</f>
        <v>3.0050899143750191E-3</v>
      </c>
      <c r="Y203" s="353">
        <f>_xll.qlInterpolationInterpolate(AbcdInterpolation12M,W203,TRUE)</f>
        <v>3.0000424060352441E-3</v>
      </c>
    </row>
    <row r="204" spans="22:25" x14ac:dyDescent="0.2">
      <c r="V204" s="114">
        <f>_xll.qlCalendarAdvance(Calendar,V203,"1D","f")</f>
        <v>43083</v>
      </c>
      <c r="W204" s="100">
        <f t="shared" si="12"/>
        <v>0.78904109589041094</v>
      </c>
      <c r="X204" s="353">
        <f>_xll.qlInterpolationInterpolate(B12Minterpolation,V204,TRUE)</f>
        <v>3.0063853316252276E-3</v>
      </c>
      <c r="Y204" s="353">
        <f>_xll.qlInterpolationInterpolate(AbcdInterpolation12M,W204,TRUE)</f>
        <v>3.0014647533819108E-3</v>
      </c>
    </row>
    <row r="205" spans="22:25" x14ac:dyDescent="0.2">
      <c r="V205" s="114">
        <f>_xll.qlCalendarAdvance(Calendar,V204,"1D","f")</f>
        <v>43084</v>
      </c>
      <c r="W205" s="100">
        <f t="shared" si="12"/>
        <v>0.79178082191780819</v>
      </c>
      <c r="X205" s="353">
        <f>_xll.qlInterpolationInterpolate(B12Minterpolation,V205,TRUE)</f>
        <v>3.0076711879994671E-3</v>
      </c>
      <c r="Y205" s="353">
        <f>_xll.qlInterpolationInterpolate(AbcdInterpolation12M,W205,TRUE)</f>
        <v>3.0028819099683765E-3</v>
      </c>
    </row>
    <row r="206" spans="22:25" x14ac:dyDescent="0.2">
      <c r="V206" s="114">
        <f>_xll.qlCalendarAdvance(Calendar,V205,"1D","f")</f>
        <v>43087</v>
      </c>
      <c r="W206" s="100">
        <f t="shared" si="12"/>
        <v>0.8</v>
      </c>
      <c r="X206" s="353">
        <f>_xll.qlInterpolationInterpolate(B12Minterpolation,V206,TRUE)</f>
        <v>3.0114725722214315E-3</v>
      </c>
      <c r="Y206" s="353">
        <f>_xll.qlInterpolationInterpolate(AbcdInterpolation12M,W206,TRUE)</f>
        <v>3.0071023323529683E-3</v>
      </c>
    </row>
    <row r="207" spans="22:25" x14ac:dyDescent="0.2">
      <c r="V207" s="114">
        <f>_xll.qlCalendarAdvance(Calendar,V206,"1D","f")</f>
        <v>43088</v>
      </c>
      <c r="W207" s="100">
        <f t="shared" si="12"/>
        <v>0.80273972602739729</v>
      </c>
      <c r="X207" s="353">
        <f>_xll.qlInterpolationInterpolate(B12Minterpolation,V207,TRUE)</f>
        <v>3.0127213654468545E-3</v>
      </c>
      <c r="Y207" s="353">
        <f>_xll.qlInterpolationInterpolate(AbcdInterpolation12M,W207,TRUE)</f>
        <v>3.0084988230612854E-3</v>
      </c>
    </row>
    <row r="208" spans="22:25" x14ac:dyDescent="0.2">
      <c r="V208" s="114">
        <f>_xll.qlCalendarAdvance(Calendar,V207,"1D","f")</f>
        <v>43089</v>
      </c>
      <c r="W208" s="100">
        <f t="shared" si="12"/>
        <v>0.80547945205479454</v>
      </c>
      <c r="X208" s="353">
        <f>_xll.qlInterpolationInterpolate(B12Minterpolation,V208,TRUE)</f>
        <v>3.0139611879738378E-3</v>
      </c>
      <c r="Y208" s="353">
        <f>_xll.qlInterpolationInterpolate(AbcdInterpolation12M,W208,TRUE)</f>
        <v>3.0098901715666249E-3</v>
      </c>
    </row>
    <row r="209" spans="22:25" x14ac:dyDescent="0.2">
      <c r="V209" s="114">
        <f>_xll.qlCalendarAdvance(Calendar,V208,"1D","f")</f>
        <v>43090</v>
      </c>
      <c r="W209" s="100">
        <f t="shared" si="12"/>
        <v>0.80821917808219179</v>
      </c>
      <c r="X209" s="353">
        <f>_xll.qlInterpolationInterpolate(B12Minterpolation,V209,TRUE)</f>
        <v>3.0151921578378867E-3</v>
      </c>
      <c r="Y209" s="353">
        <f>_xll.qlInterpolationInterpolate(AbcdInterpolation12M,W209,TRUE)</f>
        <v>3.0112763875655966E-3</v>
      </c>
    </row>
    <row r="210" spans="22:25" x14ac:dyDescent="0.2">
      <c r="V210" s="114">
        <f>_xll.qlCalendarAdvance(Calendar,V209,"1D","f")</f>
        <v>43091</v>
      </c>
      <c r="W210" s="100">
        <f t="shared" si="12"/>
        <v>0.81095890410958904</v>
      </c>
      <c r="X210" s="353">
        <f>_xll.qlInterpolationInterpolate(B12Minterpolation,V210,TRUE)</f>
        <v>3.0164143930745081E-3</v>
      </c>
      <c r="Y210" s="353">
        <f>_xll.qlInterpolationInterpolate(AbcdInterpolation12M,W210,TRUE)</f>
        <v>3.0126574807496265E-3</v>
      </c>
    </row>
    <row r="211" spans="22:25" x14ac:dyDescent="0.2">
      <c r="V211" s="114">
        <f>_xll.qlCalendarAdvance(Calendar,V210,"1D","f")</f>
        <v>43096</v>
      </c>
      <c r="W211" s="100">
        <f t="shared" si="12"/>
        <v>0.8246575342465754</v>
      </c>
      <c r="X211" s="353">
        <f>_xll.qlInterpolationInterpolate(B12Minterpolation,V211,TRUE)</f>
        <v>3.0223986810888931E-3</v>
      </c>
      <c r="Y211" s="353">
        <f>_xll.qlInterpolationInterpolate(AbcdInterpolation12M,W211,TRUE)</f>
        <v>3.0194864432698185E-3</v>
      </c>
    </row>
    <row r="212" spans="22:25" x14ac:dyDescent="0.2">
      <c r="V212" s="114">
        <f>_xll.qlCalendarAdvance(Calendar,V211,"1D","f")</f>
        <v>43097</v>
      </c>
      <c r="W212" s="100">
        <f t="shared" si="12"/>
        <v>0.82739726027397265</v>
      </c>
      <c r="X212" s="353">
        <f>_xll.qlInterpolationInterpolate(B12Minterpolation,V212,TRUE)</f>
        <v>3.023570987306567E-3</v>
      </c>
      <c r="Y212" s="353">
        <f>_xll.qlInterpolationInterpolate(AbcdInterpolation12M,W212,TRUE)</f>
        <v>3.0208370027810438E-3</v>
      </c>
    </row>
    <row r="213" spans="22:25" x14ac:dyDescent="0.2">
      <c r="V213" s="114">
        <f>_xll.qlCalendarAdvance(Calendar,V212,"1D","f")</f>
        <v>43098</v>
      </c>
      <c r="W213" s="100">
        <f t="shared" si="12"/>
        <v>0.83013698630136989</v>
      </c>
      <c r="X213" s="353">
        <f>_xll.qlInterpolationInterpolate(B12Minterpolation,V213,TRUE)</f>
        <v>3.0247353851453529E-3</v>
      </c>
      <c r="Y213" s="353">
        <f>_xll.qlInterpolationInterpolate(AbcdInterpolation12M,W213,TRUE)</f>
        <v>3.0221825071636938E-3</v>
      </c>
    </row>
    <row r="214" spans="22:25" x14ac:dyDescent="0.2">
      <c r="V214" s="114">
        <f>_xll.qlCalendarAdvance(Calendar,V213,"1D","f")</f>
        <v>43102</v>
      </c>
      <c r="W214" s="100">
        <f t="shared" si="12"/>
        <v>0.84109589041095889</v>
      </c>
      <c r="X214" s="353">
        <f>_xll.qlInterpolationInterpolate(B12Minterpolation,V214,TRUE)</f>
        <v>3.0293162534217361E-3</v>
      </c>
      <c r="Y214" s="353">
        <f>_xll.qlInterpolationInterpolate(AbcdInterpolation12M,W214,TRUE)</f>
        <v>3.0275141662445206E-3</v>
      </c>
    </row>
    <row r="215" spans="22:25" x14ac:dyDescent="0.2">
      <c r="V215" s="114">
        <f>_xll.qlCalendarAdvance(Calendar,V214,"1D","f")</f>
        <v>43103</v>
      </c>
      <c r="W215" s="100">
        <f t="shared" si="12"/>
        <v>0.84383561643835614</v>
      </c>
      <c r="X215" s="353">
        <f>_xll.qlInterpolationInterpolate(B12Minterpolation,V215,TRUE)</f>
        <v>3.0304428798986704E-3</v>
      </c>
      <c r="Y215" s="353">
        <f>_xll.qlInterpolationInterpolate(AbcdInterpolation12M,W215,TRUE)</f>
        <v>3.028834539557301E-3</v>
      </c>
    </row>
    <row r="216" spans="22:25" x14ac:dyDescent="0.2">
      <c r="V216" s="114">
        <f>_xll.qlCalendarAdvance(Calendar,V215,"1D","f")</f>
        <v>43104</v>
      </c>
      <c r="W216" s="100">
        <f t="shared" si="12"/>
        <v>0.84657534246575339</v>
      </c>
      <c r="X216" s="353">
        <f>_xll.qlInterpolationInterpolate(B12Minterpolation,V216,TRUE)</f>
        <v>3.0315623062097518E-3</v>
      </c>
      <c r="Y216" s="353">
        <f>_xll.qlInterpolationInterpolate(AbcdInterpolation12M,W216,TRUE)</f>
        <v>3.030149915527019E-3</v>
      </c>
    </row>
    <row r="217" spans="22:25" x14ac:dyDescent="0.2">
      <c r="V217" s="114">
        <f>_xll.qlCalendarAdvance(Calendar,V216,"1D","f")</f>
        <v>43105</v>
      </c>
      <c r="W217" s="100">
        <f t="shared" si="12"/>
        <v>0.84931506849315064</v>
      </c>
      <c r="X217" s="353">
        <f>_xll.qlInterpolationInterpolate(B12Minterpolation,V217,TRUE)</f>
        <v>3.0326746503904862E-3</v>
      </c>
      <c r="Y217" s="353">
        <f>_xll.qlInterpolationInterpolate(AbcdInterpolation12M,W217,TRUE)</f>
        <v>3.0314603037623405E-3</v>
      </c>
    </row>
    <row r="218" spans="22:25" x14ac:dyDescent="0.2">
      <c r="V218" s="114">
        <f>_xll.qlCalendarAdvance(Calendar,V217,"1D","f")</f>
        <v>43108</v>
      </c>
      <c r="W218" s="100">
        <f t="shared" si="12"/>
        <v>0.8575342465753425</v>
      </c>
      <c r="X218" s="353">
        <f>_xll.qlInterpolationInterpolate(B12Minterpolation,V218,TRUE)</f>
        <v>3.0359703705056646E-3</v>
      </c>
      <c r="Y218" s="353">
        <f>_xll.qlInterpolationInterpolate(AbcdInterpolation12M,W218,TRUE)</f>
        <v>3.0353616380491477E-3</v>
      </c>
    </row>
    <row r="219" spans="22:25" x14ac:dyDescent="0.2">
      <c r="V219" s="114">
        <f>_xll.qlCalendarAdvance(Calendar,V218,"1D","f")</f>
        <v>43109</v>
      </c>
      <c r="W219" s="100">
        <f t="shared" si="12"/>
        <v>0.86027397260273974</v>
      </c>
      <c r="X219" s="353">
        <f>_xll.qlInterpolationInterpolate(B12Minterpolation,V219,TRUE)</f>
        <v>3.0370555665200681E-3</v>
      </c>
      <c r="Y219" s="353">
        <f>_xll.qlInterpolationInterpolate(AbcdInterpolation12M,W219,TRUE)</f>
        <v>3.0366521713003853E-3</v>
      </c>
    </row>
    <row r="220" spans="22:25" x14ac:dyDescent="0.2">
      <c r="V220" s="114">
        <f>_xll.qlCalendarAdvance(Calendar,V219,"1D","f")</f>
        <v>43110</v>
      </c>
      <c r="W220" s="100">
        <f t="shared" si="12"/>
        <v>0.86301369863013699</v>
      </c>
      <c r="X220" s="353">
        <f>_xll.qlInterpolationInterpolate(B12Minterpolation,V220,TRUE)</f>
        <v>3.0381342705816539E-3</v>
      </c>
      <c r="Y220" s="353">
        <f>_xll.qlInterpolationInterpolate(AbcdInterpolation12M,W220,TRUE)</f>
        <v>3.0379377647599707E-3</v>
      </c>
    </row>
    <row r="221" spans="22:25" x14ac:dyDescent="0.2">
      <c r="V221" s="114">
        <f>_xll.qlCalendarAdvance(Calendar,V220,"1D","f")</f>
        <v>43111</v>
      </c>
      <c r="W221" s="100">
        <f t="shared" si="12"/>
        <v>0.86575342465753424</v>
      </c>
      <c r="X221" s="353">
        <f>_xll.qlInterpolationInterpolate(B12Minterpolation,V221,TRUE)</f>
        <v>3.0392066007259269E-3</v>
      </c>
      <c r="Y221" s="353">
        <f>_xll.qlInterpolationInterpolate(AbcdInterpolation12M,W221,TRUE)</f>
        <v>3.0392184279957541E-3</v>
      </c>
    </row>
    <row r="222" spans="22:25" x14ac:dyDescent="0.2">
      <c r="V222" s="114">
        <f>_xll.qlCalendarAdvance(Calendar,V221,"1D","f")</f>
        <v>43112</v>
      </c>
      <c r="W222" s="100">
        <f t="shared" si="12"/>
        <v>0.86849315068493149</v>
      </c>
      <c r="X222" s="353">
        <f>_xll.qlInterpolationInterpolate(B12Minterpolation,V222,TRUE)</f>
        <v>3.040272674988393E-3</v>
      </c>
      <c r="Y222" s="353">
        <f>_xll.qlInterpolationInterpolate(AbcdInterpolation12M,W222,TRUE)</f>
        <v>3.0404941705685024E-3</v>
      </c>
    </row>
    <row r="223" spans="22:25" x14ac:dyDescent="0.2">
      <c r="V223" s="114">
        <f>_xll.qlCalendarAdvance(Calendar,V222,"1D","f")</f>
        <v>43115</v>
      </c>
      <c r="W223" s="100">
        <f t="shared" si="12"/>
        <v>0.87671232876712324</v>
      </c>
      <c r="X223" s="353">
        <f>_xll.qlInterpolationInterpolate(B12Minterpolation,V223,TRUE)</f>
        <v>3.0434345428400102E-3</v>
      </c>
      <c r="Y223" s="353">
        <f>_xll.qlInterpolationInterpolate(AbcdInterpolation12M,W223,TRUE)</f>
        <v>3.0442919698082452E-3</v>
      </c>
    </row>
    <row r="224" spans="22:25" x14ac:dyDescent="0.2">
      <c r="V224" s="114">
        <f>_xll.qlCalendarAdvance(Calendar,V223,"1D","f")</f>
        <v>43116</v>
      </c>
      <c r="W224" s="100">
        <f t="shared" si="12"/>
        <v>0.8794520547945206</v>
      </c>
      <c r="X224" s="353">
        <f>_xll.qlInterpolationInterpolate(B12Minterpolation,V224,TRUE)</f>
        <v>3.0444767739303078E-3</v>
      </c>
      <c r="Y224" s="353">
        <f>_xll.qlInterpolationInterpolate(AbcdInterpolation12M,W224,TRUE)</f>
        <v>3.0455481251920316E-3</v>
      </c>
    </row>
    <row r="225" spans="22:25" x14ac:dyDescent="0.2">
      <c r="V225" s="114">
        <f>_xll.qlCalendarAdvance(Calendar,V224,"1D","f")</f>
        <v>43117</v>
      </c>
      <c r="W225" s="100">
        <f t="shared" si="12"/>
        <v>0.88219178082191785</v>
      </c>
      <c r="X225" s="353">
        <f>_xll.qlInterpolationInterpolate(B12Minterpolation,V225,TRUE)</f>
        <v>3.0455133393163278E-3</v>
      </c>
      <c r="Y225" s="353">
        <f>_xll.qlInterpolationInterpolate(AbcdInterpolation12M,W225,TRUE)</f>
        <v>3.0467994076075751E-3</v>
      </c>
    </row>
    <row r="226" spans="22:25" x14ac:dyDescent="0.2">
      <c r="V226" s="114">
        <f>_xll.qlCalendarAdvance(Calendar,V225,"1D","f")</f>
        <v>43118</v>
      </c>
      <c r="W226" s="100">
        <f t="shared" si="12"/>
        <v>0.8849315068493151</v>
      </c>
      <c r="X226" s="353">
        <f>_xll.qlInterpolationInterpolate(B12Minterpolation,V226,TRUE)</f>
        <v>3.0465443570335759E-3</v>
      </c>
      <c r="Y226" s="353">
        <f>_xll.qlInterpolationInterpolate(AbcdInterpolation12M,W226,TRUE)</f>
        <v>3.0480458265714915E-3</v>
      </c>
    </row>
    <row r="227" spans="22:25" x14ac:dyDescent="0.2">
      <c r="V227" s="114">
        <f>_xll.qlCalendarAdvance(Calendar,V226,"1D","f")</f>
        <v>43119</v>
      </c>
      <c r="W227" s="100">
        <f t="shared" si="12"/>
        <v>0.88767123287671235</v>
      </c>
      <c r="X227" s="353">
        <f>_xll.qlInterpolationInterpolate(B12Minterpolation,V227,TRUE)</f>
        <v>3.0475699451175575E-3</v>
      </c>
      <c r="Y227" s="353">
        <f>_xll.qlInterpolationInterpolate(AbcdInterpolation12M,W227,TRUE)</f>
        <v>3.0492873915927777E-3</v>
      </c>
    </row>
    <row r="228" spans="22:25" x14ac:dyDescent="0.2">
      <c r="V228" s="114">
        <f>_xll.qlCalendarAdvance(Calendar,V227,"1D","f")</f>
        <v>43122</v>
      </c>
      <c r="W228" s="100">
        <f t="shared" si="12"/>
        <v>0.89589041095890409</v>
      </c>
      <c r="X228" s="353">
        <f>_xll.qlInterpolationInterpolate(B12Minterpolation,V228,TRUE)</f>
        <v>3.0506153119249642E-3</v>
      </c>
      <c r="Y228" s="353">
        <f>_xll.qlInterpolationInterpolate(AbcdInterpolation12M,W228,TRUE)</f>
        <v>3.0529830579749829E-3</v>
      </c>
    </row>
    <row r="229" spans="22:25" x14ac:dyDescent="0.2">
      <c r="V229" s="114">
        <f>_xll.qlCalendarAdvance(Calendar,V228,"1D","f")</f>
        <v>43123</v>
      </c>
      <c r="W229" s="100">
        <f t="shared" si="12"/>
        <v>0.89863013698630134</v>
      </c>
      <c r="X229" s="353">
        <f>_xll.qlInterpolationInterpolate(B12Minterpolation,V229,TRUE)</f>
        <v>3.051620361830939E-3</v>
      </c>
      <c r="Y229" s="353">
        <f>_xll.qlInterpolationInterpolate(AbcdInterpolation12M,W229,TRUE)</f>
        <v>3.0542053021607703E-3</v>
      </c>
    </row>
    <row r="230" spans="22:25" x14ac:dyDescent="0.2">
      <c r="V230" s="114">
        <f>_xll.qlCalendarAdvance(Calendar,V229,"1D","f")</f>
        <v>43124</v>
      </c>
      <c r="W230" s="100">
        <f t="shared" si="12"/>
        <v>0.90136986301369859</v>
      </c>
      <c r="X230" s="353">
        <f>_xll.qlInterpolationInterpolate(B12Minterpolation,V230,TRUE)</f>
        <v>3.0526205722811771E-3</v>
      </c>
      <c r="Y230" s="353">
        <f>_xll.qlInterpolationInterpolate(AbcdInterpolation12M,W230,TRUE)</f>
        <v>3.0554227398320866E-3</v>
      </c>
    </row>
    <row r="231" spans="22:25" x14ac:dyDescent="0.2">
      <c r="V231" s="114">
        <f>_xll.qlCalendarAdvance(Calendar,V230,"1D","f")</f>
        <v>43125</v>
      </c>
      <c r="W231" s="100">
        <f t="shared" si="12"/>
        <v>0.90410958904109584</v>
      </c>
      <c r="X231" s="353">
        <f>_xll.qlInterpolationInterpolate(B12Minterpolation,V231,TRUE)</f>
        <v>3.0536160613111834E-3</v>
      </c>
      <c r="Y231" s="353">
        <f>_xll.qlInterpolationInterpolate(AbcdInterpolation12M,W231,TRUE)</f>
        <v>3.0566353804507107E-3</v>
      </c>
    </row>
    <row r="232" spans="22:25" x14ac:dyDescent="0.2">
      <c r="V232" s="114">
        <f>_xll.qlCalendarAdvance(Calendar,V231,"1D","f")</f>
        <v>43126</v>
      </c>
      <c r="W232" s="100">
        <f t="shared" si="12"/>
        <v>0.9068493150684932</v>
      </c>
      <c r="X232" s="353">
        <f>_xll.qlInterpolationInterpolate(B12Minterpolation,V232,TRUE)</f>
        <v>3.0546069469564643E-3</v>
      </c>
      <c r="Y232" s="353">
        <f>_xll.qlInterpolationInterpolate(AbcdInterpolation12M,W232,TRUE)</f>
        <v>3.0578432334703123E-3</v>
      </c>
    </row>
    <row r="233" spans="22:25" x14ac:dyDescent="0.2">
      <c r="V233" s="114">
        <f>_xll.qlCalendarAdvance(Calendar,V232,"1D","f")</f>
        <v>43129</v>
      </c>
      <c r="W233" s="100">
        <f t="shared" si="12"/>
        <v>0.91506849315068495</v>
      </c>
      <c r="X233" s="353">
        <f>_xll.qlInterpolationInterpolate(B12Minterpolation,V233,TRUE)</f>
        <v>3.0575531639390106E-3</v>
      </c>
      <c r="Y233" s="353">
        <f>_xll.qlInterpolationInterpolate(AbcdInterpolation12M,W233,TRUE)</f>
        <v>3.0614381613486307E-3</v>
      </c>
    </row>
    <row r="234" spans="22:25" x14ac:dyDescent="0.2">
      <c r="V234" s="114">
        <f>_xll.qlCalendarAdvance(Calendar,V233,"1D","f")</f>
        <v>43130</v>
      </c>
      <c r="W234" s="100">
        <f t="shared" si="12"/>
        <v>0.9178082191780822</v>
      </c>
      <c r="X234" s="353">
        <f>_xll.qlInterpolationInterpolate(B12Minterpolation,V234,TRUE)</f>
        <v>3.0585268164004466E-3</v>
      </c>
      <c r="Y234" s="353">
        <f>_xll.qlInterpolationInterpolate(AbcdInterpolation12M,W234,TRUE)</f>
        <v>3.0626269583443181E-3</v>
      </c>
    </row>
    <row r="235" spans="22:25" x14ac:dyDescent="0.2">
      <c r="V235" s="114">
        <f>_xll.qlCalendarAdvance(Calendar,V234,"1D","f")</f>
        <v>43131</v>
      </c>
      <c r="W235" s="100">
        <f t="shared" si="12"/>
        <v>0.92054794520547945</v>
      </c>
      <c r="X235" s="353">
        <f>_xll.qlInterpolationInterpolate(B12Minterpolation,V235,TRUE)</f>
        <v>3.0594964556546859E-3</v>
      </c>
      <c r="Y235" s="353">
        <f>_xll.qlInterpolationInterpolate(AbcdInterpolation12M,W235,TRUE)</f>
        <v>3.0638110148853794E-3</v>
      </c>
    </row>
    <row r="236" spans="22:25" x14ac:dyDescent="0.2">
      <c r="V236" s="114">
        <f>_xll.qlCalendarAdvance(Calendar,V235,"1D","f")</f>
        <v>43132</v>
      </c>
      <c r="W236" s="100">
        <f t="shared" si="12"/>
        <v>0.92328767123287669</v>
      </c>
      <c r="X236" s="353">
        <f>_xll.qlInterpolationInterpolate(B12Minterpolation,V236,TRUE)</f>
        <v>3.0604621997372345E-3</v>
      </c>
      <c r="Y236" s="353">
        <f>_xll.qlInterpolationInterpolate(AbcdInterpolation12M,W236,TRUE)</f>
        <v>3.0649903403754558E-3</v>
      </c>
    </row>
    <row r="237" spans="22:25" x14ac:dyDescent="0.2">
      <c r="V237" s="114">
        <f>_xll.qlCalendarAdvance(Calendar,V236,"1D","f")</f>
        <v>43133</v>
      </c>
      <c r="W237" s="100">
        <f t="shared" si="12"/>
        <v>0.92602739726027394</v>
      </c>
      <c r="X237" s="353">
        <f>_xll.qlInterpolationInterpolate(B12Minterpolation,V237,TRUE)</f>
        <v>3.0614241666835976E-3</v>
      </c>
      <c r="Y237" s="353">
        <f>_xll.qlInterpolationInterpolate(AbcdInterpolation12M,W237,TRUE)</f>
        <v>3.0661649442096294E-3</v>
      </c>
    </row>
    <row r="238" spans="22:25" x14ac:dyDescent="0.2">
      <c r="V238" s="114">
        <f>_xll.qlCalendarAdvance(Calendar,V237,"1D","f")</f>
        <v>43136</v>
      </c>
      <c r="W238" s="100">
        <f t="shared" si="12"/>
        <v>0.9342465753424658</v>
      </c>
      <c r="X238" s="353">
        <f>_xll.qlInterpolationInterpolate(B12Minterpolation,V238,TRUE)</f>
        <v>3.0642885850606346E-3</v>
      </c>
      <c r="Y238" s="353">
        <f>_xll.qlInterpolationInterpolate(AbcdInterpolation12M,W238,TRUE)</f>
        <v>3.0696605195979156E-3</v>
      </c>
    </row>
    <row r="239" spans="22:25" x14ac:dyDescent="0.2">
      <c r="V239" s="114">
        <f>_xll.qlCalendarAdvance(Calendar,V238,"1D","f")</f>
        <v>43137</v>
      </c>
      <c r="W239" s="100">
        <f t="shared" si="12"/>
        <v>0.93698630136986305</v>
      </c>
      <c r="X239" s="353">
        <f>_xll.qlInterpolationInterpolate(B12Minterpolation,V239,TRUE)</f>
        <v>3.0652366238173149E-3</v>
      </c>
      <c r="Y239" s="353">
        <f>_xll.qlInterpolationInterpolate(AbcdInterpolation12M,W239,TRUE)</f>
        <v>3.0708163305860304E-3</v>
      </c>
    </row>
    <row r="240" spans="22:25" x14ac:dyDescent="0.2">
      <c r="V240" s="114">
        <f>_xll.qlCalendarAdvance(Calendar,V239,"1D","f")</f>
        <v>43138</v>
      </c>
      <c r="W240" s="100">
        <f t="shared" si="12"/>
        <v>0.9397260273972603</v>
      </c>
      <c r="X240" s="353">
        <f>_xll.qlInterpolationInterpolate(B12Minterpolation,V240,TRUE)</f>
        <v>3.0661814756153395E-3</v>
      </c>
      <c r="Y240" s="353">
        <f>_xll.qlInterpolationInterpolate(AbcdInterpolation12M,W240,TRUE)</f>
        <v>3.0719674667631816E-3</v>
      </c>
    </row>
    <row r="241" spans="22:25" x14ac:dyDescent="0.2">
      <c r="V241" s="114">
        <f>_xll.qlCalendarAdvance(Calendar,V240,"1D","f")</f>
        <v>43139</v>
      </c>
      <c r="W241" s="100">
        <f t="shared" si="12"/>
        <v>0.94246575342465755</v>
      </c>
      <c r="X241" s="353">
        <f>_xll.qlInterpolationInterpolate(B12Minterpolation,V241,TRUE)</f>
        <v>3.0671232584902133E-3</v>
      </c>
      <c r="Y241" s="353">
        <f>_xll.qlInterpolationInterpolate(AbcdInterpolation12M,W241,TRUE)</f>
        <v>3.0731139374718525E-3</v>
      </c>
    </row>
    <row r="242" spans="22:25" x14ac:dyDescent="0.2">
      <c r="V242" s="114">
        <f>_xll.qlCalendarAdvance(Calendar,V241,"1D","f")</f>
        <v>43140</v>
      </c>
      <c r="W242" s="100">
        <f t="shared" si="12"/>
        <v>0.9452054794520548</v>
      </c>
      <c r="X242" s="353">
        <f>_xll.qlInterpolationInterpolate(B12Minterpolation,V242,TRUE)</f>
        <v>3.0680620904774427E-3</v>
      </c>
      <c r="Y242" s="353">
        <f>_xll.qlInterpolationInterpolate(AbcdInterpolation12M,W242,TRUE)</f>
        <v>3.074255752045557E-3</v>
      </c>
    </row>
    <row r="243" spans="22:25" x14ac:dyDescent="0.2">
      <c r="V243" s="114">
        <f>_xll.qlCalendarAdvance(Calendar,V242,"1D","f")</f>
        <v>43143</v>
      </c>
      <c r="W243" s="100">
        <f t="shared" si="12"/>
        <v>0.95342465753424654</v>
      </c>
      <c r="X243" s="353">
        <f>_xll.qlInterpolationInterpolate(B12Minterpolation,V243,TRUE)</f>
        <v>3.0708620614683202E-3</v>
      </c>
      <c r="Y243" s="353">
        <f>_xll.qlInterpolationInterpolate(AbcdInterpolation12M,W243,TRUE)</f>
        <v>3.0776533521563385E-3</v>
      </c>
    </row>
    <row r="244" spans="22:25" x14ac:dyDescent="0.2">
      <c r="V244" s="114">
        <f>_xll.qlCalendarAdvance(Calendar,V243,"1D","f")</f>
        <v>43144</v>
      </c>
      <c r="W244" s="100">
        <f t="shared" si="12"/>
        <v>0.95616438356164379</v>
      </c>
      <c r="X244" s="353">
        <f>_xll.qlInterpolationInterpolate(B12Minterpolation,V244,TRUE)</f>
        <v>3.0717902702600288E-3</v>
      </c>
      <c r="Y244" s="353">
        <f>_xll.qlInterpolationInterpolate(AbcdInterpolation12M,W244,TRUE)</f>
        <v>3.0787766353440344E-3</v>
      </c>
    </row>
    <row r="245" spans="22:25" x14ac:dyDescent="0.2">
      <c r="V245" s="114">
        <f>_xll.qlCalendarAdvance(Calendar,V244,"1D","f")</f>
        <v>43145</v>
      </c>
      <c r="W245" s="100">
        <f t="shared" si="12"/>
        <v>0.95890410958904104</v>
      </c>
      <c r="X245" s="353">
        <f>_xll.qlInterpolationInterpolate(B12Minterpolation,V245,TRUE)</f>
        <v>3.0727161183416217E-3</v>
      </c>
      <c r="Y245" s="353">
        <f>_xll.qlInterpolationInterpolate(AbcdInterpolation12M,W245,TRUE)</f>
        <v>3.0798953089278937E-3</v>
      </c>
    </row>
    <row r="246" spans="22:25" x14ac:dyDescent="0.2">
      <c r="V246" s="114">
        <f>_xll.qlCalendarAdvance(Calendar,V245,"1D","f")</f>
        <v>43146</v>
      </c>
      <c r="W246" s="100">
        <f t="shared" si="12"/>
        <v>0.9616438356164384</v>
      </c>
      <c r="X246" s="353">
        <f>_xll.qlInterpolationInterpolate(B12Minterpolation,V246,TRUE)</f>
        <v>3.0736397237486044E-3</v>
      </c>
      <c r="Y246" s="353">
        <f>_xll.qlInterpolationInterpolate(AbcdInterpolation12M,W246,TRUE)</f>
        <v>3.0810093821864834E-3</v>
      </c>
    </row>
    <row r="247" spans="22:25" x14ac:dyDescent="0.2">
      <c r="V247" s="114">
        <f>_xll.qlCalendarAdvance(Calendar,V246,"1D","f")</f>
        <v>43147</v>
      </c>
      <c r="W247" s="100">
        <f t="shared" si="12"/>
        <v>0.96438356164383565</v>
      </c>
      <c r="X247" s="353">
        <f>_xll.qlInterpolationInterpolate(B12Minterpolation,V247,TRUE)</f>
        <v>3.0745612045164831E-3</v>
      </c>
      <c r="Y247" s="353">
        <f>_xll.qlInterpolationInterpolate(AbcdInterpolation12M,W247,TRUE)</f>
        <v>3.0821188643890209E-3</v>
      </c>
    </row>
    <row r="248" spans="22:25" x14ac:dyDescent="0.2">
      <c r="V248" s="114">
        <f>_xll.qlCalendarAdvance(Calendar,V247,"1D","f")</f>
        <v>43150</v>
      </c>
      <c r="W248" s="100">
        <f t="shared" si="12"/>
        <v>0.9726027397260274</v>
      </c>
      <c r="X248" s="353">
        <f>_xll.qlInterpolationInterpolate(B12Minterpolation,V248,TRUE)</f>
        <v>3.0773140793405522E-3</v>
      </c>
      <c r="Y248" s="353">
        <f>_xll.qlInterpolationInterpolate(AbcdInterpolation12M,W248,TRUE)</f>
        <v>3.085419857211353E-3</v>
      </c>
    </row>
    <row r="249" spans="22:25" x14ac:dyDescent="0.2">
      <c r="V249" s="114">
        <f>_xll.qlCalendarAdvance(Calendar,V248,"1D","f")</f>
        <v>43151</v>
      </c>
      <c r="W249" s="100">
        <f t="shared" si="12"/>
        <v>0.97534246575342465</v>
      </c>
      <c r="X249" s="353">
        <f>_xll.qlInterpolationInterpolate(B12Minterpolation,V249,TRUE)</f>
        <v>3.0782282419070722E-3</v>
      </c>
      <c r="Y249" s="353">
        <f>_xll.qlInterpolationInterpolate(AbcdInterpolation12M,W249,TRUE)</f>
        <v>3.0865110676932951E-3</v>
      </c>
    </row>
    <row r="250" spans="22:25" x14ac:dyDescent="0.2">
      <c r="V250" s="114">
        <f>_xll.qlCalendarAdvance(Calendar,V249,"1D","f")</f>
        <v>43152</v>
      </c>
      <c r="W250" s="100">
        <f t="shared" si="12"/>
        <v>0.9780821917808219</v>
      </c>
      <c r="X250" s="353">
        <f>_xll.qlInterpolationInterpolate(B12Minterpolation,V250,TRUE)</f>
        <v>3.079140870012017E-3</v>
      </c>
      <c r="Y250" s="353">
        <f>_xll.qlInterpolationInterpolate(AbcdInterpolation12M,W250,TRUE)</f>
        <v>3.0875977333234056E-3</v>
      </c>
    </row>
    <row r="251" spans="22:25" x14ac:dyDescent="0.2">
      <c r="V251" s="114">
        <f>_xll.qlCalendarAdvance(Calendar,V250,"1D","f")</f>
        <v>43153</v>
      </c>
      <c r="W251" s="100">
        <f t="shared" si="12"/>
        <v>0.98082191780821915</v>
      </c>
      <c r="X251" s="353">
        <f>_xll.qlInterpolationInterpolate(B12Minterpolation,V251,TRUE)</f>
        <v>3.0800520816908926E-3</v>
      </c>
      <c r="Y251" s="353">
        <f>_xll.qlInterpolationInterpolate(AbcdInterpolation12M,W251,TRUE)</f>
        <v>3.0886798633138098E-3</v>
      </c>
    </row>
    <row r="252" spans="22:25" x14ac:dyDescent="0.2">
      <c r="V252" s="114">
        <f>_xll.qlCalendarAdvance(Calendar,V251,"1D","f")</f>
        <v>43154</v>
      </c>
      <c r="W252" s="100">
        <f t="shared" si="12"/>
        <v>0.98356164383561639</v>
      </c>
      <c r="X252" s="353">
        <f>_xll.qlInterpolationInterpolate(B12Minterpolation,V252,TRUE)</f>
        <v>3.0809619949792042E-3</v>
      </c>
      <c r="Y252" s="353">
        <f>_xll.qlInterpolationInterpolate(AbcdInterpolation12M,W252,TRUE)</f>
        <v>3.0897574668669494E-3</v>
      </c>
    </row>
    <row r="253" spans="22:25" x14ac:dyDescent="0.2">
      <c r="V253" s="114">
        <f>_xll.qlCalendarAdvance(Calendar,V252,"1D","f")</f>
        <v>43157</v>
      </c>
      <c r="W253" s="100">
        <f t="shared" si="12"/>
        <v>0.99178082191780825</v>
      </c>
      <c r="X253" s="353">
        <f>_xll.qlInterpolationInterpolate(B12Minterpolation,V253,TRUE)</f>
        <v>3.0836851248558154E-3</v>
      </c>
      <c r="Y253" s="353">
        <f>_xll.qlInterpolationInterpolate(AbcdInterpolation12M,W253,TRUE)</f>
        <v>3.0929632107809866E-3</v>
      </c>
    </row>
    <row r="254" spans="22:25" x14ac:dyDescent="0.2">
      <c r="V254" s="114">
        <f>_xll.qlCalendarAdvance(Calendar,V253,"1D","f")</f>
        <v>43158</v>
      </c>
      <c r="W254" s="100">
        <f t="shared" si="12"/>
        <v>0.9945205479452055</v>
      </c>
      <c r="X254" s="353">
        <f>_xll.qlInterpolationInterpolate(B12Minterpolation,V254,TRUE)</f>
        <v>3.0845910249369304E-3</v>
      </c>
      <c r="Y254" s="353">
        <f>_xll.qlInterpolationInterpolate(AbcdInterpolation12M,W254,TRUE)</f>
        <v>3.0940228004142172E-3</v>
      </c>
    </row>
    <row r="255" spans="22:25" x14ac:dyDescent="0.2">
      <c r="V255" s="114">
        <f>_xll.qlCalendarAdvance(Calendar,V254,"1D","f")</f>
        <v>43159</v>
      </c>
      <c r="W255" s="100">
        <f t="shared" si="12"/>
        <v>0.99726027397260275</v>
      </c>
      <c r="X255" s="353">
        <f>_xll.qlInterpolationInterpolate(B12Minterpolation,V255,TRUE)</f>
        <v>3.0854962168050106E-3</v>
      </c>
      <c r="Y255" s="353">
        <f>_xll.qlInterpolationInterpolate(AbcdInterpolation12M,W255,TRUE)</f>
        <v>3.0950779094755473E-3</v>
      </c>
    </row>
    <row r="256" spans="22:25" x14ac:dyDescent="0.2">
      <c r="V256" s="114">
        <f>_xll.qlCalendarAdvance(Calendar,V255,"1D","f")</f>
        <v>43160</v>
      </c>
      <c r="W256" s="100">
        <f t="shared" si="12"/>
        <v>1</v>
      </c>
      <c r="X256" s="353">
        <f>_xll.qlInterpolationInterpolate(B12Minterpolation,V256,TRUE)</f>
        <v>3.0864008184955621E-3</v>
      </c>
      <c r="Y256" s="353">
        <f>_xll.qlInterpolationInterpolate(AbcdInterpolation12M,W256,TRUE)</f>
        <v>3.0961285471083708E-3</v>
      </c>
    </row>
    <row r="257" spans="22:25" x14ac:dyDescent="0.2">
      <c r="V257" s="114">
        <f>_xll.qlCalendarAdvance(Calendar,V256,"1D","f")</f>
        <v>43161</v>
      </c>
      <c r="W257" s="100">
        <f t="shared" si="12"/>
        <v>1.0027397260273974</v>
      </c>
      <c r="X257" s="353">
        <f>_xll.qlInterpolationInterpolate(B12Minterpolation,V257,TRUE)</f>
        <v>3.0873049480440902E-3</v>
      </c>
      <c r="Y257" s="353">
        <f>_xll.qlInterpolationInterpolate(AbcdInterpolation12M,W257,TRUE)</f>
        <v>3.0971747224460885E-3</v>
      </c>
    </row>
    <row r="258" spans="22:25" x14ac:dyDescent="0.2">
      <c r="V258" s="114">
        <f>_xll.qlCalendarAdvance(Calendar,V257,"1D","f")</f>
        <v>43164</v>
      </c>
      <c r="W258" s="100">
        <f t="shared" si="12"/>
        <v>1.010958904109589</v>
      </c>
      <c r="X258" s="353">
        <f>_xll.qlInterpolationInterpolate(B12Minterpolation,V258,TRUE)</f>
        <v>3.0900156841925938E-3</v>
      </c>
      <c r="Y258" s="353">
        <f>_xll.qlInterpolationInterpolate(AbcdInterpolation12M,W258,TRUE)</f>
        <v>3.1002865658718137E-3</v>
      </c>
    </row>
    <row r="259" spans="22:25" x14ac:dyDescent="0.2">
      <c r="V259" s="114">
        <f>_xll.qlCalendarAdvance(Calendar,V258,"1D","f")</f>
        <v>43165</v>
      </c>
      <c r="W259" s="100">
        <f t="shared" ref="W259:W262" si="13">(V259-EvaluationDate)/365</f>
        <v>1.0136986301369864</v>
      </c>
      <c r="X259" s="353">
        <f>_xll.qlInterpolationInterpolate(B12Minterpolation,V259,TRUE)</f>
        <v>3.0909191055280873E-3</v>
      </c>
      <c r="Y259" s="353">
        <f>_xll.qlInterpolationInterpolate(AbcdInterpolation12M,W259,TRUE)</f>
        <v>3.1013149831617768E-3</v>
      </c>
    </row>
    <row r="260" spans="22:25" x14ac:dyDescent="0.2">
      <c r="V260" s="114">
        <f>_xll.qlCalendarAdvance(Calendar,V259,"1D","f")</f>
        <v>43166</v>
      </c>
      <c r="W260" s="100">
        <f t="shared" si="13"/>
        <v>1.0164383561643835</v>
      </c>
      <c r="X260" s="353">
        <f>_xll.qlInterpolationInterpolate(B12Minterpolation,V260,TRUE)</f>
        <v>3.0918226448990865E-3</v>
      </c>
      <c r="Y260" s="353">
        <f>_xll.qlInterpolationInterpolate(AbcdInterpolation12M,W260,TRUE)</f>
        <v>3.10233898367228E-3</v>
      </c>
    </row>
    <row r="261" spans="22:25" x14ac:dyDescent="0.2">
      <c r="V261" s="114">
        <f>_xll.qlCalendarAdvance(Calendar,V260,"1D","f")</f>
        <v>43167</v>
      </c>
      <c r="W261" s="100">
        <f t="shared" si="13"/>
        <v>1.0191780821917809</v>
      </c>
      <c r="X261" s="353">
        <f>_xll.qlInterpolationInterpolate(B12Minterpolation,V261,TRUE)</f>
        <v>3.0927264203410975E-3</v>
      </c>
      <c r="Y261" s="353">
        <f>_xll.qlInterpolationInterpolate(AbcdInterpolation12M,W261,TRUE)</f>
        <v>3.1033585764759031E-3</v>
      </c>
    </row>
    <row r="262" spans="22:25" x14ac:dyDescent="0.2">
      <c r="V262" s="118">
        <f>_xll.qlCalendarAdvance(Calendar,V261,"1D","f")</f>
        <v>43168</v>
      </c>
      <c r="W262" s="105">
        <f t="shared" si="13"/>
        <v>1.021917808219178</v>
      </c>
      <c r="X262" s="354">
        <f>_xll.qlInterpolationInterpolate(B12Minterpolation,V262,TRUE)</f>
        <v>3.0936305498896256E-3</v>
      </c>
      <c r="Y262" s="354">
        <f>_xll.qlInterpolationInterpolate(AbcdInterpolation12M,W262,TRUE)</f>
        <v>3.1043737706349483E-3</v>
      </c>
    </row>
    <row r="263" spans="22:25" x14ac:dyDescent="0.2">
      <c r="V263" s="231"/>
      <c r="W263" s="231"/>
      <c r="X263" s="273"/>
      <c r="Y263" s="273"/>
    </row>
    <row r="264" spans="22:25" x14ac:dyDescent="0.2">
      <c r="V264" s="231"/>
      <c r="W264" s="231"/>
      <c r="X264" s="273"/>
      <c r="Y264" s="273"/>
    </row>
    <row r="265" spans="22:25" x14ac:dyDescent="0.2">
      <c r="V265" s="231"/>
      <c r="W265" s="231"/>
      <c r="X265" s="273"/>
      <c r="Y265" s="273"/>
    </row>
    <row r="266" spans="22:25" x14ac:dyDescent="0.2">
      <c r="V266" s="231"/>
      <c r="W266" s="231"/>
      <c r="X266" s="273"/>
      <c r="Y266" s="273"/>
    </row>
    <row r="267" spans="22:25" x14ac:dyDescent="0.2">
      <c r="V267" s="231"/>
      <c r="W267" s="231"/>
      <c r="X267" s="273"/>
      <c r="Y267" s="273"/>
    </row>
    <row r="268" spans="22:25" x14ac:dyDescent="0.2">
      <c r="V268" s="231"/>
      <c r="W268" s="231"/>
      <c r="X268" s="273"/>
      <c r="Y268" s="273"/>
    </row>
    <row r="269" spans="22:25" x14ac:dyDescent="0.2">
      <c r="V269" s="231"/>
      <c r="W269" s="231"/>
      <c r="X269" s="273"/>
      <c r="Y269" s="273"/>
    </row>
    <row r="270" spans="22:25" x14ac:dyDescent="0.2">
      <c r="V270" s="231"/>
      <c r="W270" s="231"/>
      <c r="X270" s="273"/>
      <c r="Y270" s="273"/>
    </row>
    <row r="271" spans="22:25" x14ac:dyDescent="0.2">
      <c r="V271" s="231"/>
      <c r="W271" s="231"/>
      <c r="X271" s="273"/>
      <c r="Y271" s="273"/>
    </row>
    <row r="272" spans="22:25" x14ac:dyDescent="0.2">
      <c r="V272" s="231"/>
      <c r="W272" s="231"/>
      <c r="X272" s="273"/>
      <c r="Y272" s="273"/>
    </row>
    <row r="273" spans="22:25" x14ac:dyDescent="0.2">
      <c r="V273" s="231"/>
      <c r="W273" s="231"/>
      <c r="X273" s="273"/>
      <c r="Y273" s="273"/>
    </row>
    <row r="274" spans="22:25" x14ac:dyDescent="0.2">
      <c r="V274" s="231"/>
      <c r="W274" s="231"/>
      <c r="X274" s="273"/>
      <c r="Y274" s="273"/>
    </row>
    <row r="275" spans="22:25" x14ac:dyDescent="0.2">
      <c r="V275" s="231"/>
      <c r="W275" s="231"/>
      <c r="X275" s="273"/>
      <c r="Y275" s="273"/>
    </row>
    <row r="276" spans="22:25" x14ac:dyDescent="0.2">
      <c r="V276" s="231"/>
      <c r="W276" s="231"/>
      <c r="X276" s="273"/>
      <c r="Y276" s="273"/>
    </row>
    <row r="277" spans="22:25" x14ac:dyDescent="0.2">
      <c r="V277" s="231"/>
      <c r="W277" s="231"/>
      <c r="X277" s="273"/>
      <c r="Y277" s="273"/>
    </row>
    <row r="278" spans="22:25" x14ac:dyDescent="0.2">
      <c r="V278" s="231"/>
      <c r="W278" s="231"/>
      <c r="X278" s="273"/>
      <c r="Y278" s="273"/>
    </row>
    <row r="279" spans="22:25" x14ac:dyDescent="0.2">
      <c r="V279" s="231"/>
      <c r="W279" s="231"/>
      <c r="X279" s="273"/>
      <c r="Y279" s="273"/>
    </row>
    <row r="280" spans="22:25" x14ac:dyDescent="0.2">
      <c r="V280" s="231"/>
      <c r="W280" s="231"/>
      <c r="X280" s="273"/>
      <c r="Y280" s="273"/>
    </row>
    <row r="281" spans="22:25" x14ac:dyDescent="0.2">
      <c r="V281" s="231"/>
      <c r="W281" s="231"/>
      <c r="X281" s="273"/>
      <c r="Y281" s="273"/>
    </row>
    <row r="282" spans="22:25" x14ac:dyDescent="0.2">
      <c r="V282" s="231"/>
      <c r="W282" s="231"/>
      <c r="X282" s="273"/>
      <c r="Y282" s="273"/>
    </row>
    <row r="283" spans="22:25" x14ac:dyDescent="0.2">
      <c r="V283" s="231"/>
      <c r="W283" s="231"/>
      <c r="X283" s="273"/>
      <c r="Y283" s="273"/>
    </row>
    <row r="284" spans="22:25" x14ac:dyDescent="0.2">
      <c r="V284" s="231"/>
      <c r="W284" s="231"/>
      <c r="X284" s="273"/>
      <c r="Y284" s="273"/>
    </row>
    <row r="285" spans="22:25" x14ac:dyDescent="0.2">
      <c r="V285" s="231"/>
      <c r="W285" s="231"/>
      <c r="X285" s="273"/>
      <c r="Y285" s="273"/>
    </row>
    <row r="286" spans="22:25" x14ac:dyDescent="0.2">
      <c r="V286" s="231"/>
      <c r="W286" s="231"/>
      <c r="X286" s="273"/>
      <c r="Y286" s="273"/>
    </row>
    <row r="287" spans="22:25" x14ac:dyDescent="0.2">
      <c r="V287" s="231"/>
      <c r="W287" s="231"/>
      <c r="X287" s="273"/>
      <c r="Y287" s="273"/>
    </row>
    <row r="288" spans="22:25" x14ac:dyDescent="0.2">
      <c r="V288" s="231"/>
      <c r="W288" s="231"/>
      <c r="X288" s="273"/>
      <c r="Y288" s="273"/>
    </row>
    <row r="289" spans="22:25" x14ac:dyDescent="0.2">
      <c r="V289" s="231"/>
      <c r="W289" s="231"/>
      <c r="X289" s="273"/>
      <c r="Y289" s="273"/>
    </row>
    <row r="290" spans="22:25" x14ac:dyDescent="0.2">
      <c r="V290" s="231"/>
      <c r="W290" s="231"/>
      <c r="X290" s="273"/>
      <c r="Y290" s="273"/>
    </row>
    <row r="291" spans="22:25" x14ac:dyDescent="0.2">
      <c r="V291" s="231"/>
      <c r="W291" s="231"/>
      <c r="X291" s="273"/>
      <c r="Y291" s="273"/>
    </row>
    <row r="292" spans="22:25" x14ac:dyDescent="0.2">
      <c r="V292" s="231"/>
      <c r="W292" s="231"/>
      <c r="X292" s="273"/>
      <c r="Y292" s="273"/>
    </row>
    <row r="293" spans="22:25" x14ac:dyDescent="0.2">
      <c r="V293" s="231"/>
      <c r="W293" s="231"/>
      <c r="X293" s="273"/>
      <c r="Y293" s="273"/>
    </row>
    <row r="294" spans="22:25" x14ac:dyDescent="0.2">
      <c r="V294" s="231"/>
      <c r="W294" s="231"/>
      <c r="X294" s="273"/>
      <c r="Y294" s="273"/>
    </row>
    <row r="295" spans="22:25" x14ac:dyDescent="0.2">
      <c r="V295" s="231"/>
      <c r="W295" s="231"/>
      <c r="X295" s="273"/>
      <c r="Y295" s="273"/>
    </row>
    <row r="296" spans="22:25" x14ac:dyDescent="0.2">
      <c r="V296" s="231"/>
      <c r="W296" s="231"/>
      <c r="X296" s="273"/>
      <c r="Y296" s="273"/>
    </row>
    <row r="297" spans="22:25" x14ac:dyDescent="0.2">
      <c r="V297" s="231"/>
      <c r="W297" s="231"/>
      <c r="X297" s="273"/>
      <c r="Y297" s="273"/>
    </row>
    <row r="298" spans="22:25" x14ac:dyDescent="0.2">
      <c r="V298" s="231"/>
      <c r="W298" s="231"/>
      <c r="X298" s="273"/>
      <c r="Y298" s="273"/>
    </row>
    <row r="299" spans="22:25" x14ac:dyDescent="0.2">
      <c r="V299" s="231"/>
      <c r="W299" s="231"/>
      <c r="X299" s="273"/>
      <c r="Y299" s="273"/>
    </row>
    <row r="300" spans="22:25" x14ac:dyDescent="0.2">
      <c r="V300" s="231"/>
      <c r="W300" s="231"/>
      <c r="X300" s="273"/>
      <c r="Y300" s="273"/>
    </row>
    <row r="301" spans="22:25" x14ac:dyDescent="0.2">
      <c r="V301" s="231"/>
      <c r="W301" s="231"/>
      <c r="X301" s="273"/>
      <c r="Y301" s="273"/>
    </row>
    <row r="302" spans="22:25" x14ac:dyDescent="0.2">
      <c r="V302" s="231"/>
      <c r="W302" s="231"/>
      <c r="X302" s="273"/>
      <c r="Y302" s="273"/>
    </row>
    <row r="303" spans="22:25" x14ac:dyDescent="0.2">
      <c r="V303" s="231"/>
      <c r="W303" s="231"/>
      <c r="X303" s="273"/>
      <c r="Y303" s="273"/>
    </row>
    <row r="304" spans="22:25" x14ac:dyDescent="0.2">
      <c r="V304" s="231"/>
      <c r="W304" s="231"/>
      <c r="X304" s="273"/>
      <c r="Y304" s="273"/>
    </row>
    <row r="305" spans="22:25" x14ac:dyDescent="0.2">
      <c r="V305" s="231"/>
      <c r="W305" s="231"/>
      <c r="X305" s="273"/>
      <c r="Y305" s="273"/>
    </row>
    <row r="306" spans="22:25" x14ac:dyDescent="0.2">
      <c r="V306" s="231"/>
      <c r="W306" s="231"/>
      <c r="X306" s="273"/>
      <c r="Y306" s="273"/>
    </row>
    <row r="307" spans="22:25" x14ac:dyDescent="0.2">
      <c r="V307" s="231"/>
      <c r="W307" s="231"/>
      <c r="X307" s="273"/>
      <c r="Y307" s="273"/>
    </row>
    <row r="308" spans="22:25" x14ac:dyDescent="0.2">
      <c r="V308" s="231"/>
      <c r="W308" s="231"/>
      <c r="X308" s="273"/>
      <c r="Y308" s="273"/>
    </row>
    <row r="309" spans="22:25" x14ac:dyDescent="0.2">
      <c r="V309" s="231"/>
      <c r="W309" s="231"/>
      <c r="X309" s="273"/>
      <c r="Y309" s="273"/>
    </row>
    <row r="310" spans="22:25" x14ac:dyDescent="0.2">
      <c r="V310" s="231"/>
      <c r="W310" s="231"/>
      <c r="X310" s="273"/>
      <c r="Y310" s="273"/>
    </row>
    <row r="311" spans="22:25" x14ac:dyDescent="0.2">
      <c r="V311" s="231"/>
      <c r="W311" s="231"/>
      <c r="X311" s="273"/>
      <c r="Y311" s="273"/>
    </row>
    <row r="312" spans="22:25" x14ac:dyDescent="0.2">
      <c r="V312" s="231"/>
      <c r="W312" s="231"/>
      <c r="X312" s="273"/>
      <c r="Y312" s="273"/>
    </row>
    <row r="313" spans="22:25" x14ac:dyDescent="0.2">
      <c r="V313" s="231"/>
      <c r="W313" s="231"/>
      <c r="X313" s="273"/>
      <c r="Y313" s="273"/>
    </row>
    <row r="314" spans="22:25" x14ac:dyDescent="0.2">
      <c r="V314" s="231"/>
      <c r="W314" s="231"/>
      <c r="X314" s="273"/>
      <c r="Y314" s="273"/>
    </row>
    <row r="315" spans="22:25" x14ac:dyDescent="0.2">
      <c r="V315" s="231"/>
      <c r="W315" s="231"/>
      <c r="X315" s="273"/>
      <c r="Y315" s="273"/>
    </row>
    <row r="316" spans="22:25" x14ac:dyDescent="0.2">
      <c r="V316" s="231"/>
      <c r="W316" s="231"/>
      <c r="X316" s="273"/>
      <c r="Y316" s="273"/>
    </row>
    <row r="317" spans="22:25" x14ac:dyDescent="0.2">
      <c r="V317" s="231"/>
      <c r="W317" s="231"/>
      <c r="X317" s="273"/>
      <c r="Y317" s="273"/>
    </row>
    <row r="318" spans="22:25" x14ac:dyDescent="0.2">
      <c r="V318" s="231"/>
      <c r="W318" s="231"/>
      <c r="X318" s="273"/>
      <c r="Y318" s="273"/>
    </row>
    <row r="319" spans="22:25" x14ac:dyDescent="0.2">
      <c r="V319" s="231"/>
      <c r="W319" s="231"/>
      <c r="X319" s="273"/>
      <c r="Y319" s="273"/>
    </row>
    <row r="320" spans="22:25" x14ac:dyDescent="0.2">
      <c r="V320" s="231"/>
      <c r="W320" s="231"/>
      <c r="X320" s="273"/>
      <c r="Y320" s="273"/>
    </row>
    <row r="321" spans="22:25" x14ac:dyDescent="0.2">
      <c r="V321" s="231"/>
      <c r="W321" s="231"/>
      <c r="X321" s="273"/>
      <c r="Y321" s="273"/>
    </row>
    <row r="322" spans="22:25" x14ac:dyDescent="0.2">
      <c r="V322" s="231"/>
      <c r="W322" s="231"/>
      <c r="X322" s="273"/>
      <c r="Y322" s="273"/>
    </row>
    <row r="323" spans="22:25" x14ac:dyDescent="0.2">
      <c r="V323" s="231"/>
      <c r="W323" s="231"/>
      <c r="X323" s="273"/>
      <c r="Y323" s="273"/>
    </row>
    <row r="324" spans="22:25" x14ac:dyDescent="0.2">
      <c r="V324" s="231"/>
      <c r="W324" s="231"/>
      <c r="X324" s="273"/>
      <c r="Y324" s="273"/>
    </row>
    <row r="325" spans="22:25" x14ac:dyDescent="0.2">
      <c r="V325" s="231"/>
      <c r="W325" s="231"/>
      <c r="X325" s="273"/>
      <c r="Y325" s="273"/>
    </row>
    <row r="326" spans="22:25" x14ac:dyDescent="0.2">
      <c r="V326" s="231"/>
      <c r="W326" s="231"/>
      <c r="X326" s="273"/>
      <c r="Y326" s="273"/>
    </row>
    <row r="327" spans="22:25" x14ac:dyDescent="0.2">
      <c r="V327" s="231"/>
      <c r="W327" s="231"/>
      <c r="X327" s="273"/>
      <c r="Y327" s="273"/>
    </row>
    <row r="328" spans="22:25" x14ac:dyDescent="0.2">
      <c r="V328" s="231"/>
      <c r="W328" s="231"/>
      <c r="X328" s="273"/>
      <c r="Y328" s="273"/>
    </row>
    <row r="329" spans="22:25" x14ac:dyDescent="0.2">
      <c r="V329" s="231"/>
      <c r="W329" s="231"/>
      <c r="X329" s="273"/>
      <c r="Y329" s="273"/>
    </row>
    <row r="330" spans="22:25" x14ac:dyDescent="0.2">
      <c r="V330" s="231"/>
      <c r="W330" s="231"/>
      <c r="X330" s="273"/>
      <c r="Y330" s="273"/>
    </row>
    <row r="331" spans="22:25" x14ac:dyDescent="0.2">
      <c r="V331" s="231"/>
      <c r="W331" s="231"/>
      <c r="X331" s="273"/>
      <c r="Y331" s="273"/>
    </row>
    <row r="332" spans="22:25" x14ac:dyDescent="0.2">
      <c r="V332" s="231"/>
      <c r="W332" s="231"/>
      <c r="X332" s="273"/>
      <c r="Y332" s="273"/>
    </row>
    <row r="333" spans="22:25" x14ac:dyDescent="0.2">
      <c r="V333" s="231"/>
      <c r="W333" s="231"/>
      <c r="X333" s="273"/>
      <c r="Y333" s="273"/>
    </row>
    <row r="334" spans="22:25" x14ac:dyDescent="0.2">
      <c r="V334" s="231"/>
      <c r="W334" s="231"/>
      <c r="X334" s="273"/>
      <c r="Y334" s="273"/>
    </row>
    <row r="335" spans="22:25" x14ac:dyDescent="0.2">
      <c r="V335" s="231"/>
      <c r="W335" s="231"/>
      <c r="X335" s="273"/>
      <c r="Y335" s="273"/>
    </row>
    <row r="336" spans="22:25" x14ac:dyDescent="0.2">
      <c r="V336" s="231"/>
      <c r="W336" s="231"/>
      <c r="X336" s="273"/>
      <c r="Y336" s="273"/>
    </row>
    <row r="337" spans="22:25" x14ac:dyDescent="0.2">
      <c r="V337" s="231"/>
      <c r="W337" s="231"/>
      <c r="X337" s="273"/>
      <c r="Y337" s="273"/>
    </row>
    <row r="338" spans="22:25" x14ac:dyDescent="0.2">
      <c r="V338" s="231"/>
      <c r="W338" s="231"/>
      <c r="X338" s="273"/>
      <c r="Y338" s="273"/>
    </row>
    <row r="339" spans="22:25" x14ac:dyDescent="0.2">
      <c r="V339" s="231"/>
      <c r="W339" s="231"/>
      <c r="X339" s="273"/>
      <c r="Y339" s="273"/>
    </row>
    <row r="340" spans="22:25" x14ac:dyDescent="0.2">
      <c r="V340" s="231"/>
      <c r="W340" s="231"/>
      <c r="X340" s="273"/>
      <c r="Y340" s="273"/>
    </row>
    <row r="341" spans="22:25" x14ac:dyDescent="0.2">
      <c r="V341" s="231"/>
      <c r="W341" s="231"/>
      <c r="X341" s="273"/>
      <c r="Y341" s="273"/>
    </row>
    <row r="342" spans="22:25" x14ac:dyDescent="0.2">
      <c r="V342" s="231"/>
      <c r="W342" s="231"/>
      <c r="X342" s="273"/>
      <c r="Y342" s="273"/>
    </row>
    <row r="343" spans="22:25" x14ac:dyDescent="0.2">
      <c r="V343" s="231"/>
      <c r="W343" s="231"/>
      <c r="X343" s="273"/>
      <c r="Y343" s="273"/>
    </row>
    <row r="344" spans="22:25" x14ac:dyDescent="0.2">
      <c r="V344" s="231"/>
      <c r="W344" s="231"/>
      <c r="X344" s="273"/>
      <c r="Y344" s="273"/>
    </row>
    <row r="345" spans="22:25" x14ac:dyDescent="0.2">
      <c r="V345" s="231"/>
      <c r="W345" s="231"/>
      <c r="X345" s="273"/>
      <c r="Y345" s="273"/>
    </row>
    <row r="346" spans="22:25" x14ac:dyDescent="0.2">
      <c r="V346" s="231"/>
      <c r="W346" s="231"/>
      <c r="X346" s="273"/>
      <c r="Y346" s="273"/>
    </row>
    <row r="347" spans="22:25" x14ac:dyDescent="0.2">
      <c r="V347" s="231"/>
      <c r="W347" s="231"/>
      <c r="X347" s="273"/>
      <c r="Y347" s="273"/>
    </row>
    <row r="348" spans="22:25" x14ac:dyDescent="0.2">
      <c r="V348" s="231"/>
      <c r="W348" s="231"/>
      <c r="X348" s="273"/>
      <c r="Y348" s="273"/>
    </row>
    <row r="349" spans="22:25" x14ac:dyDescent="0.2">
      <c r="V349" s="231"/>
      <c r="W349" s="231"/>
      <c r="X349" s="273"/>
      <c r="Y349" s="273"/>
    </row>
    <row r="350" spans="22:25" x14ac:dyDescent="0.2">
      <c r="V350" s="231"/>
      <c r="W350" s="231"/>
      <c r="X350" s="273"/>
      <c r="Y350" s="273"/>
    </row>
    <row r="351" spans="22:25" x14ac:dyDescent="0.2">
      <c r="V351" s="231"/>
      <c r="W351" s="231"/>
      <c r="X351" s="273"/>
      <c r="Y351" s="273"/>
    </row>
    <row r="352" spans="22:25" x14ac:dyDescent="0.2">
      <c r="V352" s="231"/>
      <c r="W352" s="231"/>
      <c r="X352" s="273"/>
      <c r="Y352" s="273"/>
    </row>
    <row r="353" spans="22:25" x14ac:dyDescent="0.2">
      <c r="V353" s="231"/>
      <c r="W353" s="231"/>
      <c r="X353" s="273"/>
      <c r="Y353" s="273"/>
    </row>
    <row r="354" spans="22:25" x14ac:dyDescent="0.2">
      <c r="V354" s="231"/>
      <c r="W354" s="231"/>
      <c r="X354" s="273"/>
      <c r="Y354" s="273"/>
    </row>
    <row r="355" spans="22:25" x14ac:dyDescent="0.2">
      <c r="V355" s="231"/>
      <c r="W355" s="231"/>
      <c r="X355" s="273"/>
      <c r="Y355" s="273"/>
    </row>
    <row r="356" spans="22:25" x14ac:dyDescent="0.2">
      <c r="V356" s="231"/>
      <c r="W356" s="231"/>
      <c r="X356" s="273"/>
      <c r="Y356" s="273"/>
    </row>
    <row r="357" spans="22:25" x14ac:dyDescent="0.2">
      <c r="V357" s="231"/>
      <c r="W357" s="231"/>
      <c r="X357" s="273"/>
      <c r="Y357" s="273"/>
    </row>
    <row r="358" spans="22:25" x14ac:dyDescent="0.2">
      <c r="V358" s="231"/>
      <c r="W358" s="231"/>
      <c r="X358" s="273"/>
      <c r="Y358" s="273"/>
    </row>
    <row r="359" spans="22:25" x14ac:dyDescent="0.2">
      <c r="V359" s="231"/>
      <c r="W359" s="231"/>
      <c r="X359" s="273"/>
      <c r="Y359" s="273"/>
    </row>
    <row r="360" spans="22:25" x14ac:dyDescent="0.2">
      <c r="V360" s="231"/>
      <c r="W360" s="231"/>
      <c r="X360" s="273"/>
      <c r="Y360" s="273"/>
    </row>
    <row r="361" spans="22:25" x14ac:dyDescent="0.2">
      <c r="V361" s="231"/>
      <c r="W361" s="231"/>
      <c r="X361" s="273"/>
      <c r="Y361" s="273"/>
    </row>
    <row r="362" spans="22:25" x14ac:dyDescent="0.2">
      <c r="V362" s="231"/>
      <c r="W362" s="231"/>
      <c r="X362" s="273"/>
      <c r="Y362" s="273"/>
    </row>
    <row r="363" spans="22:25" x14ac:dyDescent="0.2">
      <c r="V363" s="231"/>
      <c r="W363" s="231"/>
      <c r="X363" s="273"/>
      <c r="Y363" s="273"/>
    </row>
    <row r="364" spans="22:25" x14ac:dyDescent="0.2">
      <c r="V364" s="231"/>
      <c r="W364" s="231"/>
      <c r="X364" s="273"/>
      <c r="Y364" s="273"/>
    </row>
    <row r="365" spans="22:25" x14ac:dyDescent="0.2">
      <c r="V365" s="231"/>
      <c r="W365" s="231"/>
      <c r="X365" s="273"/>
      <c r="Y365" s="273"/>
    </row>
    <row r="366" spans="22:25" x14ac:dyDescent="0.2">
      <c r="V366" s="231"/>
      <c r="W366" s="231"/>
      <c r="X366" s="273"/>
      <c r="Y366" s="273"/>
    </row>
    <row r="367" spans="22:25" x14ac:dyDescent="0.2">
      <c r="V367" s="231"/>
      <c r="W367" s="231"/>
      <c r="X367" s="273"/>
      <c r="Y367" s="273"/>
    </row>
    <row r="368" spans="22:25" x14ac:dyDescent="0.2">
      <c r="V368" s="231"/>
      <c r="W368" s="231"/>
      <c r="X368" s="273"/>
      <c r="Y368" s="273"/>
    </row>
    <row r="369" spans="22:25" x14ac:dyDescent="0.2">
      <c r="V369" s="231"/>
      <c r="W369" s="231"/>
      <c r="X369" s="273"/>
      <c r="Y369" s="273"/>
    </row>
    <row r="370" spans="22:25" x14ac:dyDescent="0.2">
      <c r="V370" s="231"/>
      <c r="W370" s="231"/>
      <c r="X370" s="273"/>
      <c r="Y370" s="273"/>
    </row>
    <row r="371" spans="22:25" x14ac:dyDescent="0.2">
      <c r="V371" s="231"/>
      <c r="W371" s="231"/>
      <c r="X371" s="273"/>
      <c r="Y371" s="273"/>
    </row>
    <row r="372" spans="22:25" x14ac:dyDescent="0.2">
      <c r="V372" s="231"/>
      <c r="W372" s="231"/>
      <c r="X372" s="273"/>
      <c r="Y372" s="273"/>
    </row>
    <row r="373" spans="22:25" x14ac:dyDescent="0.2">
      <c r="V373" s="231"/>
      <c r="W373" s="231"/>
      <c r="X373" s="273"/>
      <c r="Y373" s="273"/>
    </row>
    <row r="374" spans="22:25" x14ac:dyDescent="0.2">
      <c r="V374" s="231"/>
      <c r="W374" s="231"/>
      <c r="X374" s="273"/>
      <c r="Y374" s="273"/>
    </row>
    <row r="375" spans="22:25" x14ac:dyDescent="0.2">
      <c r="V375" s="231"/>
      <c r="W375" s="231"/>
      <c r="X375" s="273"/>
      <c r="Y375" s="273"/>
    </row>
    <row r="376" spans="22:25" x14ac:dyDescent="0.2">
      <c r="V376" s="231"/>
      <c r="W376" s="231"/>
      <c r="X376" s="273"/>
      <c r="Y376" s="273"/>
    </row>
    <row r="377" spans="22:25" x14ac:dyDescent="0.2">
      <c r="V377" s="231"/>
      <c r="W377" s="231"/>
      <c r="X377" s="273"/>
      <c r="Y377" s="273"/>
    </row>
    <row r="378" spans="22:25" x14ac:dyDescent="0.2">
      <c r="V378" s="231"/>
      <c r="W378" s="231"/>
      <c r="X378" s="273"/>
      <c r="Y378" s="273"/>
    </row>
    <row r="379" spans="22:25" x14ac:dyDescent="0.2">
      <c r="V379" s="231"/>
      <c r="W379" s="231"/>
      <c r="X379" s="273"/>
      <c r="Y379" s="273"/>
    </row>
    <row r="380" spans="22:25" x14ac:dyDescent="0.2">
      <c r="V380" s="231"/>
      <c r="W380" s="231"/>
      <c r="X380" s="273"/>
      <c r="Y380" s="273"/>
    </row>
    <row r="381" spans="22:25" x14ac:dyDescent="0.2">
      <c r="V381" s="231"/>
      <c r="W381" s="231"/>
      <c r="X381" s="273"/>
      <c r="Y381" s="273"/>
    </row>
    <row r="382" spans="22:25" x14ac:dyDescent="0.2">
      <c r="V382" s="231"/>
      <c r="W382" s="231"/>
      <c r="X382" s="273"/>
      <c r="Y382" s="273"/>
    </row>
    <row r="383" spans="22:25" x14ac:dyDescent="0.2">
      <c r="V383" s="231"/>
      <c r="W383" s="231"/>
      <c r="X383" s="273"/>
      <c r="Y383" s="273"/>
    </row>
    <row r="384" spans="22:25" x14ac:dyDescent="0.2">
      <c r="V384" s="231"/>
      <c r="W384" s="231"/>
      <c r="X384" s="273"/>
      <c r="Y384" s="273"/>
    </row>
  </sheetData>
  <dataValidations count="1">
    <dataValidation type="list" allowBlank="1" showInputMessage="1" showErrorMessage="1" sqref="N3:O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62</vt:i4>
      </vt:variant>
    </vt:vector>
  </HeadingPairs>
  <TitlesOfParts>
    <vt:vector size="72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AbcdInterpolation12M</vt:lpstr>
      <vt:lpstr>AbcdInterpolation3M</vt:lpstr>
      <vt:lpstr>AbcdInterpolation6M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EndCriteria</vt:lpstr>
      <vt:lpstr>EvaluationDate</vt:lpstr>
      <vt:lpstr>FixingDiff12M</vt:lpstr>
      <vt:lpstr>FixingDiff3M</vt:lpstr>
      <vt:lpstr>FixingDiff6M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LevenbergMarquardt</vt:lpstr>
      <vt:lpstr>LiveDataFeed</vt:lpstr>
      <vt:lpstr>Mode12M</vt:lpstr>
      <vt:lpstr>Mode3M</vt:lpstr>
      <vt:lpstr>Mode6M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Range12M</vt:lpstr>
      <vt:lpstr>Range3M</vt:lpstr>
      <vt:lpstr>Range6M</vt:lpstr>
      <vt:lpstr>RateTickValue</vt:lpstr>
      <vt:lpstr>SettlementDate</vt:lpstr>
      <vt:lpstr>Simplex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BERTOCCHI NICHOLAS</cp:lastModifiedBy>
  <cp:lastPrinted>2014-03-18T13:51:31Z</cp:lastPrinted>
  <dcterms:created xsi:type="dcterms:W3CDTF">2007-10-30T15:41:10Z</dcterms:created>
  <dcterms:modified xsi:type="dcterms:W3CDTF">2017-03-01T09:28:22Z</dcterms:modified>
</cp:coreProperties>
</file>