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esktop\University of North Dakota\Geothermal Directed Studies - GEOL591\GeoEnergyHackathon\"/>
    </mc:Choice>
  </mc:AlternateContent>
  <xr:revisionPtr revIDLastSave="0" documentId="13_ncr:1_{519C6EB4-4E91-4AA0-A241-172735224B75}" xr6:coauthVersionLast="47" xr6:coauthVersionMax="47" xr10:uidLastSave="{00000000-0000-0000-0000-000000000000}"/>
  <bookViews>
    <workbookView xWindow="-96" yWindow="-96" windowWidth="23232" windowHeight="12552" xr2:uid="{1CA8E550-1655-3A40-B5E5-570192053C5F}"/>
  </bookViews>
  <sheets>
    <sheet name="RESUM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I49" i="2"/>
  <c r="L10" i="2"/>
  <c r="K10" i="2"/>
  <c r="K43" i="2"/>
  <c r="L43" i="2"/>
  <c r="J39" i="2"/>
  <c r="K39" i="2"/>
  <c r="L39" i="2"/>
  <c r="I39" i="2"/>
  <c r="J7" i="2" l="1"/>
  <c r="J8" i="2" s="1"/>
  <c r="J21" i="2"/>
  <c r="J40" i="2" s="1"/>
  <c r="J37" i="2" s="1"/>
  <c r="K21" i="2"/>
  <c r="K40" i="2" s="1"/>
  <c r="K37" i="2" s="1"/>
  <c r="L21" i="2"/>
  <c r="L40" i="2" s="1"/>
  <c r="L38" i="2" s="1"/>
  <c r="I21" i="2"/>
  <c r="I40" i="2" s="1"/>
  <c r="I38" i="2" s="1"/>
  <c r="J26" i="2"/>
  <c r="J31" i="2" s="1"/>
  <c r="J32" i="2" s="1"/>
  <c r="K26" i="2"/>
  <c r="K31" i="2" s="1"/>
  <c r="K32" i="2" s="1"/>
  <c r="L26" i="2"/>
  <c r="L31" i="2" s="1"/>
  <c r="L32" i="2" s="1"/>
  <c r="I26" i="2"/>
  <c r="I31" i="2" s="1"/>
  <c r="I32" i="2" s="1"/>
  <c r="J4" i="2"/>
  <c r="K4" i="2"/>
  <c r="L4" i="2"/>
  <c r="J6" i="2"/>
  <c r="K6" i="2"/>
  <c r="L6" i="2"/>
  <c r="K8" i="2"/>
  <c r="L8" i="2"/>
  <c r="I8" i="2"/>
  <c r="I37" i="2" l="1"/>
  <c r="L37" i="2"/>
  <c r="L36" i="2"/>
  <c r="L49" i="2" s="1"/>
  <c r="J38" i="2"/>
  <c r="J36" i="2" s="1"/>
  <c r="J49" i="2" s="1"/>
  <c r="K38" i="2"/>
  <c r="K36" i="2" s="1"/>
  <c r="K49" i="2" s="1"/>
  <c r="I36" i="2"/>
  <c r="J33" i="2"/>
  <c r="I33" i="2"/>
  <c r="K33" i="2"/>
  <c r="L33" i="2"/>
  <c r="J13" i="2"/>
  <c r="J14" i="2" s="1"/>
  <c r="K13" i="2"/>
  <c r="K14" i="2" s="1"/>
  <c r="L13" i="2"/>
  <c r="L14" i="2" s="1"/>
  <c r="T12" i="2"/>
  <c r="I6" i="2"/>
  <c r="I4" i="2"/>
  <c r="K17" i="2" l="1"/>
  <c r="K28" i="2"/>
  <c r="K35" i="2" s="1"/>
  <c r="J17" i="2"/>
  <c r="J28" i="2"/>
  <c r="J35" i="2" s="1"/>
  <c r="L17" i="2"/>
  <c r="L28" i="2"/>
  <c r="L35" i="2" s="1"/>
  <c r="I13" i="2"/>
  <c r="I14" i="2" s="1"/>
  <c r="I28" i="2" s="1"/>
  <c r="I35" i="2" s="1"/>
  <c r="I29" i="2" l="1"/>
  <c r="I30" i="2"/>
  <c r="J30" i="2"/>
  <c r="J29" i="2"/>
  <c r="K30" i="2"/>
  <c r="K29" i="2"/>
  <c r="L30" i="2"/>
  <c r="L29" i="2"/>
  <c r="I17" i="2"/>
</calcChain>
</file>

<file path=xl/sharedStrings.xml><?xml version="1.0" encoding="utf-8"?>
<sst xmlns="http://schemas.openxmlformats.org/spreadsheetml/2006/main" count="106" uniqueCount="91">
  <si>
    <t>m2</t>
  </si>
  <si>
    <t>thickness</t>
  </si>
  <si>
    <t>m</t>
  </si>
  <si>
    <t>reservoir radius</t>
  </si>
  <si>
    <t>permeability</t>
  </si>
  <si>
    <t>Reservoir Pressure</t>
  </si>
  <si>
    <t>Flowing Pressure</t>
  </si>
  <si>
    <t>viscocity</t>
  </si>
  <si>
    <t>wellbore radius</t>
  </si>
  <si>
    <t>mD</t>
  </si>
  <si>
    <t>CP</t>
  </si>
  <si>
    <t>Q</t>
  </si>
  <si>
    <t>l/s</t>
  </si>
  <si>
    <t>Caudal volumetrico</t>
  </si>
  <si>
    <t>ln(re/rw)</t>
  </si>
  <si>
    <t>Pa*s</t>
  </si>
  <si>
    <t>visc cinematica</t>
  </si>
  <si>
    <t>m3/s</t>
  </si>
  <si>
    <t>Pa</t>
  </si>
  <si>
    <t>densuty of water</t>
  </si>
  <si>
    <t>mass flow</t>
  </si>
  <si>
    <t>Kg/l</t>
  </si>
  <si>
    <t>kg/s</t>
  </si>
  <si>
    <t>in</t>
  </si>
  <si>
    <t>ft</t>
  </si>
  <si>
    <t>psi</t>
  </si>
  <si>
    <t>K</t>
  </si>
  <si>
    <t>PHI</t>
  </si>
  <si>
    <t>EO5</t>
  </si>
  <si>
    <t>PO3</t>
  </si>
  <si>
    <t>IO1</t>
  </si>
  <si>
    <t>EO1</t>
  </si>
  <si>
    <t>Q (l/s)</t>
  </si>
  <si>
    <t>Range</t>
  </si>
  <si>
    <t>Pressure</t>
  </si>
  <si>
    <t>temp gradiente</t>
  </si>
  <si>
    <t>H (m)</t>
  </si>
  <si>
    <t xml:space="preserve">TEMP (F) </t>
  </si>
  <si>
    <t>TOP</t>
  </si>
  <si>
    <t>BOTTOM</t>
  </si>
  <si>
    <t>Press gradiente</t>
  </si>
  <si>
    <t>Temp superficial</t>
  </si>
  <si>
    <t>WI</t>
  </si>
  <si>
    <t>(l/s/Mpa)</t>
  </si>
  <si>
    <t>Calor total</t>
  </si>
  <si>
    <t>Qt</t>
  </si>
  <si>
    <t>kJ</t>
  </si>
  <si>
    <t>Calor almacenado en la roca</t>
  </si>
  <si>
    <t>Qr</t>
  </si>
  <si>
    <t>Calor almacennado en el fluido</t>
  </si>
  <si>
    <t>Qf</t>
  </si>
  <si>
    <t>Area</t>
  </si>
  <si>
    <t>A</t>
  </si>
  <si>
    <t>km2</t>
  </si>
  <si>
    <t>Espesor del reservorio</t>
  </si>
  <si>
    <t>h</t>
  </si>
  <si>
    <t>Calor específico de la roca</t>
  </si>
  <si>
    <t>Cr</t>
  </si>
  <si>
    <t>kJ/kg deg(C)</t>
  </si>
  <si>
    <t>Calor específico del fluido</t>
  </si>
  <si>
    <t>Cf</t>
  </si>
  <si>
    <t>Porosidad de la roca</t>
  </si>
  <si>
    <t>phi</t>
  </si>
  <si>
    <t>Temperatura media del reservorio.</t>
  </si>
  <si>
    <t>Ti</t>
  </si>
  <si>
    <t>deg(C)</t>
  </si>
  <si>
    <t>Temperatura de abandono del reservorio</t>
  </si>
  <si>
    <t>Ta</t>
  </si>
  <si>
    <t xml:space="preserve">Densidad de la roca </t>
  </si>
  <si>
    <t>rhor</t>
  </si>
  <si>
    <t>kg/m3</t>
  </si>
  <si>
    <t>Densidad del fluido</t>
  </si>
  <si>
    <t>rhof</t>
  </si>
  <si>
    <t>Parámetros de la Planta Geotérmica:</t>
  </si>
  <si>
    <t>Potencial de energía</t>
  </si>
  <si>
    <t>P</t>
  </si>
  <si>
    <t>MWe</t>
  </si>
  <si>
    <t>Factor de recuperación de calor</t>
  </si>
  <si>
    <t>Rf</t>
  </si>
  <si>
    <t>adim</t>
  </si>
  <si>
    <t>Eficiencia de conversión</t>
  </si>
  <si>
    <t>Ce</t>
  </si>
  <si>
    <t>Factor de Planta</t>
  </si>
  <si>
    <r>
      <t>P</t>
    </r>
    <r>
      <rPr>
        <vertAlign val="subscript"/>
        <sz val="10"/>
        <color indexed="8"/>
        <rFont val="Arial"/>
        <family val="2"/>
      </rPr>
      <t>f</t>
    </r>
  </si>
  <si>
    <t>Tiempo</t>
  </si>
  <si>
    <t>t</t>
  </si>
  <si>
    <t>years</t>
  </si>
  <si>
    <t>Temperatura</t>
  </si>
  <si>
    <t>Ti ( ° C )</t>
  </si>
  <si>
    <t>rhof ( kg/m3)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</si>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</sst>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0.0"/>
    <numFmt numFmtId="168" formatCode="0.000E+00"/>
  </numFmts>
  <fonts count="5" x14ac:knownFonts="1">
    <font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rgb="FF222222"/>
      <name val="Arial"/>
      <family val="2"/>
    </font>
    <font>
      <vertAlign val="subscript"/>
      <sz val="10"/>
      <color indexed="8"/>
      <name val="Arial"/>
      <family val="2"/>
    </font>
    <font>
      <b/>
      <i/>
      <u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" fontId="0" fillId="2" borderId="0" xfId="0" applyNumberFormat="1" applyFill="1"/>
    <xf numFmtId="0" fontId="0" fillId="3" borderId="0" xfId="0" applyFill="1"/>
    <xf numFmtId="165" fontId="0" fillId="2" borderId="0" xfId="0" applyNumberFormat="1" applyFill="1"/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left" vertical="center" indent="2"/>
    </xf>
    <xf numFmtId="0" fontId="0" fillId="5" borderId="0" xfId="0" applyFill="1"/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5" borderId="0" xfId="0" applyNumberForma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 indent="2"/>
    </xf>
    <xf numFmtId="167" fontId="0" fillId="0" borderId="0" xfId="0" applyNumberFormat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45E8-DA52-C643-91DC-40D08F851980}">
  <dimension ref="B1:W61"/>
  <sheetViews>
    <sheetView tabSelected="1" topLeftCell="D1" workbookViewId="0">
      <selection activeCell="I19" sqref="I19"/>
    </sheetView>
  </sheetViews>
  <sheetFormatPr defaultColWidth="10.796875" defaultRowHeight="15.6" x14ac:dyDescent="0.6"/>
  <cols>
    <col min="1" max="1" width="42.5" bestFit="1" customWidth="1"/>
    <col min="2" max="2" width="19.1484375" bestFit="1" customWidth="1"/>
    <col min="3" max="3" width="11.6484375" customWidth="1"/>
    <col min="4" max="4" width="19.84765625" bestFit="1" customWidth="1"/>
    <col min="5" max="5" width="19.84765625" customWidth="1"/>
    <col min="6" max="6" width="42.5" bestFit="1" customWidth="1"/>
    <col min="9" max="10" width="12.84765625" bestFit="1" customWidth="1"/>
    <col min="11" max="11" width="11.84765625" bestFit="1" customWidth="1"/>
    <col min="12" max="12" width="12.84765625" bestFit="1" customWidth="1"/>
    <col min="13" max="13" width="16.5" bestFit="1" customWidth="1"/>
    <col min="14" max="14" width="16.5" customWidth="1"/>
    <col min="16" max="16" width="12.1484375" bestFit="1" customWidth="1"/>
    <col min="17" max="17" width="12.1484375" customWidth="1"/>
    <col min="18" max="18" width="12.1484375" bestFit="1" customWidth="1"/>
  </cols>
  <sheetData>
    <row r="1" spans="6:23" x14ac:dyDescent="0.6">
      <c r="I1" s="6" t="s">
        <v>28</v>
      </c>
      <c r="J1" s="5" t="s">
        <v>29</v>
      </c>
      <c r="K1" s="5" t="s">
        <v>30</v>
      </c>
      <c r="L1" s="5" t="s">
        <v>31</v>
      </c>
      <c r="P1" s="10"/>
    </row>
    <row r="2" spans="6:23" x14ac:dyDescent="0.6">
      <c r="F2" t="s">
        <v>8</v>
      </c>
      <c r="H2" t="s">
        <v>2</v>
      </c>
      <c r="I2" s="12">
        <v>0.1</v>
      </c>
      <c r="J2" s="12">
        <v>0.1</v>
      </c>
      <c r="K2" s="12">
        <v>0.1</v>
      </c>
      <c r="L2" s="12">
        <v>0.1</v>
      </c>
      <c r="R2">
        <v>3.5</v>
      </c>
      <c r="S2" t="s">
        <v>23</v>
      </c>
    </row>
    <row r="3" spans="6:23" x14ac:dyDescent="0.6">
      <c r="F3" t="s">
        <v>3</v>
      </c>
      <c r="H3" t="s">
        <v>2</v>
      </c>
      <c r="I3" s="12">
        <v>2000</v>
      </c>
      <c r="J3" s="12">
        <v>2000</v>
      </c>
      <c r="K3" s="12">
        <v>2000</v>
      </c>
      <c r="L3" s="12">
        <v>2000</v>
      </c>
      <c r="W3" t="s">
        <v>11</v>
      </c>
    </row>
    <row r="4" spans="6:23" x14ac:dyDescent="0.6">
      <c r="H4" t="s">
        <v>14</v>
      </c>
      <c r="I4" s="2">
        <f>LN(I3/I2)</f>
        <v>9.9034875525361272</v>
      </c>
      <c r="J4" s="2">
        <f t="shared" ref="J4:L4" si="0">LN(J3/J2)</f>
        <v>9.9034875525361272</v>
      </c>
      <c r="K4" s="2">
        <f t="shared" si="0"/>
        <v>9.9034875525361272</v>
      </c>
      <c r="L4" s="2">
        <f t="shared" si="0"/>
        <v>9.9034875525361272</v>
      </c>
    </row>
    <row r="5" spans="6:23" x14ac:dyDescent="0.6">
      <c r="F5" t="s">
        <v>4</v>
      </c>
      <c r="H5" t="s">
        <v>9</v>
      </c>
      <c r="I5" s="12">
        <v>583</v>
      </c>
      <c r="J5" s="12">
        <v>646</v>
      </c>
      <c r="K5" s="12">
        <v>798</v>
      </c>
      <c r="L5" s="12">
        <v>786</v>
      </c>
    </row>
    <row r="6" spans="6:23" x14ac:dyDescent="0.6">
      <c r="H6" t="s">
        <v>0</v>
      </c>
      <c r="I6" s="1">
        <f>I5*(9.86923266716*10^-16)</f>
        <v>5.7537626449542801E-13</v>
      </c>
      <c r="J6" s="1">
        <f t="shared" ref="J6:L6" si="1">J5*(9.86923266716*10^-16)</f>
        <v>6.3755243029853594E-13</v>
      </c>
      <c r="K6" s="1">
        <f t="shared" si="1"/>
        <v>7.8756476683936794E-13</v>
      </c>
      <c r="L6" s="1">
        <f t="shared" si="1"/>
        <v>7.7572168763877592E-13</v>
      </c>
    </row>
    <row r="7" spans="6:23" x14ac:dyDescent="0.6">
      <c r="H7" t="s">
        <v>24</v>
      </c>
      <c r="I7" s="12">
        <v>455.9</v>
      </c>
      <c r="J7" s="12">
        <f>140*3.28</f>
        <v>459.2</v>
      </c>
      <c r="K7" s="12">
        <v>324.7</v>
      </c>
      <c r="L7" s="12">
        <v>187</v>
      </c>
    </row>
    <row r="8" spans="6:23" x14ac:dyDescent="0.6">
      <c r="F8" t="s">
        <v>1</v>
      </c>
      <c r="H8" t="s">
        <v>2</v>
      </c>
      <c r="I8" s="1">
        <f>I7/3.28</f>
        <v>138.9939024390244</v>
      </c>
      <c r="J8" s="1">
        <f t="shared" ref="J8:L8" si="2">J7/3.28</f>
        <v>140</v>
      </c>
      <c r="K8" s="1">
        <f t="shared" si="2"/>
        <v>98.993902439024396</v>
      </c>
      <c r="L8" s="1">
        <f t="shared" si="2"/>
        <v>57.012195121951223</v>
      </c>
    </row>
    <row r="9" spans="6:23" x14ac:dyDescent="0.6">
      <c r="F9" t="s">
        <v>7</v>
      </c>
      <c r="H9" t="s">
        <v>10</v>
      </c>
      <c r="I9" s="12">
        <v>1</v>
      </c>
      <c r="J9" s="12">
        <v>1</v>
      </c>
      <c r="K9" s="12">
        <v>1</v>
      </c>
      <c r="L9" s="12">
        <v>1</v>
      </c>
    </row>
    <row r="10" spans="6:23" x14ac:dyDescent="0.6">
      <c r="F10" t="s">
        <v>16</v>
      </c>
      <c r="H10" t="s">
        <v>15</v>
      </c>
      <c r="I10" s="1">
        <f>3.5*10^(-4)</f>
        <v>3.5E-4</v>
      </c>
      <c r="J10" s="1">
        <f>3.7*10^(-4)</f>
        <v>3.7000000000000005E-4</v>
      </c>
      <c r="K10" s="1">
        <f>3.8*10^(-4)</f>
        <v>3.8000000000000002E-4</v>
      </c>
      <c r="L10" s="1">
        <f>3.8*10^(-4)</f>
        <v>3.8000000000000002E-4</v>
      </c>
    </row>
    <row r="11" spans="6:23" x14ac:dyDescent="0.6">
      <c r="F11" t="s">
        <v>6</v>
      </c>
      <c r="H11" t="s">
        <v>18</v>
      </c>
      <c r="I11" s="12">
        <v>20500000</v>
      </c>
      <c r="J11" s="12">
        <v>20500000</v>
      </c>
      <c r="K11" s="12">
        <v>20500000</v>
      </c>
      <c r="L11" s="12">
        <v>20500000</v>
      </c>
    </row>
    <row r="12" spans="6:23" x14ac:dyDescent="0.6">
      <c r="F12" t="s">
        <v>5</v>
      </c>
      <c r="H12" t="s">
        <v>18</v>
      </c>
      <c r="I12" s="12">
        <v>21757600</v>
      </c>
      <c r="J12" s="12">
        <v>21028900</v>
      </c>
      <c r="K12" s="12">
        <v>20984600</v>
      </c>
      <c r="L12" s="12">
        <v>20897100</v>
      </c>
      <c r="R12">
        <v>4000</v>
      </c>
      <c r="S12" t="s">
        <v>24</v>
      </c>
      <c r="T12">
        <f>R12*0.433</f>
        <v>1732</v>
      </c>
      <c r="U12" t="s">
        <v>25</v>
      </c>
    </row>
    <row r="13" spans="6:23" x14ac:dyDescent="0.6">
      <c r="H13" t="s">
        <v>17</v>
      </c>
      <c r="I13" s="13">
        <f>(2*3.1416*I6*I8*(I12-I11)/(I10*I4))</f>
        <v>0.18231185040921258</v>
      </c>
      <c r="J13" s="13">
        <f t="shared" ref="J13:L13" si="3">(2*3.1416*J6*J8*(J12-J11)/(J10*J4))</f>
        <v>8.0948444552270807E-2</v>
      </c>
      <c r="K13" s="13">
        <f t="shared" si="3"/>
        <v>6.3079357465581437E-2</v>
      </c>
      <c r="L13" s="13">
        <f t="shared" si="3"/>
        <v>2.9321265521906736E-2</v>
      </c>
    </row>
    <row r="14" spans="6:23" x14ac:dyDescent="0.6">
      <c r="F14" t="s">
        <v>13</v>
      </c>
      <c r="H14" t="s">
        <v>12</v>
      </c>
      <c r="I14" s="11">
        <f>I13*1000</f>
        <v>182.31185040921258</v>
      </c>
      <c r="J14" s="11">
        <f t="shared" ref="J14:L14" si="4">J13*1000</f>
        <v>80.9484445522708</v>
      </c>
      <c r="K14" s="11">
        <f t="shared" si="4"/>
        <v>63.079357465581438</v>
      </c>
      <c r="L14" s="11">
        <f t="shared" si="4"/>
        <v>29.321265521906735</v>
      </c>
    </row>
    <row r="15" spans="6:23" x14ac:dyDescent="0.6">
      <c r="I15" s="10"/>
      <c r="J15" s="10"/>
      <c r="K15" s="10"/>
      <c r="L15" s="10"/>
    </row>
    <row r="16" spans="6:23" x14ac:dyDescent="0.6">
      <c r="F16" t="s">
        <v>19</v>
      </c>
      <c r="H16" t="s">
        <v>21</v>
      </c>
      <c r="I16" s="12">
        <v>1</v>
      </c>
      <c r="J16" s="12">
        <v>1</v>
      </c>
      <c r="K16" s="12">
        <v>1</v>
      </c>
      <c r="L16" s="12">
        <v>1</v>
      </c>
    </row>
    <row r="17" spans="6:12" x14ac:dyDescent="0.6">
      <c r="F17" t="s">
        <v>20</v>
      </c>
      <c r="H17" t="s">
        <v>22</v>
      </c>
      <c r="I17" s="11">
        <f>I14*I16</f>
        <v>182.31185040921258</v>
      </c>
      <c r="J17" s="11">
        <f t="shared" ref="J17:L17" si="5">J14*J16</f>
        <v>80.9484445522708</v>
      </c>
      <c r="K17" s="11">
        <f t="shared" si="5"/>
        <v>63.079357465581438</v>
      </c>
      <c r="L17" s="11">
        <f t="shared" si="5"/>
        <v>29.321265521906735</v>
      </c>
    </row>
    <row r="18" spans="6:12" ht="4" customHeight="1" x14ac:dyDescent="0.6">
      <c r="H18" s="5"/>
    </row>
    <row r="19" spans="6:12" x14ac:dyDescent="0.6">
      <c r="H19" s="5" t="s">
        <v>26</v>
      </c>
      <c r="I19" s="6">
        <v>583</v>
      </c>
      <c r="J19" s="14">
        <v>646</v>
      </c>
      <c r="K19" s="14">
        <v>798</v>
      </c>
      <c r="L19" s="14">
        <v>786</v>
      </c>
    </row>
    <row r="20" spans="6:12" x14ac:dyDescent="0.6">
      <c r="H20" s="5" t="s">
        <v>27</v>
      </c>
      <c r="I20" s="6">
        <v>0.17</v>
      </c>
      <c r="J20" s="14">
        <v>0.20499999999999999</v>
      </c>
      <c r="K20" s="14">
        <v>0.2</v>
      </c>
      <c r="L20" s="14">
        <v>0.18</v>
      </c>
    </row>
    <row r="21" spans="6:12" x14ac:dyDescent="0.6">
      <c r="H21" s="5" t="s">
        <v>36</v>
      </c>
      <c r="I21" s="6">
        <f>I25-I24</f>
        <v>139</v>
      </c>
      <c r="J21" s="6">
        <f t="shared" ref="J21:L21" si="6">J25-J24</f>
        <v>140</v>
      </c>
      <c r="K21" s="6">
        <f t="shared" si="6"/>
        <v>99</v>
      </c>
      <c r="L21" s="6">
        <f t="shared" si="6"/>
        <v>57</v>
      </c>
    </row>
    <row r="22" spans="6:12" x14ac:dyDescent="0.6">
      <c r="H22" s="5" t="s">
        <v>41</v>
      </c>
      <c r="I22" s="6">
        <v>60</v>
      </c>
      <c r="J22" s="6">
        <v>60</v>
      </c>
      <c r="K22" s="6">
        <v>60</v>
      </c>
      <c r="L22" s="6">
        <v>60</v>
      </c>
    </row>
    <row r="23" spans="6:12" x14ac:dyDescent="0.6">
      <c r="H23" s="5" t="s">
        <v>37</v>
      </c>
      <c r="I23" s="6">
        <v>353.81900000000002</v>
      </c>
      <c r="J23" s="14">
        <v>350.28500000000003</v>
      </c>
      <c r="K23" s="14">
        <v>347.01</v>
      </c>
      <c r="L23" s="14">
        <v>347.315</v>
      </c>
    </row>
    <row r="24" spans="6:12" x14ac:dyDescent="0.6">
      <c r="H24" s="5" t="s">
        <v>38</v>
      </c>
      <c r="I24" s="6">
        <v>1842</v>
      </c>
      <c r="J24" s="14">
        <v>2060</v>
      </c>
      <c r="K24" s="14">
        <v>2208</v>
      </c>
      <c r="L24" s="14">
        <v>2308</v>
      </c>
    </row>
    <row r="25" spans="6:12" x14ac:dyDescent="0.6">
      <c r="H25" s="5" t="s">
        <v>39</v>
      </c>
      <c r="I25" s="6">
        <v>1981</v>
      </c>
      <c r="J25" s="14">
        <v>2200</v>
      </c>
      <c r="K25" s="14">
        <v>2307</v>
      </c>
      <c r="L25" s="14">
        <v>2365</v>
      </c>
    </row>
    <row r="26" spans="6:12" x14ac:dyDescent="0.6">
      <c r="H26" s="5" t="s">
        <v>90</v>
      </c>
      <c r="I26" s="6">
        <f>(I25+I24)/2</f>
        <v>1911.5</v>
      </c>
      <c r="J26" s="6">
        <f t="shared" ref="J26:L26" si="7">(J25+J24)/2</f>
        <v>2130</v>
      </c>
      <c r="K26" s="6">
        <f t="shared" si="7"/>
        <v>2257.5</v>
      </c>
      <c r="L26" s="6">
        <f t="shared" si="7"/>
        <v>2336.5</v>
      </c>
    </row>
    <row r="27" spans="6:12" x14ac:dyDescent="0.6">
      <c r="H27" s="5" t="s">
        <v>34</v>
      </c>
      <c r="I27" s="6">
        <v>3154.8519999999999</v>
      </c>
      <c r="J27" s="14">
        <v>3049.1905000000002</v>
      </c>
      <c r="K27" s="14">
        <v>3042.7669999999998</v>
      </c>
      <c r="L27" s="14">
        <v>3030.0794999999998</v>
      </c>
    </row>
    <row r="28" spans="6:12" x14ac:dyDescent="0.6">
      <c r="H28" s="5" t="s">
        <v>32</v>
      </c>
      <c r="I28" s="17">
        <f>I14</f>
        <v>182.31185040921258</v>
      </c>
      <c r="J28" s="17">
        <f>J14</f>
        <v>80.9484445522708</v>
      </c>
      <c r="K28" s="17">
        <f>K14</f>
        <v>63.079357465581438</v>
      </c>
      <c r="L28" s="17">
        <f>L14</f>
        <v>29.321265521906735</v>
      </c>
    </row>
    <row r="29" spans="6:12" x14ac:dyDescent="0.6">
      <c r="H29" s="30" t="s">
        <v>33</v>
      </c>
      <c r="I29" s="15">
        <f>I28-I28*0.1</f>
        <v>164.08066536829133</v>
      </c>
      <c r="J29" s="16">
        <f>J28-J28*0.1</f>
        <v>72.853600097043724</v>
      </c>
      <c r="K29" s="16">
        <f>K28-K28*0.1</f>
        <v>56.771421719023294</v>
      </c>
      <c r="L29" s="16">
        <f>L28-L28*0.1</f>
        <v>26.389138969716061</v>
      </c>
    </row>
    <row r="30" spans="6:12" x14ac:dyDescent="0.6">
      <c r="H30" s="31"/>
      <c r="I30" s="15">
        <f>I28+I28*0.1</f>
        <v>200.54303545013383</v>
      </c>
      <c r="J30" s="16">
        <f>J28+J28*0.1</f>
        <v>89.043289007497876</v>
      </c>
      <c r="K30" s="16">
        <f>K28+K28*0.1</f>
        <v>69.387293212139582</v>
      </c>
      <c r="L30" s="16">
        <f>L28+L28*0.1</f>
        <v>32.253392074097405</v>
      </c>
    </row>
    <row r="31" spans="6:12" x14ac:dyDescent="0.6">
      <c r="H31" s="7"/>
      <c r="I31" s="18">
        <f>I26*3.28</f>
        <v>6269.7199999999993</v>
      </c>
      <c r="J31" s="18">
        <f t="shared" ref="J31:L31" si="8">J26*3.28</f>
        <v>6986.4</v>
      </c>
      <c r="K31" s="18">
        <f t="shared" si="8"/>
        <v>7404.5999999999995</v>
      </c>
      <c r="L31" s="18">
        <f t="shared" si="8"/>
        <v>7663.7199999999993</v>
      </c>
    </row>
    <row r="32" spans="6:12" x14ac:dyDescent="0.6">
      <c r="H32" s="7" t="s">
        <v>40</v>
      </c>
      <c r="I32" s="18">
        <f>I27/I31</f>
        <v>0.50318865914267308</v>
      </c>
      <c r="J32" s="18">
        <f t="shared" ref="J32:L32" si="9">J27/J31</f>
        <v>0.43644659624413151</v>
      </c>
      <c r="K32" s="18">
        <f t="shared" si="9"/>
        <v>0.41092928719984873</v>
      </c>
      <c r="L32" s="18">
        <f t="shared" si="9"/>
        <v>0.39537972420704309</v>
      </c>
    </row>
    <row r="33" spans="3:12" x14ac:dyDescent="0.6">
      <c r="H33" s="8" t="s">
        <v>35</v>
      </c>
      <c r="I33" s="1">
        <f>(I23-I22)/I26</f>
        <v>0.15371122155375361</v>
      </c>
      <c r="J33" s="1">
        <f t="shared" ref="J33:L33" si="10">(J23-J22)/J26</f>
        <v>0.13628403755868546</v>
      </c>
      <c r="K33" s="1">
        <f t="shared" si="10"/>
        <v>0.12713621262458472</v>
      </c>
      <c r="L33" s="1">
        <f t="shared" si="10"/>
        <v>0.12296811470147656</v>
      </c>
    </row>
    <row r="34" spans="3:12" ht="5.05" customHeight="1" x14ac:dyDescent="0.6">
      <c r="G34" s="4"/>
      <c r="L34" s="3"/>
    </row>
    <row r="35" spans="3:12" x14ac:dyDescent="0.6">
      <c r="G35" t="s">
        <v>42</v>
      </c>
      <c r="H35" t="s">
        <v>43</v>
      </c>
      <c r="I35" s="3">
        <f>I28/(I12-I11)*1000000</f>
        <v>144.96807443480645</v>
      </c>
      <c r="J35" s="3">
        <f>J28/(J12-J11)*1000000</f>
        <v>153.05056636844546</v>
      </c>
      <c r="K35" s="3">
        <f>K28/(K12-K11)*1000000</f>
        <v>130.16788581424152</v>
      </c>
      <c r="L35" s="3">
        <f>L28/(L12-L11)*1000000</f>
        <v>73.838492878133309</v>
      </c>
    </row>
    <row r="36" spans="3:12" x14ac:dyDescent="0.6">
      <c r="C36" s="9"/>
      <c r="F36" s="20" t="s">
        <v>44</v>
      </c>
      <c r="G36" s="9" t="s">
        <v>45</v>
      </c>
      <c r="H36" t="s">
        <v>46</v>
      </c>
      <c r="I36" s="29">
        <f>I37+I38</f>
        <v>309219239003250.06</v>
      </c>
      <c r="J36" s="29">
        <f t="shared" ref="J36:L36" si="11">J37+J38</f>
        <v>308666050875000</v>
      </c>
      <c r="K36" s="29">
        <f t="shared" si="11"/>
        <v>215130093750000</v>
      </c>
      <c r="L36" s="29">
        <f t="shared" si="11"/>
        <v>122468813510625.03</v>
      </c>
    </row>
    <row r="37" spans="3:12" x14ac:dyDescent="0.6">
      <c r="C37" s="9"/>
      <c r="F37" s="20" t="s">
        <v>47</v>
      </c>
      <c r="G37" s="9" t="s">
        <v>48</v>
      </c>
      <c r="H37" t="s">
        <v>46</v>
      </c>
      <c r="I37" s="21">
        <f>I39*1000000*I40*(I46*I41*(1-I43)*(I44-I45))</f>
        <v>220208729287500.03</v>
      </c>
      <c r="J37" s="21">
        <f t="shared" ref="J37:L37" si="12">J39*1000000*J40*(J46*J41*(1-J43)*(J44-J45))</f>
        <v>215729325000000</v>
      </c>
      <c r="K37" s="21">
        <f t="shared" si="12"/>
        <v>150356250000000</v>
      </c>
      <c r="L37" s="21">
        <f t="shared" si="12"/>
        <v>88857194906250.016</v>
      </c>
    </row>
    <row r="38" spans="3:12" x14ac:dyDescent="0.6">
      <c r="C38" s="9"/>
      <c r="F38" s="20" t="s">
        <v>49</v>
      </c>
      <c r="G38" s="9" t="s">
        <v>50</v>
      </c>
      <c r="H38" t="s">
        <v>46</v>
      </c>
      <c r="I38" s="21">
        <f>I39*1000000*I40*(I47*I42*I43*(I44-I45))</f>
        <v>89010509715750.016</v>
      </c>
      <c r="J38" s="21">
        <f t="shared" ref="J38:L38" si="13">J39*1000000*J40*(J47*J42*J43*(J44-J45))</f>
        <v>92936725875000.016</v>
      </c>
      <c r="K38" s="21">
        <f t="shared" si="13"/>
        <v>64773843750000.008</v>
      </c>
      <c r="L38" s="21">
        <f t="shared" si="13"/>
        <v>33611618604375.008</v>
      </c>
    </row>
    <row r="39" spans="3:12" x14ac:dyDescent="0.6">
      <c r="C39" s="9"/>
      <c r="E39" s="9"/>
      <c r="F39" s="20" t="s">
        <v>51</v>
      </c>
      <c r="G39" s="9" t="s">
        <v>52</v>
      </c>
      <c r="H39" t="s">
        <v>53</v>
      </c>
      <c r="I39" s="22">
        <f>2.5*2.5</f>
        <v>6.25</v>
      </c>
      <c r="J39" s="22">
        <f t="shared" ref="J39:L39" si="14">2.5*2.5</f>
        <v>6.25</v>
      </c>
      <c r="K39" s="22">
        <f t="shared" si="14"/>
        <v>6.25</v>
      </c>
      <c r="L39" s="22">
        <f t="shared" si="14"/>
        <v>6.25</v>
      </c>
    </row>
    <row r="40" spans="3:12" x14ac:dyDescent="0.6">
      <c r="C40" s="9"/>
      <c r="E40" s="9"/>
      <c r="F40" s="20" t="s">
        <v>54</v>
      </c>
      <c r="G40" s="9" t="s">
        <v>55</v>
      </c>
      <c r="H40" t="s">
        <v>2</v>
      </c>
      <c r="I40" s="22">
        <f>I21</f>
        <v>139</v>
      </c>
      <c r="J40" s="22">
        <f t="shared" ref="J40:L40" si="15">J21</f>
        <v>140</v>
      </c>
      <c r="K40" s="22">
        <f t="shared" si="15"/>
        <v>99</v>
      </c>
      <c r="L40" s="22">
        <f t="shared" si="15"/>
        <v>57</v>
      </c>
    </row>
    <row r="41" spans="3:12" x14ac:dyDescent="0.6">
      <c r="C41" s="9"/>
      <c r="E41" s="9"/>
      <c r="F41" s="20" t="s">
        <v>56</v>
      </c>
      <c r="G41" s="9" t="s">
        <v>57</v>
      </c>
      <c r="H41" t="s">
        <v>58</v>
      </c>
      <c r="I41" s="22">
        <v>0.9</v>
      </c>
      <c r="J41" s="22">
        <v>0.9</v>
      </c>
      <c r="K41" s="22">
        <v>0.9</v>
      </c>
      <c r="L41" s="22">
        <v>0.9</v>
      </c>
    </row>
    <row r="42" spans="3:12" x14ac:dyDescent="0.6">
      <c r="C42" s="9"/>
      <c r="E42" s="9"/>
      <c r="F42" s="20" t="s">
        <v>59</v>
      </c>
      <c r="G42" s="9" t="s">
        <v>60</v>
      </c>
      <c r="H42" t="s">
        <v>58</v>
      </c>
      <c r="I42" s="22">
        <v>4.2</v>
      </c>
      <c r="J42" s="22">
        <v>4.2</v>
      </c>
      <c r="K42" s="22">
        <v>4.2</v>
      </c>
      <c r="L42" s="22">
        <v>4.2</v>
      </c>
    </row>
    <row r="43" spans="3:12" x14ac:dyDescent="0.6">
      <c r="C43" s="9"/>
      <c r="E43" s="9"/>
      <c r="F43" s="20" t="s">
        <v>61</v>
      </c>
      <c r="G43" s="9" t="s">
        <v>62</v>
      </c>
      <c r="I43" s="22">
        <v>0.19</v>
      </c>
      <c r="J43" s="22">
        <v>0.2</v>
      </c>
      <c r="K43" s="22">
        <f>K20</f>
        <v>0.2</v>
      </c>
      <c r="L43" s="22">
        <f>L20</f>
        <v>0.18</v>
      </c>
    </row>
    <row r="44" spans="3:12" x14ac:dyDescent="0.6">
      <c r="C44" s="9"/>
      <c r="E44" s="9"/>
      <c r="F44" s="20" t="s">
        <v>63</v>
      </c>
      <c r="G44" s="9" t="s">
        <v>64</v>
      </c>
      <c r="H44" t="s">
        <v>65</v>
      </c>
      <c r="I44" s="22">
        <v>178.78</v>
      </c>
      <c r="J44" s="22">
        <v>176.82499999999999</v>
      </c>
      <c r="K44" s="22">
        <v>175</v>
      </c>
      <c r="L44" s="22">
        <v>175.17500000000001</v>
      </c>
    </row>
    <row r="45" spans="3:12" x14ac:dyDescent="0.6">
      <c r="C45" s="9"/>
      <c r="E45" s="9"/>
      <c r="F45" s="20" t="s">
        <v>66</v>
      </c>
      <c r="G45" s="9" t="s">
        <v>67</v>
      </c>
      <c r="H45" t="s">
        <v>65</v>
      </c>
      <c r="I45" s="22">
        <v>50</v>
      </c>
      <c r="J45" s="22">
        <v>50</v>
      </c>
      <c r="K45" s="22">
        <v>50</v>
      </c>
      <c r="L45" s="22">
        <v>50</v>
      </c>
    </row>
    <row r="46" spans="3:12" x14ac:dyDescent="0.6">
      <c r="C46" s="9"/>
      <c r="E46" s="9"/>
      <c r="F46" s="20" t="s">
        <v>68</v>
      </c>
      <c r="G46" s="9" t="s">
        <v>69</v>
      </c>
      <c r="H46" t="s">
        <v>70</v>
      </c>
      <c r="I46" s="22">
        <v>2700</v>
      </c>
      <c r="J46" s="22">
        <v>2700</v>
      </c>
      <c r="K46" s="22">
        <v>2700</v>
      </c>
      <c r="L46" s="22">
        <v>2700</v>
      </c>
    </row>
    <row r="47" spans="3:12" x14ac:dyDescent="0.6">
      <c r="C47" s="9"/>
      <c r="E47" s="24"/>
      <c r="F47" s="20" t="s">
        <v>71</v>
      </c>
      <c r="G47" s="9" t="s">
        <v>72</v>
      </c>
      <c r="H47" t="s">
        <v>70</v>
      </c>
      <c r="I47" s="23">
        <v>997</v>
      </c>
      <c r="J47" s="23">
        <v>997</v>
      </c>
      <c r="K47" s="23">
        <v>997</v>
      </c>
      <c r="L47" s="23">
        <v>997</v>
      </c>
    </row>
    <row r="48" spans="3:12" x14ac:dyDescent="0.6">
      <c r="C48" s="9"/>
      <c r="E48" s="9"/>
      <c r="F48" s="20" t="s">
        <v>73</v>
      </c>
      <c r="G48" s="9"/>
      <c r="I48" s="9"/>
    </row>
    <row r="49" spans="2:12" x14ac:dyDescent="0.6">
      <c r="C49" s="9"/>
      <c r="E49" s="19"/>
      <c r="F49" s="20" t="s">
        <v>74</v>
      </c>
      <c r="G49" s="9" t="s">
        <v>75</v>
      </c>
      <c r="H49" t="s">
        <v>76</v>
      </c>
      <c r="I49" s="25">
        <f>I36*I50*I51/(1000*I52*I53*31557600)</f>
        <v>5.4436479996234413</v>
      </c>
      <c r="J49" s="25">
        <f>J36*J50*J51/(1000*J52*J53*31557600)</f>
        <v>5.4339094029647379</v>
      </c>
      <c r="K49" s="25">
        <f>K36*K50*K51/(1000*K52*K53*31557600)</f>
        <v>3.7872562789946005</v>
      </c>
      <c r="L49" s="25">
        <f>L36*L50*L51/(1000*L52*L53*31557600)</f>
        <v>2.1560013983359005</v>
      </c>
    </row>
    <row r="50" spans="2:12" x14ac:dyDescent="0.6">
      <c r="C50" s="9"/>
      <c r="E50" s="9"/>
      <c r="F50" s="20" t="s">
        <v>77</v>
      </c>
      <c r="G50" s="9" t="s">
        <v>78</v>
      </c>
      <c r="H50" t="s">
        <v>79</v>
      </c>
      <c r="I50" s="26">
        <v>0.15</v>
      </c>
      <c r="J50" s="26">
        <v>0.15</v>
      </c>
      <c r="K50" s="26">
        <v>0.15</v>
      </c>
      <c r="L50" s="26">
        <v>0.15</v>
      </c>
    </row>
    <row r="51" spans="2:12" x14ac:dyDescent="0.6">
      <c r="C51" s="9"/>
      <c r="E51" s="9"/>
      <c r="F51" s="20" t="s">
        <v>80</v>
      </c>
      <c r="G51" s="9" t="s">
        <v>81</v>
      </c>
      <c r="H51" t="s">
        <v>79</v>
      </c>
      <c r="I51" s="9">
        <v>0.1</v>
      </c>
      <c r="J51" s="9">
        <v>0.1</v>
      </c>
      <c r="K51" s="9">
        <v>0.1</v>
      </c>
      <c r="L51" s="9">
        <v>0.1</v>
      </c>
    </row>
    <row r="52" spans="2:12" x14ac:dyDescent="0.6">
      <c r="C52" s="9"/>
      <c r="E52" s="9"/>
      <c r="F52" s="20" t="s">
        <v>82</v>
      </c>
      <c r="G52" s="9" t="s">
        <v>83</v>
      </c>
      <c r="H52" t="s">
        <v>79</v>
      </c>
      <c r="I52" s="9">
        <v>0.9</v>
      </c>
      <c r="J52" s="9">
        <v>0.9</v>
      </c>
      <c r="K52" s="9">
        <v>0.9</v>
      </c>
      <c r="L52" s="9">
        <v>0.9</v>
      </c>
    </row>
    <row r="53" spans="2:12" x14ac:dyDescent="0.6">
      <c r="C53" s="9"/>
      <c r="E53" s="9"/>
      <c r="F53" s="20" t="s">
        <v>84</v>
      </c>
      <c r="G53" s="9" t="s">
        <v>85</v>
      </c>
      <c r="H53" t="s">
        <v>86</v>
      </c>
      <c r="I53" s="9">
        <v>30</v>
      </c>
      <c r="J53" s="9">
        <v>30</v>
      </c>
      <c r="K53" s="9">
        <v>30</v>
      </c>
      <c r="L53" s="9">
        <v>30</v>
      </c>
    </row>
    <row r="54" spans="2:12" x14ac:dyDescent="0.6">
      <c r="C54" s="9"/>
      <c r="E54" s="9"/>
      <c r="F54" s="27"/>
      <c r="G54" s="9"/>
      <c r="I54" s="9"/>
    </row>
    <row r="55" spans="2:12" x14ac:dyDescent="0.6">
      <c r="C55" s="9"/>
      <c r="E55" s="9"/>
      <c r="F55" s="27"/>
      <c r="G55" s="9"/>
      <c r="I55" s="9"/>
    </row>
    <row r="56" spans="2:12" x14ac:dyDescent="0.6">
      <c r="C56" s="9"/>
      <c r="E56" s="9"/>
      <c r="F56" s="27"/>
      <c r="G56" s="9"/>
      <c r="I56" s="9"/>
    </row>
    <row r="57" spans="2:12" x14ac:dyDescent="0.6">
      <c r="C57" s="9"/>
      <c r="E57" s="9"/>
      <c r="F57" s="20" t="s">
        <v>87</v>
      </c>
      <c r="G57" s="9" t="s">
        <v>88</v>
      </c>
      <c r="H57" s="9">
        <v>119</v>
      </c>
      <c r="I57" s="9">
        <v>126</v>
      </c>
    </row>
    <row r="58" spans="2:12" x14ac:dyDescent="0.6">
      <c r="E58" s="28"/>
      <c r="F58" s="20" t="s">
        <v>71</v>
      </c>
      <c r="G58" t="s">
        <v>89</v>
      </c>
      <c r="H58" s="28">
        <v>944.09922934939163</v>
      </c>
      <c r="I58" s="28">
        <v>938.4</v>
      </c>
    </row>
    <row r="59" spans="2:12" x14ac:dyDescent="0.6">
      <c r="C59" s="9"/>
      <c r="E59" s="9"/>
      <c r="F59" s="20" t="s">
        <v>59</v>
      </c>
      <c r="G59" s="9" t="s">
        <v>58</v>
      </c>
      <c r="H59" s="9">
        <v>4.8</v>
      </c>
      <c r="I59" s="9">
        <v>4.8</v>
      </c>
    </row>
    <row r="60" spans="2:12" x14ac:dyDescent="0.6">
      <c r="B60" s="9"/>
      <c r="C60" s="9"/>
      <c r="E60" s="9"/>
      <c r="I60" s="9"/>
    </row>
    <row r="61" spans="2:12" x14ac:dyDescent="0.6">
      <c r="B61" s="9"/>
      <c r="C61" s="9"/>
      <c r="D61" s="9"/>
      <c r="E61" s="9"/>
    </row>
  </sheetData>
  <mergeCells count="1">
    <mergeCell ref="H29:H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Fry</cp:lastModifiedBy>
  <dcterms:created xsi:type="dcterms:W3CDTF">2021-11-16T17:08:08Z</dcterms:created>
  <dcterms:modified xsi:type="dcterms:W3CDTF">2021-12-14T07:13:41Z</dcterms:modified>
</cp:coreProperties>
</file>